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Financial Reporting and Analysis\True-up\2011-2015\2015\Attachment O, GG, MM, Sch 1\"/>
    </mc:Choice>
  </mc:AlternateContent>
  <bookViews>
    <workbookView xWindow="0" yWindow="0" windowWidth="28800" windowHeight="11832" tabRatio="811" activeTab="2"/>
  </bookViews>
  <sheets>
    <sheet name="Network True-up" sheetId="113" r:id="rId1"/>
    <sheet name="ATC Attach O ER15-358" sheetId="120" r:id="rId2"/>
    <sheet name="Revenue Breakout" sheetId="122" r:id="rId3"/>
    <sheet name="ATC Attach GG ER15-123" sheetId="94" r:id="rId4"/>
    <sheet name="GG Support Data" sheetId="97" r:id="rId5"/>
    <sheet name="ATC Attach MM ER15-123" sheetId="39" r:id="rId6"/>
    <sheet name="MM Support Data" sheetId="22" r:id="rId7"/>
    <sheet name="ATC Sch 1 - Recoverable Exp" sheetId="54" r:id="rId8"/>
    <sheet name="ATC Sch 1 - True up Adj 2013" sheetId="55" r:id="rId9"/>
    <sheet name="ATC Sch 1 True up Int 2013" sheetId="117" r:id="rId10"/>
    <sheet name="ATC Sch 1 - True up Adj 2015" sheetId="115" r:id="rId11"/>
    <sheet name="CWIP" sheetId="123" r:id="rId12"/>
    <sheet name="Def. Tax Avg Calc" sheetId="110" r:id="rId13"/>
    <sheet name="Calc. of Wgt. Avg. Debt Rate" sheetId="109" r:id="rId14"/>
    <sheet name="Permanent" sheetId="106" r:id="rId15"/>
    <sheet name="Excess Deferreds" sheetId="124" r:id="rId16"/>
    <sheet name="SIT" sheetId="125" r:id="rId17"/>
    <sheet name="TEP" sheetId="126" r:id="rId18"/>
    <sheet name="2013 Sch. 26 True-up Adj" sheetId="118" r:id="rId19"/>
    <sheet name="2013 Sch. 26A True-up Adj" sheetId="119" r:id="rId20"/>
  </sheets>
  <externalReferences>
    <externalReference r:id="rId21"/>
    <externalReference r:id="rId22"/>
    <externalReference r:id="rId23"/>
    <externalReference r:id="rId24"/>
    <externalReference r:id="rId25"/>
    <externalReference r:id="rId26"/>
  </externalReferences>
  <definedNames>
    <definedName name="_1E_1">#N/A</definedName>
    <definedName name="_31_Dec_00" localSheetId="10">#REF!</definedName>
    <definedName name="_31_Dec_00" localSheetId="13">#REF!</definedName>
    <definedName name="_31_Dec_00" localSheetId="15">#REF!</definedName>
    <definedName name="_31_Dec_00" localSheetId="17">#REF!</definedName>
    <definedName name="_31_Dec_00">#REF!</definedName>
    <definedName name="_31_Jan_01" localSheetId="10">#REF!</definedName>
    <definedName name="_31_Jan_01" localSheetId="13">#REF!</definedName>
    <definedName name="_31_Jan_01" localSheetId="15">#REF!</definedName>
    <definedName name="_31_Jan_01" localSheetId="17">#REF!</definedName>
    <definedName name="_31_Jan_01">#REF!</definedName>
    <definedName name="Balances" localSheetId="18">#REF!</definedName>
    <definedName name="Balances" localSheetId="19">#REF!</definedName>
    <definedName name="Balances" localSheetId="10">#REF!</definedName>
    <definedName name="Balances" localSheetId="13">#REF!</definedName>
    <definedName name="Balances" localSheetId="15">#REF!</definedName>
    <definedName name="Balances" localSheetId="17">#REF!</definedName>
    <definedName name="Balances">#REF!</definedName>
    <definedName name="CH_COS" localSheetId="10">#REF!</definedName>
    <definedName name="CH_COS" localSheetId="13">#REF!</definedName>
    <definedName name="CH_COS">#REF!</definedName>
    <definedName name="ClearALL" localSheetId="18">#REF!</definedName>
    <definedName name="ClearALL" localSheetId="19">#REF!</definedName>
    <definedName name="ClearALL" localSheetId="10">#REF!</definedName>
    <definedName name="ClearALL" localSheetId="13">#REF!</definedName>
    <definedName name="ClearALL">#REF!</definedName>
    <definedName name="COA1Copy" localSheetId="18">#REF!</definedName>
    <definedName name="COA1Copy" localSheetId="19">#REF!</definedName>
    <definedName name="COA1Copy" localSheetId="10">#REF!</definedName>
    <definedName name="COA1Copy" localSheetId="13">#REF!</definedName>
    <definedName name="COA1Copy">#REF!</definedName>
    <definedName name="COA1Paste" localSheetId="18">#REF!</definedName>
    <definedName name="COA1Paste" localSheetId="19">#REF!</definedName>
    <definedName name="COA1Paste" localSheetId="10">#REF!</definedName>
    <definedName name="COA1Paste" localSheetId="13">#REF!</definedName>
    <definedName name="COA1Paste">#REF!</definedName>
    <definedName name="COA2Copy" localSheetId="18">#REF!</definedName>
    <definedName name="COA2Copy" localSheetId="19">#REF!</definedName>
    <definedName name="COA2Copy" localSheetId="10">#REF!</definedName>
    <definedName name="COA2Copy" localSheetId="13">#REF!</definedName>
    <definedName name="COA2Copy">#REF!</definedName>
    <definedName name="COA2Paste" localSheetId="18">#REF!</definedName>
    <definedName name="COA2Paste" localSheetId="19">#REF!</definedName>
    <definedName name="COA2Paste" localSheetId="10">#REF!</definedName>
    <definedName name="COA2Paste" localSheetId="13">#REF!</definedName>
    <definedName name="COA2Paste">#REF!</definedName>
    <definedName name="COAHardCode" localSheetId="18">#REF!</definedName>
    <definedName name="COAHardCode" localSheetId="19">#REF!</definedName>
    <definedName name="COAHardCode" localSheetId="10">#REF!</definedName>
    <definedName name="COAHardCode" localSheetId="13">#REF!</definedName>
    <definedName name="COAHardCode">#REF!</definedName>
    <definedName name="Columns" localSheetId="10">#REF!</definedName>
    <definedName name="Columns" localSheetId="13">#REF!</definedName>
    <definedName name="Columns">#REF!</definedName>
    <definedName name="Columns2" localSheetId="18">#REF!</definedName>
    <definedName name="Columns2" localSheetId="19">#REF!</definedName>
    <definedName name="Columns2" localSheetId="10">#REF!</definedName>
    <definedName name="Columns2" localSheetId="13">#REF!</definedName>
    <definedName name="Columns2">#REF!</definedName>
    <definedName name="ControlTotal" localSheetId="18">#REF!</definedName>
    <definedName name="ControlTotal" localSheetId="19">#REF!</definedName>
    <definedName name="ControlTotal" localSheetId="10">#REF!</definedName>
    <definedName name="ControlTotal" localSheetId="13">#REF!</definedName>
    <definedName name="ControlTotal">#REF!</definedName>
    <definedName name="Current_sum" localSheetId="10">#REF!</definedName>
    <definedName name="Current_sum" localSheetId="13">#REF!</definedName>
    <definedName name="Current_sum">#REF!</definedName>
    <definedName name="data_3" localSheetId="18">[1]Permanent!$A$9:$O$20</definedName>
    <definedName name="data_3" localSheetId="19">[1]Permanent!$A$9:$O$20</definedName>
    <definedName name="data_3" localSheetId="13">[1]Permanent!$A$9:$O$20</definedName>
    <definedName name="data_3">[2]Permanent!$A$9:$O$20</definedName>
    <definedName name="DefaultCopy" localSheetId="18">#REF!</definedName>
    <definedName name="DefaultCopy" localSheetId="19">#REF!</definedName>
    <definedName name="DefaultCopy" localSheetId="10">#REF!</definedName>
    <definedName name="DefaultCopy" localSheetId="13">#REF!</definedName>
    <definedName name="DefaultCopy" localSheetId="15">#REF!</definedName>
    <definedName name="DefaultCopy" localSheetId="17">#REF!</definedName>
    <definedName name="DefaultCopy">#REF!</definedName>
    <definedName name="DefaultPaste" localSheetId="10">#REF!</definedName>
    <definedName name="DefaultPaste" localSheetId="13">#REF!</definedName>
    <definedName name="DefaultPaste" localSheetId="15">#REF!</definedName>
    <definedName name="DefaultPaste" localSheetId="17">#REF!</definedName>
    <definedName name="DefaultPaste">#REF!</definedName>
    <definedName name="DefaultPaste2" localSheetId="18">#REF!</definedName>
    <definedName name="DefaultPaste2" localSheetId="19">#REF!</definedName>
    <definedName name="DefaultPaste2" localSheetId="10">#REF!</definedName>
    <definedName name="DefaultPaste2" localSheetId="13">#REF!</definedName>
    <definedName name="DefaultPaste2" localSheetId="15">#REF!</definedName>
    <definedName name="DefaultPaste2" localSheetId="17">#REF!</definedName>
    <definedName name="DefaultPaste2">#REF!</definedName>
    <definedName name="detail" localSheetId="10">#REF!</definedName>
    <definedName name="detail" localSheetId="13">#REF!</definedName>
    <definedName name="detail">#REF!</definedName>
    <definedName name="FCN" localSheetId="18">#REF!</definedName>
    <definedName name="FCN" localSheetId="19">#REF!</definedName>
    <definedName name="FCN" localSheetId="10">#REF!</definedName>
    <definedName name="FCN" localSheetId="13">#REF!</definedName>
    <definedName name="FCN">#REF!</definedName>
    <definedName name="GG_Support_Data">'[3]GG Support Data'!$C$8:$Q$67</definedName>
    <definedName name="GotoCo" localSheetId="18">#REF!</definedName>
    <definedName name="GotoCo" localSheetId="19">#REF!</definedName>
    <definedName name="GotoCo" localSheetId="10">#REF!</definedName>
    <definedName name="GotoCo" localSheetId="13">#REF!</definedName>
    <definedName name="GotoCo">#REF!</definedName>
    <definedName name="itc" localSheetId="10">#REF!</definedName>
    <definedName name="itc" localSheetId="13">#REF!</definedName>
    <definedName name="itc">#REF!</definedName>
    <definedName name="kk" localSheetId="18">#REF!</definedName>
    <definedName name="kk" localSheetId="19">#REF!</definedName>
    <definedName name="kk" localSheetId="10">#REF!</definedName>
    <definedName name="kk" localSheetId="13">#REF!</definedName>
    <definedName name="kk">#REF!</definedName>
    <definedName name="LDC" localSheetId="18">#REF!</definedName>
    <definedName name="LDC" localSheetId="19">#REF!</definedName>
    <definedName name="LDC" localSheetId="10">#REF!</definedName>
    <definedName name="LDC" localSheetId="13">#REF!</definedName>
    <definedName name="LDC">#REF!</definedName>
    <definedName name="Mgmt" localSheetId="10">[4]Current!#REF!</definedName>
    <definedName name="Mgmt" localSheetId="14">[5]Current!#REF!</definedName>
    <definedName name="Mgmt">[4]Current!#REF!</definedName>
    <definedName name="months" localSheetId="18">[1]Permanent!$A$24:$A$35</definedName>
    <definedName name="months" localSheetId="19">[1]Permanent!$A$24:$A$35</definedName>
    <definedName name="months" localSheetId="13">[1]Permanent!$A$24:$A$35</definedName>
    <definedName name="months">[2]Permanent!$A$24:$A$35</definedName>
    <definedName name="Net" localSheetId="18">#REF!</definedName>
    <definedName name="Net" localSheetId="19">#REF!</definedName>
    <definedName name="Net" localSheetId="10">#REF!</definedName>
    <definedName name="Net" localSheetId="13">#REF!</definedName>
    <definedName name="Net" localSheetId="15">#REF!</definedName>
    <definedName name="Net" localSheetId="17">#REF!</definedName>
    <definedName name="Net">#REF!</definedName>
    <definedName name="new" localSheetId="18">#REF!</definedName>
    <definedName name="new" localSheetId="19">#REF!</definedName>
    <definedName name="new" localSheetId="10">#REF!</definedName>
    <definedName name="new" localSheetId="13">#REF!</definedName>
    <definedName name="new" localSheetId="15">#REF!</definedName>
    <definedName name="new" localSheetId="17">#REF!</definedName>
    <definedName name="new">#REF!</definedName>
    <definedName name="NSP_COS" localSheetId="10">#REF!</definedName>
    <definedName name="NSP_COS" localSheetId="13">#REF!</definedName>
    <definedName name="NSP_COS" localSheetId="15">#REF!</definedName>
    <definedName name="NSP_COS" localSheetId="17">#REF!</definedName>
    <definedName name="NSP_COS">#REF!</definedName>
    <definedName name="PPJE" localSheetId="18">#REF!</definedName>
    <definedName name="PPJE" localSheetId="19">#REF!</definedName>
    <definedName name="PPJE" localSheetId="10">#REF!</definedName>
    <definedName name="PPJE" localSheetId="13">#REF!</definedName>
    <definedName name="PPJE">#REF!</definedName>
    <definedName name="_xlnm.Print_Area" localSheetId="3">'ATC Attach GG ER15-123'!$A$1:$O$117</definedName>
    <definedName name="_xlnm.Print_Area" localSheetId="5">'ATC Attach MM ER15-123'!$A$1:$S$118</definedName>
    <definedName name="_xlnm.Print_Area" localSheetId="1">'ATC Attach O ER15-358'!$A$1:$K$333</definedName>
    <definedName name="_xlnm.Print_Area" localSheetId="7">'ATC Sch 1 - Recoverable Exp'!$A$1:$G$36</definedName>
    <definedName name="_xlnm.Print_Area" localSheetId="8">'ATC Sch 1 - True up Adj 2013'!$A$1:$G$34</definedName>
    <definedName name="_xlnm.Print_Area" localSheetId="10">'ATC Sch 1 - True up Adj 2015'!$A$1:$G$34</definedName>
    <definedName name="_xlnm.Print_Area" localSheetId="13">'Calc. of Wgt. Avg. Debt Rate'!$A$1:$H$43</definedName>
    <definedName name="_xlnm.Print_Area" localSheetId="4">'GG Support Data'!$A$2:$P$67</definedName>
    <definedName name="_xlnm.Print_Area" localSheetId="6">'MM Support Data'!$A$2:$N$67</definedName>
    <definedName name="_xlnm.Print_Area" localSheetId="17">TEP!$A$1:$C$20</definedName>
    <definedName name="Print1" localSheetId="10">#REF!</definedName>
    <definedName name="Print1" localSheetId="13">#REF!</definedName>
    <definedName name="Print1" localSheetId="15">#REF!</definedName>
    <definedName name="Print1" localSheetId="17">#REF!</definedName>
    <definedName name="Print1">#REF!</definedName>
    <definedName name="Print3" localSheetId="10">#REF!</definedName>
    <definedName name="Print3" localSheetId="13">#REF!</definedName>
    <definedName name="Print3" localSheetId="15">#REF!</definedName>
    <definedName name="Print3" localSheetId="17">#REF!</definedName>
    <definedName name="Print3">#REF!</definedName>
    <definedName name="Print4" localSheetId="10">#REF!</definedName>
    <definedName name="Print4" localSheetId="13">#REF!</definedName>
    <definedName name="Print4" localSheetId="15">#REF!</definedName>
    <definedName name="Print4" localSheetId="17">#REF!</definedName>
    <definedName name="Print4">#REF!</definedName>
    <definedName name="Print5" localSheetId="10">#REF!</definedName>
    <definedName name="Print5" localSheetId="13">#REF!</definedName>
    <definedName name="Print5">#REF!</definedName>
    <definedName name="PrintJE" localSheetId="18">#REF!</definedName>
    <definedName name="PrintJE" localSheetId="19">#REF!</definedName>
    <definedName name="PrintJE" localSheetId="10">#REF!</definedName>
    <definedName name="PrintJE" localSheetId="13">#REF!</definedName>
    <definedName name="PrintJE">#REF!</definedName>
    <definedName name="ProjIDList" localSheetId="10">#REF!</definedName>
    <definedName name="ProjIDList" localSheetId="13">#REF!</definedName>
    <definedName name="ProjIDList">#REF!</definedName>
    <definedName name="PSCo_COS" localSheetId="10">#REF!</definedName>
    <definedName name="PSCo_COS" localSheetId="13">#REF!</definedName>
    <definedName name="PSCo_COS">#REF!</definedName>
    <definedName name="q_MTEP06_App_AB_Facility" localSheetId="10">#REF!</definedName>
    <definedName name="q_MTEP06_App_AB_Facility" localSheetId="13">#REF!</definedName>
    <definedName name="q_MTEP06_App_AB_Facility">#REF!</definedName>
    <definedName name="q_MTEP06_App_AB_Projects" localSheetId="10">#REF!</definedName>
    <definedName name="q_MTEP06_App_AB_Projects" localSheetId="13">#REF!</definedName>
    <definedName name="q_MTEP06_App_AB_Projects">#REF!</definedName>
    <definedName name="revreq" localSheetId="10">#REF!</definedName>
    <definedName name="revreq" localSheetId="13">#REF!</definedName>
    <definedName name="revreq">#REF!</definedName>
    <definedName name="SPS_COS" localSheetId="10">#REF!</definedName>
    <definedName name="SPS_COS" localSheetId="13">#REF!</definedName>
    <definedName name="SPS_COS">#REF!</definedName>
    <definedName name="taxcalc" localSheetId="10">#REF!</definedName>
    <definedName name="taxcalc" localSheetId="13">#REF!</definedName>
    <definedName name="taxcalc">#REF!</definedName>
    <definedName name="Tota_Deferred" localSheetId="10">#REF!</definedName>
    <definedName name="Tota_Deferred" localSheetId="13">#REF!</definedName>
    <definedName name="Tota_Deferred">#REF!</definedName>
    <definedName name="WOStatus" localSheetId="18">#REF!</definedName>
    <definedName name="WOStatus" localSheetId="19">#REF!</definedName>
    <definedName name="WOStatus" localSheetId="10">#REF!</definedName>
    <definedName name="WOStatus" localSheetId="13">#REF!</definedName>
    <definedName name="WOStatus">#REF!</definedName>
    <definedName name="WoTask" localSheetId="18">#REF!</definedName>
    <definedName name="WoTask" localSheetId="19">#REF!</definedName>
    <definedName name="WoTask" localSheetId="10">#REF!</definedName>
    <definedName name="WoTask" localSheetId="13">#REF!</definedName>
    <definedName name="WoTask">#REF!</definedName>
    <definedName name="Xcel" localSheetId="10">'[6]Data Entry and Forecaster'!#REF!</definedName>
    <definedName name="Xcel">'[6]Data Entry and Forecaster'!#REF!</definedName>
    <definedName name="Xcel_COS" localSheetId="10">#REF!</definedName>
    <definedName name="Xcel_COS" localSheetId="13">#REF!</definedName>
    <definedName name="Xcel_COS" localSheetId="15">#REF!</definedName>
    <definedName name="Xcel_COS" localSheetId="17">#REF!</definedName>
    <definedName name="Xcel_COS">#REF!</definedName>
    <definedName name="Z_26693155_D691_4427_8747_8AAE3A06AD6E_.wvu.PrintArea" localSheetId="1" hidden="1">'ATC Attach O ER15-358'!$A$1:$K$337</definedName>
  </definedNames>
  <calcPr calcId="152511" iterate="1" iterateCount="1500" calcOnSave="0"/>
</workbook>
</file>

<file path=xl/calcChain.xml><?xml version="1.0" encoding="utf-8"?>
<calcChain xmlns="http://schemas.openxmlformats.org/spreadsheetml/2006/main">
  <c r="J66" i="39" l="1"/>
  <c r="J63" i="39"/>
  <c r="C63" i="39"/>
  <c r="D191" i="120" l="1"/>
  <c r="C19" i="124" l="1"/>
  <c r="C18" i="124"/>
  <c r="J18" i="124" s="1"/>
  <c r="C17" i="124"/>
  <c r="C16" i="124"/>
  <c r="J16" i="124" s="1"/>
  <c r="C15" i="124"/>
  <c r="C14" i="124"/>
  <c r="J14" i="124" s="1"/>
  <c r="C13" i="124"/>
  <c r="C12" i="124"/>
  <c r="J12" i="124" s="1"/>
  <c r="F11" i="124"/>
  <c r="F12" i="124" s="1"/>
  <c r="F13" i="124" s="1"/>
  <c r="F14" i="124" s="1"/>
  <c r="F15" i="124" s="1"/>
  <c r="F16" i="124" s="1"/>
  <c r="F17" i="124" s="1"/>
  <c r="F18" i="124" s="1"/>
  <c r="F19" i="124" s="1"/>
  <c r="F20" i="124" s="1"/>
  <c r="C11" i="124"/>
  <c r="J11" i="124" s="1"/>
  <c r="F10" i="124"/>
  <c r="H10" i="124" s="1"/>
  <c r="C10" i="124"/>
  <c r="D10" i="124" s="1"/>
  <c r="D11" i="124" s="1"/>
  <c r="D12" i="124" s="1"/>
  <c r="D13" i="124" s="1"/>
  <c r="D14" i="124" s="1"/>
  <c r="D15" i="124" s="1"/>
  <c r="D16" i="124" s="1"/>
  <c r="D17" i="124" s="1"/>
  <c r="D18" i="124" s="1"/>
  <c r="D19" i="124" s="1"/>
  <c r="J7" i="124"/>
  <c r="J20" i="124" l="1"/>
  <c r="F21" i="124"/>
  <c r="J13" i="124"/>
  <c r="J15" i="124"/>
  <c r="J17" i="124"/>
  <c r="J19" i="124"/>
  <c r="H11" i="124"/>
  <c r="H12" i="124" s="1"/>
  <c r="H13" i="124" s="1"/>
  <c r="H14" i="124" s="1"/>
  <c r="H15" i="124" s="1"/>
  <c r="H16" i="124" s="1"/>
  <c r="H17" i="124" s="1"/>
  <c r="H18" i="124" s="1"/>
  <c r="H19" i="124" s="1"/>
  <c r="H20" i="124" s="1"/>
  <c r="H21" i="124" s="1"/>
  <c r="J10" i="124"/>
  <c r="L10" i="124" s="1"/>
  <c r="L11" i="124" s="1"/>
  <c r="L12" i="124" s="1"/>
  <c r="L13" i="124" s="1"/>
  <c r="L14" i="124" s="1"/>
  <c r="L15" i="124" s="1"/>
  <c r="L16" i="124" s="1"/>
  <c r="L17" i="124" s="1"/>
  <c r="L18" i="124" s="1"/>
  <c r="L19" i="124" s="1"/>
  <c r="L20" i="124" s="1"/>
  <c r="J21" i="124" l="1"/>
  <c r="L21" i="124" s="1"/>
  <c r="F22" i="124"/>
  <c r="J22" i="124" l="1"/>
  <c r="L22" i="124" s="1"/>
  <c r="F23" i="124"/>
  <c r="H22" i="124"/>
  <c r="H23" i="124" s="1"/>
  <c r="J23" i="124" l="1"/>
  <c r="L23" i="124" s="1"/>
  <c r="F24" i="124"/>
  <c r="J24" i="124" l="1"/>
  <c r="L24" i="124" s="1"/>
  <c r="F25" i="124"/>
  <c r="H24" i="124"/>
  <c r="H25" i="124" s="1"/>
  <c r="J25" i="124" l="1"/>
  <c r="L25" i="124" s="1"/>
  <c r="F26" i="124"/>
  <c r="J26" i="124" l="1"/>
  <c r="L26" i="124" s="1"/>
  <c r="F27" i="124"/>
  <c r="H26" i="124"/>
  <c r="H27" i="124" s="1"/>
  <c r="J27" i="124" l="1"/>
  <c r="L27" i="124" s="1"/>
  <c r="F28" i="124"/>
  <c r="J28" i="124" l="1"/>
  <c r="L28" i="124" s="1"/>
  <c r="F29" i="124"/>
  <c r="H28" i="124"/>
  <c r="H29" i="124" s="1"/>
  <c r="J29" i="124" l="1"/>
  <c r="L29" i="124" s="1"/>
  <c r="F30" i="124"/>
  <c r="J30" i="124" l="1"/>
  <c r="L30" i="124" s="1"/>
  <c r="L31" i="124" s="1"/>
  <c r="F31" i="124"/>
  <c r="J31" i="124" s="1"/>
  <c r="H30" i="124"/>
  <c r="H31" i="124" s="1"/>
  <c r="C10" i="126" l="1"/>
  <c r="C12" i="126" s="1"/>
  <c r="C16" i="126" s="1"/>
  <c r="C20" i="126" s="1"/>
  <c r="E20" i="126" s="1"/>
  <c r="C29" i="109"/>
  <c r="C28" i="109"/>
  <c r="C27" i="109"/>
  <c r="C17" i="125"/>
  <c r="D15" i="125"/>
  <c r="D14" i="125"/>
  <c r="D13" i="125"/>
  <c r="D12" i="125"/>
  <c r="D11" i="125"/>
  <c r="G8" i="113"/>
  <c r="I104" i="120"/>
  <c r="D17" i="125" l="1"/>
  <c r="D313" i="120" s="1"/>
  <c r="I285" i="120" l="1"/>
  <c r="I280" i="120"/>
  <c r="Q38" i="123" l="1"/>
  <c r="Q39" i="123"/>
  <c r="Q40" i="123"/>
  <c r="Q41" i="123"/>
  <c r="Q42" i="123"/>
  <c r="Q43" i="123"/>
  <c r="Q44" i="123"/>
  <c r="Q45" i="123"/>
  <c r="Q46" i="123"/>
  <c r="Q47" i="123"/>
  <c r="D8" i="123" l="1"/>
  <c r="Q63" i="123"/>
  <c r="Q62" i="123"/>
  <c r="Q61" i="123"/>
  <c r="Q60" i="123"/>
  <c r="Q59" i="123"/>
  <c r="Q58" i="123"/>
  <c r="Q57" i="123"/>
  <c r="Q56" i="123"/>
  <c r="Q55" i="123"/>
  <c r="Q54" i="123"/>
  <c r="Q53" i="123"/>
  <c r="Q52" i="123"/>
  <c r="Q51" i="123"/>
  <c r="Q50" i="123"/>
  <c r="Q49" i="123"/>
  <c r="Q48" i="123"/>
  <c r="Q37" i="123"/>
  <c r="Q36" i="123"/>
  <c r="Q35" i="123"/>
  <c r="Q34" i="123"/>
  <c r="Q33" i="123"/>
  <c r="Q32" i="123"/>
  <c r="Q31" i="123"/>
  <c r="Q30" i="123"/>
  <c r="Q29" i="123"/>
  <c r="Q28" i="123"/>
  <c r="Q27" i="123"/>
  <c r="E22" i="123"/>
  <c r="D88" i="120" s="1"/>
  <c r="D20" i="123"/>
  <c r="D19" i="123"/>
  <c r="D18" i="123"/>
  <c r="D17" i="123"/>
  <c r="D16" i="123"/>
  <c r="D15" i="123"/>
  <c r="D14" i="123"/>
  <c r="D13" i="123"/>
  <c r="D12" i="123"/>
  <c r="D11" i="123"/>
  <c r="D10" i="123"/>
  <c r="D9" i="123"/>
  <c r="Q64" i="123" l="1"/>
  <c r="A21" i="122"/>
  <c r="C33" i="122" l="1"/>
  <c r="C26" i="122" l="1"/>
  <c r="C25" i="122"/>
  <c r="I286" i="120" s="1"/>
  <c r="C24" i="122"/>
  <c r="C21" i="122"/>
  <c r="A10" i="122"/>
  <c r="A12" i="122" s="1"/>
  <c r="A13" i="122" s="1"/>
  <c r="A14" i="122" s="1"/>
  <c r="A15" i="122" s="1"/>
  <c r="A16" i="122" s="1"/>
  <c r="A17" i="122" s="1"/>
  <c r="A18" i="122" s="1"/>
  <c r="A19" i="122" s="1"/>
  <c r="A22" i="122" s="1"/>
  <c r="A23" i="122" s="1"/>
  <c r="A24" i="122" s="1"/>
  <c r="A25" i="122" s="1"/>
  <c r="A26" i="122" s="1"/>
  <c r="A295" i="120" l="1"/>
  <c r="K292" i="120"/>
  <c r="I278" i="120"/>
  <c r="D271" i="120"/>
  <c r="I270" i="120"/>
  <c r="E8" i="126" s="1"/>
  <c r="G269" i="120"/>
  <c r="I269" i="120" s="1"/>
  <c r="D254" i="120"/>
  <c r="G252" i="120" s="1"/>
  <c r="D248" i="120"/>
  <c r="G247" i="120"/>
  <c r="G246" i="120"/>
  <c r="G244" i="120"/>
  <c r="I234" i="120"/>
  <c r="A221" i="120"/>
  <c r="K218" i="120"/>
  <c r="D185" i="120"/>
  <c r="D189" i="120" s="1"/>
  <c r="D182" i="120"/>
  <c r="D171" i="120"/>
  <c r="D165" i="120"/>
  <c r="D123" i="120" s="1"/>
  <c r="D126" i="120" s="1"/>
  <c r="I164" i="120"/>
  <c r="I158" i="120"/>
  <c r="J28" i="39" s="1"/>
  <c r="I157" i="120"/>
  <c r="J27" i="39" s="1"/>
  <c r="A151" i="120"/>
  <c r="K148" i="120"/>
  <c r="D109" i="120"/>
  <c r="D107" i="120"/>
  <c r="D104" i="120"/>
  <c r="G98" i="120"/>
  <c r="A80" i="120"/>
  <c r="K77" i="120"/>
  <c r="I30" i="120"/>
  <c r="D32" i="120" s="1"/>
  <c r="D14" i="120"/>
  <c r="D195" i="120" l="1"/>
  <c r="D194" i="120"/>
  <c r="D36" i="120"/>
  <c r="D37" i="120" s="1"/>
  <c r="D38" i="120" s="1"/>
  <c r="I36" i="120"/>
  <c r="I37" i="120"/>
  <c r="D33" i="120"/>
  <c r="I38" i="120" l="1"/>
  <c r="R75" i="39" l="1"/>
  <c r="R74" i="39"/>
  <c r="N88" i="94"/>
  <c r="N87" i="94"/>
  <c r="N86" i="94"/>
  <c r="N85" i="94"/>
  <c r="N84" i="94"/>
  <c r="N83" i="94"/>
  <c r="N82" i="94"/>
  <c r="N81" i="94"/>
  <c r="N80" i="94"/>
  <c r="N79" i="94"/>
  <c r="N78" i="94"/>
  <c r="N77" i="94"/>
  <c r="N76" i="94"/>
  <c r="N75" i="94"/>
  <c r="D30" i="109"/>
  <c r="D29" i="109"/>
  <c r="D28" i="109"/>
  <c r="D27" i="109"/>
  <c r="C26" i="109"/>
  <c r="D26" i="109" s="1"/>
  <c r="C25" i="109"/>
  <c r="D25" i="109" s="1"/>
  <c r="C24" i="109"/>
  <c r="D24" i="109" s="1"/>
  <c r="C23" i="109"/>
  <c r="D23" i="109" s="1"/>
  <c r="C22" i="109"/>
  <c r="D22" i="109" s="1"/>
  <c r="C21" i="109"/>
  <c r="D21" i="109" s="1"/>
  <c r="C20" i="109"/>
  <c r="D20" i="109" s="1"/>
  <c r="C19" i="109"/>
  <c r="D19" i="109" s="1"/>
  <c r="C18" i="109"/>
  <c r="D18" i="109" s="1"/>
  <c r="C17" i="109"/>
  <c r="D17" i="109" s="1"/>
  <c r="C16" i="109"/>
  <c r="D16" i="109" s="1"/>
  <c r="C15" i="109"/>
  <c r="D15" i="109" s="1"/>
  <c r="C14" i="109"/>
  <c r="D14" i="109" s="1"/>
  <c r="C13" i="109"/>
  <c r="D13" i="109" s="1"/>
  <c r="C12" i="109"/>
  <c r="D12" i="109" s="1"/>
  <c r="C11" i="109"/>
  <c r="D11" i="109" s="1"/>
  <c r="C10" i="109"/>
  <c r="D10" i="109" s="1"/>
  <c r="C9" i="109"/>
  <c r="D9" i="109" s="1"/>
  <c r="B9" i="109"/>
  <c r="B42" i="109" s="1"/>
  <c r="D8" i="109"/>
  <c r="C31" i="109" l="1"/>
  <c r="D31" i="109" s="1"/>
  <c r="C32" i="109"/>
  <c r="D32" i="109" s="1"/>
  <c r="C33" i="109" l="1"/>
  <c r="D33" i="109" s="1"/>
  <c r="C34" i="109" l="1"/>
  <c r="D34" i="109" s="1"/>
  <c r="C35" i="109" l="1"/>
  <c r="D35" i="109" l="1"/>
  <c r="C36" i="109"/>
  <c r="D36" i="109" s="1"/>
  <c r="C37" i="109" l="1"/>
  <c r="D37" i="109" s="1"/>
  <c r="C38" i="109" l="1"/>
  <c r="D38" i="109" s="1"/>
  <c r="C39" i="109" l="1"/>
  <c r="C40" i="109" s="1"/>
  <c r="D39" i="109"/>
  <c r="D40" i="109" l="1"/>
  <c r="C41" i="109"/>
  <c r="D41" i="109" s="1"/>
  <c r="D42" i="109" l="1"/>
  <c r="E40" i="109" s="1"/>
  <c r="H40" i="109" s="1"/>
  <c r="E12" i="109" l="1"/>
  <c r="H12" i="109" s="1"/>
  <c r="E9" i="109"/>
  <c r="H9" i="109" s="1"/>
  <c r="E11" i="109"/>
  <c r="H11" i="109" s="1"/>
  <c r="E27" i="109"/>
  <c r="H27" i="109" s="1"/>
  <c r="E25" i="109"/>
  <c r="H25" i="109" s="1"/>
  <c r="E18" i="109"/>
  <c r="H18" i="109" s="1"/>
  <c r="E17" i="109"/>
  <c r="H17" i="109" s="1"/>
  <c r="E20" i="109"/>
  <c r="H20" i="109" s="1"/>
  <c r="E13" i="109"/>
  <c r="H13" i="109" s="1"/>
  <c r="E28" i="109"/>
  <c r="H28" i="109" s="1"/>
  <c r="E8" i="109"/>
  <c r="E23" i="109"/>
  <c r="H23" i="109" s="1"/>
  <c r="E21" i="109"/>
  <c r="H21" i="109" s="1"/>
  <c r="E14" i="109"/>
  <c r="H14" i="109" s="1"/>
  <c r="E30" i="109"/>
  <c r="H30" i="109" s="1"/>
  <c r="E16" i="109"/>
  <c r="H16" i="109" s="1"/>
  <c r="E15" i="109"/>
  <c r="H15" i="109" s="1"/>
  <c r="E24" i="109"/>
  <c r="H24" i="109" s="1"/>
  <c r="E22" i="109"/>
  <c r="H22" i="109" s="1"/>
  <c r="E29" i="109"/>
  <c r="H29" i="109" s="1"/>
  <c r="E19" i="109"/>
  <c r="H19" i="109" s="1"/>
  <c r="E10" i="109"/>
  <c r="H10" i="109" s="1"/>
  <c r="E26" i="109"/>
  <c r="H26" i="109" s="1"/>
  <c r="E31" i="109"/>
  <c r="H31" i="109" s="1"/>
  <c r="E32" i="109"/>
  <c r="H32" i="109" s="1"/>
  <c r="E33" i="109"/>
  <c r="H33" i="109" s="1"/>
  <c r="E34" i="109"/>
  <c r="H34" i="109" s="1"/>
  <c r="E36" i="109"/>
  <c r="H36" i="109" s="1"/>
  <c r="E35" i="109"/>
  <c r="H35" i="109" s="1"/>
  <c r="E37" i="109"/>
  <c r="H37" i="109" s="1"/>
  <c r="E38" i="109"/>
  <c r="H38" i="109" s="1"/>
  <c r="E39" i="109"/>
  <c r="H39" i="109" s="1"/>
  <c r="E41" i="109"/>
  <c r="H41" i="109" s="1"/>
  <c r="H8" i="109" l="1"/>
  <c r="H42" i="109" s="1"/>
  <c r="G268" i="120" s="1"/>
  <c r="I268" i="120" s="1"/>
  <c r="E42" i="109"/>
  <c r="I271" i="120" l="1"/>
  <c r="E9" i="126" s="1"/>
  <c r="E12" i="106"/>
  <c r="D12" i="106" s="1"/>
  <c r="C10" i="106"/>
  <c r="C14" i="106" s="1"/>
  <c r="C17" i="106" s="1"/>
  <c r="D186" i="120" l="1"/>
  <c r="D14" i="106"/>
  <c r="D17" i="106" s="1"/>
  <c r="B17" i="106" s="1"/>
  <c r="D192" i="120" s="1"/>
  <c r="D196" i="120" s="1"/>
  <c r="G19" i="117" l="1"/>
  <c r="E19" i="117"/>
  <c r="G8" i="117" l="1"/>
  <c r="G21" i="117" l="1"/>
  <c r="G24" i="117" s="1"/>
  <c r="G26" i="117" s="1"/>
  <c r="G26" i="54" s="1"/>
  <c r="G16" i="115"/>
  <c r="G20" i="115" s="1"/>
  <c r="I235" i="120" s="1"/>
  <c r="A14" i="115"/>
  <c r="A15" i="115" s="1"/>
  <c r="A16" i="115" s="1"/>
  <c r="I236" i="120" l="1"/>
  <c r="G24" i="115"/>
  <c r="A18" i="115"/>
  <c r="A20" i="115" s="1"/>
  <c r="I238" i="120" l="1"/>
  <c r="A22" i="115"/>
  <c r="A24" i="115" s="1"/>
  <c r="E20" i="115"/>
  <c r="E24" i="115" l="1"/>
  <c r="P24" i="97" l="1"/>
  <c r="E88" i="94" l="1"/>
  <c r="D108" i="120" l="1"/>
  <c r="D106" i="120"/>
  <c r="D92" i="120"/>
  <c r="D101" i="120"/>
  <c r="I226" i="120" l="1"/>
  <c r="D105" i="120"/>
  <c r="D110" i="120" s="1"/>
  <c r="I229" i="120" l="1"/>
  <c r="I231" i="120" l="1"/>
  <c r="G14" i="120" l="1"/>
  <c r="E245" i="120"/>
  <c r="G245" i="120" s="1"/>
  <c r="G248" i="120" s="1"/>
  <c r="I248" i="120" s="1"/>
  <c r="I239" i="120"/>
  <c r="G87" i="120"/>
  <c r="I240" i="120" l="1"/>
  <c r="G90" i="120"/>
  <c r="I252" i="120"/>
  <c r="G88" i="120"/>
  <c r="I88" i="120" s="1"/>
  <c r="G96" i="120"/>
  <c r="I87" i="120"/>
  <c r="G15" i="120"/>
  <c r="G16" i="120" s="1"/>
  <c r="I14" i="120"/>
  <c r="I16" i="120" l="1"/>
  <c r="G17" i="120"/>
  <c r="I17" i="120" s="1"/>
  <c r="K252" i="120"/>
  <c r="G91" i="120" s="1"/>
  <c r="I90" i="120"/>
  <c r="G99" i="120"/>
  <c r="I96" i="120"/>
  <c r="G120" i="120"/>
  <c r="G97" i="120"/>
  <c r="I97" i="120" s="1"/>
  <c r="I106" i="120" s="1"/>
  <c r="G156" i="120"/>
  <c r="G124" i="120"/>
  <c r="I124" i="120" s="1"/>
  <c r="J18" i="39"/>
  <c r="G18" i="94"/>
  <c r="G162" i="120" l="1"/>
  <c r="I162" i="120" s="1"/>
  <c r="I156" i="120"/>
  <c r="G100" i="120"/>
  <c r="I91" i="120"/>
  <c r="I120" i="120"/>
  <c r="G168" i="120"/>
  <c r="I168" i="120" s="1"/>
  <c r="J19" i="39"/>
  <c r="I105" i="120"/>
  <c r="G159" i="120"/>
  <c r="I99" i="120"/>
  <c r="I100" i="120" l="1"/>
  <c r="I101" i="120" s="1"/>
  <c r="G163" i="120"/>
  <c r="G19" i="94"/>
  <c r="I108" i="120"/>
  <c r="I92" i="120"/>
  <c r="I159" i="120"/>
  <c r="G169" i="120"/>
  <c r="G160" i="120"/>
  <c r="J24" i="39"/>
  <c r="I160" i="120" l="1"/>
  <c r="G161" i="120"/>
  <c r="I161" i="120" s="1"/>
  <c r="G175" i="120"/>
  <c r="I169" i="120"/>
  <c r="G170" i="120"/>
  <c r="I170" i="120" s="1"/>
  <c r="I163" i="120"/>
  <c r="G92" i="120"/>
  <c r="I109" i="120"/>
  <c r="G176" i="120" l="1"/>
  <c r="I176" i="120" s="1"/>
  <c r="I175" i="120"/>
  <c r="G178" i="120"/>
  <c r="G125" i="120"/>
  <c r="I125" i="120" s="1"/>
  <c r="I171" i="120"/>
  <c r="J39" i="39"/>
  <c r="G28" i="94"/>
  <c r="I110" i="120"/>
  <c r="I165" i="120"/>
  <c r="G181" i="120" l="1"/>
  <c r="I181" i="120" s="1"/>
  <c r="G180" i="120"/>
  <c r="I180" i="120" s="1"/>
  <c r="I178" i="120"/>
  <c r="I123" i="120"/>
  <c r="G22" i="94"/>
  <c r="J23" i="39"/>
  <c r="G110" i="120"/>
  <c r="C21" i="110"/>
  <c r="D116" i="120" s="1"/>
  <c r="G194" i="120" l="1"/>
  <c r="G114" i="120"/>
  <c r="I182" i="120"/>
  <c r="I126" i="120"/>
  <c r="C53" i="110"/>
  <c r="D115" i="120" s="1"/>
  <c r="C37" i="110"/>
  <c r="D114" i="120" s="1"/>
  <c r="D118" i="120" l="1"/>
  <c r="D128" i="120" s="1"/>
  <c r="D199" i="120" s="1"/>
  <c r="D193" i="120" s="1"/>
  <c r="D197" i="120" s="1"/>
  <c r="D202" i="120" s="1"/>
  <c r="J43" i="39"/>
  <c r="G32" i="94"/>
  <c r="I114" i="120"/>
  <c r="G115" i="120"/>
  <c r="G195" i="120"/>
  <c r="I194" i="120"/>
  <c r="C56" i="110"/>
  <c r="G196" i="120" l="1"/>
  <c r="I196" i="120" s="1"/>
  <c r="I195" i="120"/>
  <c r="G116" i="120"/>
  <c r="I116" i="120" s="1"/>
  <c r="I115" i="120"/>
  <c r="G117" i="120"/>
  <c r="I117" i="120" s="1"/>
  <c r="D29" i="22"/>
  <c r="D30" i="22"/>
  <c r="D31" i="22"/>
  <c r="D32" i="22"/>
  <c r="D33" i="22"/>
  <c r="D34" i="22"/>
  <c r="D35" i="22"/>
  <c r="D36" i="22"/>
  <c r="D37" i="22"/>
  <c r="D38" i="22"/>
  <c r="D39" i="22"/>
  <c r="I118" i="120" l="1"/>
  <c r="D1" i="97"/>
  <c r="E1" i="97"/>
  <c r="F1" i="97"/>
  <c r="G1" i="97" s="1"/>
  <c r="B23" i="97"/>
  <c r="B39" i="97" s="1"/>
  <c r="B29" i="97"/>
  <c r="B30" i="97"/>
  <c r="B31" i="97"/>
  <c r="B32" i="97"/>
  <c r="B33" i="97"/>
  <c r="B34" i="97"/>
  <c r="B35" i="97"/>
  <c r="B36" i="97"/>
  <c r="B37" i="97"/>
  <c r="B38" i="97"/>
  <c r="B46" i="97"/>
  <c r="B47" i="97"/>
  <c r="B48" i="97"/>
  <c r="B49" i="97"/>
  <c r="B50" i="97"/>
  <c r="B51" i="97"/>
  <c r="B52" i="97"/>
  <c r="B53" i="97"/>
  <c r="B54" i="97"/>
  <c r="B55" i="97"/>
  <c r="O64" i="94"/>
  <c r="C64" i="94"/>
  <c r="G64" i="94"/>
  <c r="G67" i="94"/>
  <c r="I128" i="120" l="1"/>
  <c r="B56" i="97"/>
  <c r="H1" i="97"/>
  <c r="B12" i="97"/>
  <c r="B11" i="97"/>
  <c r="I199" i="120" l="1"/>
  <c r="E6" i="126" s="1"/>
  <c r="B44" i="97"/>
  <c r="B27" i="97"/>
  <c r="I1" i="97"/>
  <c r="B28" i="97"/>
  <c r="B45" i="97"/>
  <c r="J53" i="39" l="1"/>
  <c r="G42" i="94"/>
  <c r="I193" i="120"/>
  <c r="J1" i="97"/>
  <c r="I197" i="120" l="1"/>
  <c r="E14" i="126" s="1"/>
  <c r="K1" i="97"/>
  <c r="J49" i="39" l="1"/>
  <c r="G38" i="94"/>
  <c r="I202" i="120"/>
  <c r="L1" i="97"/>
  <c r="M1" i="97" l="1"/>
  <c r="N1" i="97" l="1"/>
  <c r="O1" i="97" l="1"/>
  <c r="P1" i="97" l="1"/>
  <c r="C7" i="54" l="1"/>
  <c r="G16" i="55"/>
  <c r="G20" i="55" s="1"/>
  <c r="G24" i="55" s="1"/>
  <c r="A14" i="55"/>
  <c r="A15" i="55" s="1"/>
  <c r="A16" i="55" s="1"/>
  <c r="E28" i="54"/>
  <c r="E24" i="54"/>
  <c r="A18" i="55" l="1"/>
  <c r="A20" i="55" s="1"/>
  <c r="E20" i="55"/>
  <c r="A22" i="55" l="1"/>
  <c r="A24" i="55" s="1"/>
  <c r="E24" i="55" l="1"/>
  <c r="N101" i="94" l="1"/>
  <c r="D1" i="22" l="1"/>
  <c r="E1" i="22" l="1"/>
  <c r="F1" i="22" l="1"/>
  <c r="G1" i="22" l="1"/>
  <c r="H1" i="22" l="1"/>
  <c r="I1" i="22" l="1"/>
  <c r="J1" i="22" l="1"/>
  <c r="K1" i="22" l="1"/>
  <c r="L1" i="22" l="1"/>
  <c r="M1" i="22" l="1"/>
  <c r="N1" i="22" l="1"/>
  <c r="S63" i="39"/>
  <c r="B12" i="22" l="1"/>
  <c r="B11" i="22" l="1"/>
  <c r="B27" i="22" s="1"/>
  <c r="B55" i="22" l="1"/>
  <c r="B54" i="22"/>
  <c r="B53" i="22"/>
  <c r="B52" i="22"/>
  <c r="B51" i="22"/>
  <c r="B50" i="22"/>
  <c r="B49" i="22"/>
  <c r="B48" i="22"/>
  <c r="B47" i="22"/>
  <c r="B46" i="22"/>
  <c r="B38" i="22"/>
  <c r="B37" i="22"/>
  <c r="B36" i="22"/>
  <c r="B35" i="22"/>
  <c r="B34" i="22"/>
  <c r="B33" i="22"/>
  <c r="B32" i="22"/>
  <c r="B31" i="22"/>
  <c r="B30" i="22"/>
  <c r="B29" i="22"/>
  <c r="B23" i="22"/>
  <c r="B39" i="22" s="1"/>
  <c r="B45" i="22"/>
  <c r="B28" i="22" l="1"/>
  <c r="B44" i="22"/>
  <c r="B56" i="22"/>
  <c r="G18" i="54" l="1"/>
  <c r="G24" i="54" s="1"/>
  <c r="G28" i="54" s="1"/>
  <c r="R99" i="39" l="1"/>
  <c r="J20" i="39" l="1"/>
  <c r="J29" i="39"/>
  <c r="J31" i="39" l="1"/>
  <c r="L31" i="39" s="1"/>
  <c r="G74" i="39" l="1"/>
  <c r="G75" i="39" l="1"/>
  <c r="G76" i="39"/>
  <c r="G29" i="94"/>
  <c r="J40" i="39"/>
  <c r="L40" i="39" s="1"/>
  <c r="M29" i="94" l="1"/>
  <c r="G24" i="94"/>
  <c r="J35" i="39"/>
  <c r="J36" i="39" l="1"/>
  <c r="L36" i="39" s="1"/>
  <c r="L46" i="39" s="1"/>
  <c r="G25" i="94"/>
  <c r="G33" i="94"/>
  <c r="J44" i="39"/>
  <c r="L44" i="39" s="1"/>
  <c r="M33" i="94" l="1"/>
  <c r="M25" i="94"/>
  <c r="J46" i="39"/>
  <c r="M35" i="94" l="1"/>
  <c r="F86" i="94" s="1"/>
  <c r="I76" i="39"/>
  <c r="F77" i="94"/>
  <c r="C24" i="97"/>
  <c r="D24" i="97"/>
  <c r="E24" i="97"/>
  <c r="F24" i="97"/>
  <c r="G24" i="97"/>
  <c r="H24" i="97"/>
  <c r="I24" i="97"/>
  <c r="J24" i="97"/>
  <c r="K24" i="97"/>
  <c r="L24" i="97"/>
  <c r="M24" i="97"/>
  <c r="N24" i="97"/>
  <c r="O24" i="97"/>
  <c r="C27" i="97"/>
  <c r="D27" i="97"/>
  <c r="E27" i="97"/>
  <c r="F27" i="97"/>
  <c r="G27" i="97"/>
  <c r="H27" i="97"/>
  <c r="I27" i="97"/>
  <c r="J27" i="97"/>
  <c r="K27" i="97"/>
  <c r="L27" i="97"/>
  <c r="M27" i="97"/>
  <c r="N27" i="97"/>
  <c r="O27" i="97"/>
  <c r="P27" i="97"/>
  <c r="C28" i="97"/>
  <c r="D28" i="97"/>
  <c r="E28" i="97"/>
  <c r="F28" i="97"/>
  <c r="G28" i="97"/>
  <c r="H28" i="97"/>
  <c r="I28" i="97"/>
  <c r="J28" i="97"/>
  <c r="K28" i="97"/>
  <c r="L28" i="97"/>
  <c r="M28" i="97"/>
  <c r="N28" i="97"/>
  <c r="O28" i="97"/>
  <c r="P28" i="97"/>
  <c r="C29" i="97"/>
  <c r="D29" i="97"/>
  <c r="E29" i="97"/>
  <c r="F29" i="97"/>
  <c r="G29" i="97"/>
  <c r="H29" i="97"/>
  <c r="I29" i="97"/>
  <c r="J29" i="97"/>
  <c r="K29" i="97"/>
  <c r="L29" i="97"/>
  <c r="M29" i="97"/>
  <c r="N29" i="97"/>
  <c r="O29" i="97"/>
  <c r="P29" i="97"/>
  <c r="C30" i="97"/>
  <c r="D30" i="97"/>
  <c r="E30" i="97"/>
  <c r="F30" i="97"/>
  <c r="G30" i="97"/>
  <c r="H30" i="97"/>
  <c r="I30" i="97"/>
  <c r="J30" i="97"/>
  <c r="K30" i="97"/>
  <c r="L30" i="97"/>
  <c r="M30" i="97"/>
  <c r="N30" i="97"/>
  <c r="O30" i="97"/>
  <c r="P30" i="97"/>
  <c r="C31" i="97"/>
  <c r="D31" i="97"/>
  <c r="E31" i="97"/>
  <c r="F31" i="97"/>
  <c r="G31" i="97"/>
  <c r="H31" i="97"/>
  <c r="I31" i="97"/>
  <c r="J31" i="97"/>
  <c r="K31" i="97"/>
  <c r="L31" i="97"/>
  <c r="M31" i="97"/>
  <c r="N31" i="97"/>
  <c r="O31" i="97"/>
  <c r="P31" i="97"/>
  <c r="C32" i="97"/>
  <c r="D32" i="97"/>
  <c r="E32" i="97"/>
  <c r="F32" i="97"/>
  <c r="G32" i="97"/>
  <c r="H32" i="97"/>
  <c r="I32" i="97"/>
  <c r="J32" i="97"/>
  <c r="K32" i="97"/>
  <c r="L32" i="97"/>
  <c r="M32" i="97"/>
  <c r="N32" i="97"/>
  <c r="O32" i="97"/>
  <c r="P32" i="97"/>
  <c r="C33" i="97"/>
  <c r="D33" i="97"/>
  <c r="E33" i="97"/>
  <c r="F33" i="97"/>
  <c r="G33" i="97"/>
  <c r="H33" i="97"/>
  <c r="I33" i="97"/>
  <c r="J33" i="97"/>
  <c r="K33" i="97"/>
  <c r="L33" i="97"/>
  <c r="M33" i="97"/>
  <c r="N33" i="97"/>
  <c r="O33" i="97"/>
  <c r="P33" i="97"/>
  <c r="C34" i="97"/>
  <c r="D34" i="97"/>
  <c r="E34" i="97"/>
  <c r="F34" i="97"/>
  <c r="G34" i="97"/>
  <c r="H34" i="97"/>
  <c r="I34" i="97"/>
  <c r="J34" i="97"/>
  <c r="K34" i="97"/>
  <c r="L34" i="97"/>
  <c r="M34" i="97"/>
  <c r="N34" i="97"/>
  <c r="O34" i="97"/>
  <c r="P34" i="97"/>
  <c r="C35" i="97"/>
  <c r="D35" i="97"/>
  <c r="E35" i="97"/>
  <c r="F35" i="97"/>
  <c r="G35" i="97"/>
  <c r="H35" i="97"/>
  <c r="I35" i="97"/>
  <c r="J35" i="97"/>
  <c r="K35" i="97"/>
  <c r="L35" i="97"/>
  <c r="M35" i="97"/>
  <c r="N35" i="97"/>
  <c r="O35" i="97"/>
  <c r="P35" i="97"/>
  <c r="C36" i="97"/>
  <c r="D36" i="97"/>
  <c r="E36" i="97"/>
  <c r="F36" i="97"/>
  <c r="G36" i="97"/>
  <c r="H36" i="97"/>
  <c r="I36" i="97"/>
  <c r="J36" i="97"/>
  <c r="K36" i="97"/>
  <c r="L36" i="97"/>
  <c r="M36" i="97"/>
  <c r="N36" i="97"/>
  <c r="O36" i="97"/>
  <c r="P36" i="97"/>
  <c r="C37" i="97"/>
  <c r="D37" i="97"/>
  <c r="E37" i="97"/>
  <c r="F37" i="97"/>
  <c r="G37" i="97"/>
  <c r="H37" i="97"/>
  <c r="I37" i="97"/>
  <c r="J37" i="97"/>
  <c r="K37" i="97"/>
  <c r="L37" i="97"/>
  <c r="M37" i="97"/>
  <c r="N37" i="97"/>
  <c r="O37" i="97"/>
  <c r="P37" i="97"/>
  <c r="C38" i="97"/>
  <c r="D38" i="97"/>
  <c r="E38" i="97"/>
  <c r="F38" i="97"/>
  <c r="G38" i="97"/>
  <c r="H38" i="97"/>
  <c r="I38" i="97"/>
  <c r="J38" i="97"/>
  <c r="K38" i="97"/>
  <c r="L38" i="97"/>
  <c r="M38" i="97"/>
  <c r="N38" i="97"/>
  <c r="O38" i="97"/>
  <c r="P38" i="97"/>
  <c r="C39" i="97"/>
  <c r="D39" i="97"/>
  <c r="E39" i="97"/>
  <c r="F39" i="97"/>
  <c r="G39" i="97"/>
  <c r="H39" i="97"/>
  <c r="I39" i="97"/>
  <c r="J39" i="97"/>
  <c r="K39" i="97"/>
  <c r="L39" i="97"/>
  <c r="M39" i="97"/>
  <c r="N39" i="97"/>
  <c r="O39" i="97"/>
  <c r="P39" i="97"/>
  <c r="C57" i="97"/>
  <c r="D57" i="97"/>
  <c r="E57" i="97"/>
  <c r="F57" i="97"/>
  <c r="G57" i="97"/>
  <c r="H57" i="97"/>
  <c r="I57" i="97"/>
  <c r="J57" i="97"/>
  <c r="K57" i="97"/>
  <c r="L57" i="97"/>
  <c r="M57" i="97"/>
  <c r="N57" i="97"/>
  <c r="O57" i="97"/>
  <c r="P57" i="97"/>
  <c r="H88" i="94" s="1"/>
  <c r="C62" i="97"/>
  <c r="D62" i="97"/>
  <c r="E62" i="97"/>
  <c r="F62" i="97"/>
  <c r="G62" i="97"/>
  <c r="H62" i="97"/>
  <c r="I62" i="97"/>
  <c r="J62" i="97"/>
  <c r="K62" i="97"/>
  <c r="L62" i="97"/>
  <c r="M62" i="97"/>
  <c r="N62" i="97"/>
  <c r="O62" i="97"/>
  <c r="P62" i="97"/>
  <c r="K88" i="94" s="1"/>
  <c r="C67" i="97"/>
  <c r="D67" i="97"/>
  <c r="E67" i="97"/>
  <c r="F67" i="97"/>
  <c r="G67" i="97"/>
  <c r="H67" i="97"/>
  <c r="I67" i="97"/>
  <c r="J67" i="97"/>
  <c r="K67" i="97"/>
  <c r="L67" i="97"/>
  <c r="M67" i="97"/>
  <c r="N67" i="97"/>
  <c r="O67" i="97"/>
  <c r="P67" i="97"/>
  <c r="L88" i="94" s="1"/>
  <c r="C24" i="22"/>
  <c r="D24" i="22"/>
  <c r="E24" i="22"/>
  <c r="F24" i="22"/>
  <c r="G24" i="22"/>
  <c r="H24" i="22"/>
  <c r="I24" i="22"/>
  <c r="J24" i="22"/>
  <c r="K24" i="22"/>
  <c r="L24" i="22"/>
  <c r="M24" i="22"/>
  <c r="N24" i="22"/>
  <c r="C27" i="22"/>
  <c r="D27" i="22"/>
  <c r="E27" i="22"/>
  <c r="F27" i="22"/>
  <c r="G27" i="22"/>
  <c r="H27" i="22"/>
  <c r="I27" i="22"/>
  <c r="J27" i="22"/>
  <c r="K27" i="22"/>
  <c r="L27" i="22"/>
  <c r="M27" i="22"/>
  <c r="N27" i="22"/>
  <c r="C28" i="22"/>
  <c r="D28" i="22"/>
  <c r="E28" i="22"/>
  <c r="F28" i="22"/>
  <c r="G28" i="22"/>
  <c r="H28" i="22"/>
  <c r="I28" i="22"/>
  <c r="J28" i="22"/>
  <c r="K28" i="22"/>
  <c r="L28" i="22"/>
  <c r="M28" i="22"/>
  <c r="N28" i="22"/>
  <c r="C29" i="22"/>
  <c r="E29" i="22"/>
  <c r="F29" i="22"/>
  <c r="G29" i="22"/>
  <c r="H29" i="22"/>
  <c r="I29" i="22"/>
  <c r="J29" i="22"/>
  <c r="K29" i="22"/>
  <c r="L29" i="22"/>
  <c r="M29" i="22"/>
  <c r="N29" i="22"/>
  <c r="C30" i="22"/>
  <c r="E30" i="22"/>
  <c r="F30" i="22"/>
  <c r="G30" i="22"/>
  <c r="H30" i="22"/>
  <c r="I30" i="22"/>
  <c r="J30" i="22"/>
  <c r="K30" i="22"/>
  <c r="L30" i="22"/>
  <c r="M30" i="22"/>
  <c r="N30" i="22"/>
  <c r="N40" i="22" s="1"/>
  <c r="C31" i="22"/>
  <c r="E31" i="22"/>
  <c r="F31" i="22"/>
  <c r="G31" i="22"/>
  <c r="H31" i="22"/>
  <c r="I31" i="22"/>
  <c r="J31" i="22"/>
  <c r="K31" i="22"/>
  <c r="L31" i="22"/>
  <c r="M31" i="22"/>
  <c r="N31" i="22"/>
  <c r="C32" i="22"/>
  <c r="E32" i="22"/>
  <c r="F32" i="22"/>
  <c r="G32" i="22"/>
  <c r="H32" i="22"/>
  <c r="I32" i="22"/>
  <c r="J32" i="22"/>
  <c r="K32" i="22"/>
  <c r="L32" i="22"/>
  <c r="M32" i="22"/>
  <c r="N32" i="22"/>
  <c r="C33" i="22"/>
  <c r="E33" i="22"/>
  <c r="F33" i="22"/>
  <c r="G33" i="22"/>
  <c r="H33" i="22"/>
  <c r="I33" i="22"/>
  <c r="J33" i="22"/>
  <c r="K33" i="22"/>
  <c r="L33" i="22"/>
  <c r="M33" i="22"/>
  <c r="N33" i="22"/>
  <c r="C34" i="22"/>
  <c r="E34" i="22"/>
  <c r="F34" i="22"/>
  <c r="G34" i="22"/>
  <c r="H34" i="22"/>
  <c r="I34" i="22"/>
  <c r="J34" i="22"/>
  <c r="K34" i="22"/>
  <c r="L34" i="22"/>
  <c r="M34" i="22"/>
  <c r="N34" i="22"/>
  <c r="C35" i="22"/>
  <c r="E35" i="22"/>
  <c r="F35" i="22"/>
  <c r="G35" i="22"/>
  <c r="H35" i="22"/>
  <c r="I35" i="22"/>
  <c r="J35" i="22"/>
  <c r="K35" i="22"/>
  <c r="L35" i="22"/>
  <c r="M35" i="22"/>
  <c r="N35" i="22"/>
  <c r="C36" i="22"/>
  <c r="E36" i="22"/>
  <c r="F36" i="22"/>
  <c r="G36" i="22"/>
  <c r="H36" i="22"/>
  <c r="I36" i="22"/>
  <c r="J36" i="22"/>
  <c r="K36" i="22"/>
  <c r="L36" i="22"/>
  <c r="M36" i="22"/>
  <c r="N36" i="22"/>
  <c r="C37" i="22"/>
  <c r="E37" i="22"/>
  <c r="F37" i="22"/>
  <c r="G37" i="22"/>
  <c r="H37" i="22"/>
  <c r="I37" i="22"/>
  <c r="J37" i="22"/>
  <c r="K37" i="22"/>
  <c r="L37" i="22"/>
  <c r="M37" i="22"/>
  <c r="N37" i="22"/>
  <c r="C38" i="22"/>
  <c r="E38" i="22"/>
  <c r="F38" i="22"/>
  <c r="G38" i="22"/>
  <c r="H38" i="22"/>
  <c r="I38" i="22"/>
  <c r="J38" i="22"/>
  <c r="K38" i="22"/>
  <c r="L38" i="22"/>
  <c r="M38" i="22"/>
  <c r="N38" i="22"/>
  <c r="C39" i="22"/>
  <c r="E39" i="22"/>
  <c r="F39" i="22"/>
  <c r="G39" i="22"/>
  <c r="H39" i="22"/>
  <c r="I39" i="22"/>
  <c r="J39" i="22"/>
  <c r="K39" i="22"/>
  <c r="L39" i="22"/>
  <c r="M39" i="22"/>
  <c r="N39" i="22"/>
  <c r="D40" i="22"/>
  <c r="C57" i="22"/>
  <c r="D57" i="22"/>
  <c r="E57" i="22"/>
  <c r="F57" i="22"/>
  <c r="G57" i="22"/>
  <c r="H57" i="22"/>
  <c r="I57" i="22"/>
  <c r="J57" i="22"/>
  <c r="K57" i="22"/>
  <c r="L57" i="22"/>
  <c r="M57" i="22"/>
  <c r="N57" i="22"/>
  <c r="C62" i="22"/>
  <c r="D62" i="22"/>
  <c r="E62" i="22"/>
  <c r="F62" i="22"/>
  <c r="G62" i="22"/>
  <c r="H62" i="22"/>
  <c r="I62" i="22"/>
  <c r="J62" i="22"/>
  <c r="K62" i="22"/>
  <c r="L62" i="22"/>
  <c r="M62" i="22"/>
  <c r="N62" i="22"/>
  <c r="C67" i="22"/>
  <c r="D67" i="22"/>
  <c r="E67" i="22"/>
  <c r="F67" i="22"/>
  <c r="G67" i="22"/>
  <c r="H67" i="22"/>
  <c r="I67" i="22"/>
  <c r="J67" i="22"/>
  <c r="K67" i="22"/>
  <c r="L67" i="22"/>
  <c r="M67" i="22"/>
  <c r="N67" i="22"/>
  <c r="F75" i="94" l="1"/>
  <c r="F91" i="94"/>
  <c r="F81" i="94"/>
  <c r="F85" i="94"/>
  <c r="F89" i="94"/>
  <c r="F84" i="94"/>
  <c r="F79" i="94"/>
  <c r="F87" i="94"/>
  <c r="I74" i="39"/>
  <c r="F82" i="94"/>
  <c r="F78" i="94"/>
  <c r="F90" i="94"/>
  <c r="F83" i="94"/>
  <c r="I75" i="39"/>
  <c r="F80" i="94"/>
  <c r="F76" i="94"/>
  <c r="F88" i="94"/>
  <c r="L87" i="94"/>
  <c r="K87" i="94"/>
  <c r="E87" i="94"/>
  <c r="H87" i="94"/>
  <c r="L86" i="94"/>
  <c r="E86" i="94"/>
  <c r="H86" i="94"/>
  <c r="K86" i="94"/>
  <c r="L85" i="94"/>
  <c r="K85" i="94"/>
  <c r="H85" i="94"/>
  <c r="E85" i="94"/>
  <c r="L82" i="94"/>
  <c r="H82" i="94"/>
  <c r="K82" i="94"/>
  <c r="E82" i="94"/>
  <c r="L81" i="94"/>
  <c r="H81" i="94"/>
  <c r="K81" i="94"/>
  <c r="E81" i="94"/>
  <c r="H84" i="94"/>
  <c r="K84" i="94"/>
  <c r="L84" i="94"/>
  <c r="E84" i="94"/>
  <c r="L83" i="94"/>
  <c r="K83" i="94"/>
  <c r="H83" i="94"/>
  <c r="E83" i="94"/>
  <c r="L80" i="94"/>
  <c r="K80" i="94"/>
  <c r="H80" i="94"/>
  <c r="E80" i="94"/>
  <c r="L79" i="94"/>
  <c r="H79" i="94"/>
  <c r="K79" i="94"/>
  <c r="E79" i="94"/>
  <c r="L78" i="94"/>
  <c r="E78" i="94"/>
  <c r="K78" i="94"/>
  <c r="H78" i="94"/>
  <c r="L77" i="94"/>
  <c r="K77" i="94"/>
  <c r="H77" i="94"/>
  <c r="E77" i="94"/>
  <c r="L76" i="94"/>
  <c r="K76" i="94"/>
  <c r="H76" i="94"/>
  <c r="E76" i="94"/>
  <c r="H75" i="94"/>
  <c r="E75" i="94"/>
  <c r="L75" i="94"/>
  <c r="K75" i="94"/>
  <c r="M40" i="22"/>
  <c r="I40" i="22"/>
  <c r="E40" i="22"/>
  <c r="J40" i="22"/>
  <c r="F40" i="22"/>
  <c r="L40" i="22"/>
  <c r="H40" i="22"/>
  <c r="P75" i="39"/>
  <c r="O75" i="39"/>
  <c r="L75" i="39"/>
  <c r="K40" i="22"/>
  <c r="G40" i="22"/>
  <c r="E74" i="39"/>
  <c r="P74" i="39"/>
  <c r="L74" i="39"/>
  <c r="O74" i="39"/>
  <c r="F74" i="39"/>
  <c r="N40" i="97"/>
  <c r="L40" i="97"/>
  <c r="K40" i="97"/>
  <c r="F40" i="97"/>
  <c r="J40" i="97"/>
  <c r="P40" i="97"/>
  <c r="O40" i="97"/>
  <c r="M40" i="97"/>
  <c r="I40" i="97"/>
  <c r="H40" i="97"/>
  <c r="G40" i="97"/>
  <c r="E40" i="97"/>
  <c r="D40" i="97"/>
  <c r="C40" i="97"/>
  <c r="C40" i="22"/>
  <c r="F75" i="39" s="1"/>
  <c r="J54" i="39" l="1"/>
  <c r="L54" i="39" s="1"/>
  <c r="G43" i="94"/>
  <c r="M43" i="94" l="1"/>
  <c r="G39" i="94"/>
  <c r="J50" i="39"/>
  <c r="L50" i="39" s="1"/>
  <c r="L56" i="39" s="1"/>
  <c r="M39" i="94" l="1"/>
  <c r="M45" i="94" s="1"/>
  <c r="I80" i="94" s="1"/>
  <c r="I85" i="94" l="1"/>
  <c r="I77" i="94"/>
  <c r="I86" i="94"/>
  <c r="I78" i="94"/>
  <c r="I83" i="94"/>
  <c r="I76" i="94"/>
  <c r="I91" i="94"/>
  <c r="I75" i="94"/>
  <c r="I84" i="94"/>
  <c r="I89" i="94"/>
  <c r="I81" i="94"/>
  <c r="I90" i="94"/>
  <c r="I82" i="94"/>
  <c r="I87" i="94"/>
  <c r="I79" i="94"/>
  <c r="I88" i="94"/>
  <c r="M74" i="39"/>
  <c r="M75" i="39"/>
  <c r="M76" i="39"/>
  <c r="G75" i="94" l="1"/>
  <c r="J75" i="94"/>
  <c r="G76" i="94"/>
  <c r="J76" i="94"/>
  <c r="G77" i="94"/>
  <c r="J77" i="94"/>
  <c r="G78" i="94"/>
  <c r="J78" i="94"/>
  <c r="G79" i="94"/>
  <c r="J79" i="94"/>
  <c r="G80" i="94"/>
  <c r="J80" i="94"/>
  <c r="G81" i="94"/>
  <c r="J81" i="94"/>
  <c r="G82" i="94"/>
  <c r="J82" i="94"/>
  <c r="G83" i="94"/>
  <c r="J83" i="94"/>
  <c r="G84" i="94"/>
  <c r="J84" i="94"/>
  <c r="G85" i="94"/>
  <c r="J85" i="94"/>
  <c r="G86" i="94"/>
  <c r="J86" i="94"/>
  <c r="G87" i="94"/>
  <c r="J87" i="94"/>
  <c r="G88" i="94"/>
  <c r="J88" i="94"/>
  <c r="G89" i="94"/>
  <c r="J89" i="94"/>
  <c r="G90" i="94"/>
  <c r="J90" i="94"/>
  <c r="G91" i="94"/>
  <c r="J91" i="94"/>
  <c r="L101" i="94"/>
  <c r="H74" i="39"/>
  <c r="N74" i="39"/>
  <c r="E75" i="39"/>
  <c r="J75" i="39" s="1"/>
  <c r="H75" i="39"/>
  <c r="N75" i="39"/>
  <c r="E76" i="39"/>
  <c r="J76" i="39" s="1"/>
  <c r="H76" i="39"/>
  <c r="L76" i="39"/>
  <c r="P99" i="39"/>
  <c r="N76" i="39" l="1"/>
  <c r="J74" i="39"/>
  <c r="K74" i="39" s="1"/>
  <c r="Q74" i="39" s="1"/>
  <c r="M91" i="94"/>
  <c r="O91" i="94" s="1"/>
  <c r="M89" i="94"/>
  <c r="O89" i="94" s="1"/>
  <c r="M83" i="94"/>
  <c r="O83" i="94" s="1"/>
  <c r="M88" i="94"/>
  <c r="O88" i="94" s="1"/>
  <c r="M86" i="94"/>
  <c r="O86" i="94" s="1"/>
  <c r="M90" i="94"/>
  <c r="O90" i="94" s="1"/>
  <c r="M80" i="94"/>
  <c r="O80" i="94" s="1"/>
  <c r="M87" i="94"/>
  <c r="O87" i="94" s="1"/>
  <c r="M78" i="94"/>
  <c r="O78" i="94" s="1"/>
  <c r="M76" i="94"/>
  <c r="O76" i="94" s="1"/>
  <c r="K76" i="39"/>
  <c r="M85" i="94"/>
  <c r="O85" i="94" s="1"/>
  <c r="M77" i="94"/>
  <c r="O77" i="94" s="1"/>
  <c r="K75" i="39"/>
  <c r="Q75" i="39" s="1"/>
  <c r="S75" i="39" s="1"/>
  <c r="M82" i="94"/>
  <c r="O82" i="94" s="1"/>
  <c r="M81" i="94"/>
  <c r="O81" i="94" s="1"/>
  <c r="M75" i="94"/>
  <c r="M84" i="94"/>
  <c r="O84" i="94" s="1"/>
  <c r="M79" i="94"/>
  <c r="O79" i="94" s="1"/>
  <c r="Q76" i="39" l="1"/>
  <c r="S76" i="39" s="1"/>
  <c r="S74" i="39"/>
  <c r="O75" i="94"/>
  <c r="M101" i="94"/>
  <c r="M103" i="94" l="1"/>
  <c r="Q99" i="39"/>
  <c r="S99" i="39"/>
  <c r="O101" i="94"/>
  <c r="D206" i="120" l="1"/>
  <c r="Q101" i="39"/>
  <c r="D210" i="120" l="1"/>
  <c r="I210" i="120" s="1"/>
  <c r="I206" i="120"/>
  <c r="D211" i="120" l="1"/>
  <c r="I211" i="120"/>
  <c r="I284" i="120"/>
  <c r="C19" i="122"/>
  <c r="C22" i="122"/>
  <c r="I283" i="120" s="1"/>
  <c r="C23" i="122"/>
  <c r="I287" i="120" l="1"/>
  <c r="I11" i="120"/>
  <c r="D15" i="120" l="1"/>
  <c r="I15" i="120" s="1"/>
  <c r="I18" i="120" l="1"/>
  <c r="I20" i="120" l="1"/>
  <c r="G6" i="113" l="1"/>
  <c r="G10" i="113" l="1"/>
  <c r="C31" i="122"/>
  <c r="C35" i="122" s="1"/>
</calcChain>
</file>

<file path=xl/sharedStrings.xml><?xml version="1.0" encoding="utf-8"?>
<sst xmlns="http://schemas.openxmlformats.org/spreadsheetml/2006/main" count="1767" uniqueCount="937">
  <si>
    <t xml:space="preserve">  Average of 12 coincident system peaks for requirements (RQ) service       </t>
  </si>
  <si>
    <t>Project Amortization Expense</t>
  </si>
  <si>
    <t>Project Depreciation Expense</t>
  </si>
  <si>
    <t>Depreciation Expense</t>
  </si>
  <si>
    <t>13 Month Average</t>
  </si>
  <si>
    <t>Allocation Type Per Attachment FF</t>
  </si>
  <si>
    <t>MTEP Project ID</t>
  </si>
  <si>
    <t>Attachment MM - Supporting Data for Network Upgrade Charge Calculation - Forward Looking Rate Transmission Owner</t>
  </si>
  <si>
    <t>Line</t>
  </si>
  <si>
    <t>Annual Allocation Factor for Return</t>
  </si>
  <si>
    <t>Annual Allocation Factor for Expense</t>
  </si>
  <si>
    <t>n/a</t>
  </si>
  <si>
    <t>Attachment GG - Supporting Data for Network Upgrade Charge Calculation - Forward Looking Rate Transmission Owner</t>
  </si>
  <si>
    <t>Total Income Taxes</t>
  </si>
  <si>
    <t>TEP =</t>
  </si>
  <si>
    <t>SIT=</t>
  </si>
  <si>
    <t>FIT =</t>
  </si>
  <si>
    <t>November</t>
  </si>
  <si>
    <t>October</t>
  </si>
  <si>
    <t>September</t>
  </si>
  <si>
    <t>July</t>
  </si>
  <si>
    <t>June</t>
  </si>
  <si>
    <t>May</t>
  </si>
  <si>
    <t>April</t>
  </si>
  <si>
    <t>February</t>
  </si>
  <si>
    <t>Transmission</t>
  </si>
  <si>
    <t>Permanent Differences Tax Adjustment</t>
  </si>
  <si>
    <t>Tax Affect of Permanent Differences</t>
  </si>
  <si>
    <t>26b</t>
  </si>
  <si>
    <t>24b</t>
  </si>
  <si>
    <t>24a</t>
  </si>
  <si>
    <t>5a</t>
  </si>
  <si>
    <t>8b</t>
  </si>
  <si>
    <t>8a</t>
  </si>
  <si>
    <t>2b</t>
  </si>
  <si>
    <t>2a</t>
  </si>
  <si>
    <t>BB</t>
  </si>
  <si>
    <t>AA</t>
  </si>
  <si>
    <t>All amounts shown on this page (with the exception of CWC, line 26) are based on 13 month averages.  Work papers will be provided.</t>
  </si>
  <si>
    <t>Z</t>
  </si>
  <si>
    <t>Y</t>
  </si>
  <si>
    <t>X</t>
  </si>
  <si>
    <t>W</t>
  </si>
  <si>
    <t>Account 456.1 entry shall be the annual total of the quarterly values reported at Form 1, page 300.22.b.</t>
  </si>
  <si>
    <t>V</t>
  </si>
  <si>
    <t>Preliminary Survey and Investigation charges related to transmission construction projects started on or after January 1, 2004 are included in account 566 and not in account 183.</t>
  </si>
  <si>
    <t>U</t>
  </si>
  <si>
    <t>T</t>
  </si>
  <si>
    <t>Grandfathered agreements whose rates have been changed to eliminate or mitigate pancaking - the revenues are included in line 4, page 1 and the loads are included in line 13, page 1.  Grandfathered agreements whose rates have not been changed to eliminate or mitigate pancaking - the revenues are not included in line 4, page 1 nor are the loads included in line 13, page 1.</t>
  </si>
  <si>
    <t>S</t>
  </si>
  <si>
    <t>Includes income related only to transmission facilities, such as pole attachments, rentals and special use.</t>
  </si>
  <si>
    <t>R</t>
  </si>
  <si>
    <t>Line 33 must equal zero since all short-term power sales must be unbundled and the transmission component reflected in Account No. 456 and all other uses are to be included in the divisor.</t>
  </si>
  <si>
    <t>Q</t>
  </si>
  <si>
    <t>P</t>
  </si>
  <si>
    <t>Enter dollar amounts</t>
  </si>
  <si>
    <t>O</t>
  </si>
  <si>
    <t xml:space="preserve">Removes dollar amount of transmission plant to be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  </t>
  </si>
  <si>
    <t>N</t>
  </si>
  <si>
    <t>Removes transmission plant determined by Commission order to be state-jurisdictional according to the seven-factor test (until Form 1 balances are adjusted to reflect application of seven-factor test).</t>
  </si>
  <si>
    <t>M</t>
  </si>
  <si>
    <t>L</t>
  </si>
  <si>
    <t>(percent of the tax exempt ownership)</t>
  </si>
  <si>
    <t>(percent of federal income tax deductible for state purposes)</t>
  </si>
  <si>
    <t>p =</t>
  </si>
  <si>
    <t>(State Income Tax Rate or Composite SIT)</t>
  </si>
  <si>
    <t xml:space="preserve">         Inputs Required:</t>
  </si>
  <si>
    <t xml:space="preserve"> </t>
  </si>
  <si>
    <t>K</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</si>
  <si>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</si>
  <si>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J</t>
  </si>
  <si>
    <t xml:space="preserve">Line 5 - EPRI Annual Membership Dues listed in Form 1 at 353.f, all Regulatory Commission Expenses itemized at 351.h, and non-safety related advertising included in Account 930.1.  Line 5a - Regulatory Commission Expenses directly related to transmission service, ISO filings, or transmission siting itemized at 351.h. </t>
  </si>
  <si>
    <t>I</t>
  </si>
  <si>
    <t>Cash Working Capital assigned to transmission is one-eighth of O&amp;M allocated to transmission at page 3, line 8, column 5.  Prepayments are the electric related prepayments booked to Account No. 165 and reported on pages 111, line 57 in the Form 1.</t>
  </si>
  <si>
    <t>H</t>
  </si>
  <si>
    <t>Identified in Form 1 as being only transmission related.</t>
  </si>
  <si>
    <t>G</t>
  </si>
  <si>
    <t>The balances in Accounts 190, 281, 282 and 283, as adjusted by any amounts in contra accounts identified as regulatory assets or liabilities related to FASB 106 or 109.  Balance of Account 255 is reduced by prior flow throughs and excluded if the utility chose to utilize amortization of tax credits against taxable income as discussed in Note K.  Account 281 is not allocated.  The maximum deferred tax offset to rate base is calculated in accordance with the proration formula prescribed by IRS regulation section 1.167(l)-1(h)(6).</t>
  </si>
  <si>
    <t>F</t>
  </si>
  <si>
    <t xml:space="preserve">The FERC's annual charges for the year assessed the Transmission Owner for service under this tariff. </t>
  </si>
  <si>
    <t>E</t>
  </si>
  <si>
    <t>Labeled LF on page 328 of Form 1 at the time of the applicable pricing zone coincident monthly peaks.</t>
  </si>
  <si>
    <t>D</t>
  </si>
  <si>
    <t>C</t>
  </si>
  <si>
    <t>Labeled LF, LU, IF, IU on pages 310-311 of Form 1at the time of the applicable pricing zone coincident monthly peaks.</t>
  </si>
  <si>
    <t>B</t>
  </si>
  <si>
    <t>Peak as would be reported on page 401, column d of Form 1 at the time of the applicable pricing zone coincident monthly peaks.</t>
  </si>
  <si>
    <t>A</t>
  </si>
  <si>
    <t>Letter</t>
  </si>
  <si>
    <t>Note</t>
  </si>
  <si>
    <t>References to data from FERC Form 1 are indicated as:  #.y.x  (page, line, column)</t>
  </si>
  <si>
    <t>General Note:  References to pages in this formulary rate are indicated as:  (page#, line#, col.#)</t>
  </si>
  <si>
    <t>Utilizing FERC Form 1 Data</t>
  </si>
  <si>
    <t>Rate Formula Template</t>
  </si>
  <si>
    <t xml:space="preserve">Formula Rate - Non-Levelized </t>
  </si>
  <si>
    <t>page 5 of 5</t>
  </si>
  <si>
    <t xml:space="preserve">  Total of (a)-(b)-(c)-(d)</t>
  </si>
  <si>
    <t>36b</t>
  </si>
  <si>
    <t>36a</t>
  </si>
  <si>
    <t xml:space="preserve">  b. Transmission charges for all transmission transactions included in Divisor on Page 1</t>
  </si>
  <si>
    <t xml:space="preserve">  a. Transmission charges for all transmission transactions </t>
  </si>
  <si>
    <t>(330.x.n)</t>
  </si>
  <si>
    <t>ACCOUNT 456.1 (OTHER ELECTRIC REVENUES)  (Note V)</t>
  </si>
  <si>
    <t>ACCOUNT 454 (RENT FROM ELECTRIC PROPERTY)  (Note R)</t>
  </si>
  <si>
    <t xml:space="preserve">  Total of (a)-(b)</t>
  </si>
  <si>
    <t xml:space="preserve">  b. Bundled Sales for Resale  included in Divisor on page 1</t>
  </si>
  <si>
    <t xml:space="preserve">  a. Bundled Non-RQ Sales for Resale (311.x.h)</t>
  </si>
  <si>
    <t>(Note Q)</t>
  </si>
  <si>
    <t>(310-311)</t>
  </si>
  <si>
    <t>ACCOUNT 447 (SALES FOR RESALE)</t>
  </si>
  <si>
    <t>Load</t>
  </si>
  <si>
    <t>REVENUE CREDITS</t>
  </si>
  <si>
    <t>=R</t>
  </si>
  <si>
    <t>Total  (sum lines 27-29)</t>
  </si>
  <si>
    <t xml:space="preserve">  Common Stock  (line 26)</t>
  </si>
  <si>
    <t xml:space="preserve">  Preferred Stock  (112.3.c)</t>
  </si>
  <si>
    <t>=WCLTD</t>
  </si>
  <si>
    <t xml:space="preserve">  Long Term Debt  (112, sum of 18.c through 21.c)</t>
  </si>
  <si>
    <t>Weighted</t>
  </si>
  <si>
    <t>(Note P)</t>
  </si>
  <si>
    <t>%</t>
  </si>
  <si>
    <t>$</t>
  </si>
  <si>
    <t>Cost</t>
  </si>
  <si>
    <t>(sum lines 23-25)</t>
  </si>
  <si>
    <t>Common Stock</t>
  </si>
  <si>
    <t>Less Account 216.1 (112.12.c)  (enter negative)</t>
  </si>
  <si>
    <t xml:space="preserve">Less Preferred Stock (line 28) </t>
  </si>
  <si>
    <t>Proprietary Capital (112.16.c)</t>
  </si>
  <si>
    <t xml:space="preserve">                                          Development of Common Stock:</t>
  </si>
  <si>
    <t>Preferred Dividends (118.29c)  (positive number)</t>
  </si>
  <si>
    <t>Long Term Interest (117, sum of 62.c through 66.c)</t>
  </si>
  <si>
    <t>RETURN (R)</t>
  </si>
  <si>
    <t xml:space="preserve">  Total  (sum lines 17 - 19)</t>
  </si>
  <si>
    <t>200.3.e</t>
  </si>
  <si>
    <t xml:space="preserve">  Water</t>
  </si>
  <si>
    <t>=</t>
  </si>
  <si>
    <t>*</t>
  </si>
  <si>
    <t>200.3.d</t>
  </si>
  <si>
    <t xml:space="preserve">  Gas</t>
  </si>
  <si>
    <t>CE</t>
  </si>
  <si>
    <t>(line 16)</t>
  </si>
  <si>
    <t>(line 17 / line 20)</t>
  </si>
  <si>
    <t>200.3.c</t>
  </si>
  <si>
    <t xml:space="preserve">  Electric</t>
  </si>
  <si>
    <t>W&amp;S Allocator</t>
  </si>
  <si>
    <t>% Electric</t>
  </si>
  <si>
    <t>COMMON PLANT ALLOCATOR  (CE)  (Note O)</t>
  </si>
  <si>
    <t>WS</t>
  </si>
  <si>
    <t xml:space="preserve">  Total  (sum lines 12-15)</t>
  </si>
  <si>
    <t>($ / Allocation)</t>
  </si>
  <si>
    <t>354.24,25,26.b</t>
  </si>
  <si>
    <t xml:space="preserve">  Other</t>
  </si>
  <si>
    <t>354.23.b</t>
  </si>
  <si>
    <t xml:space="preserve">  Distribution</t>
  </si>
  <si>
    <t>354.21.b</t>
  </si>
  <si>
    <t xml:space="preserve">  Transmission</t>
  </si>
  <si>
    <t>354.20.b</t>
  </si>
  <si>
    <t xml:space="preserve">  Production</t>
  </si>
  <si>
    <t>Allocation</t>
  </si>
  <si>
    <t>TP</t>
  </si>
  <si>
    <t>Form 1 Reference</t>
  </si>
  <si>
    <t>WAGES &amp; SALARY ALLOCATOR  (W&amp;S)</t>
  </si>
  <si>
    <t>TE=</t>
  </si>
  <si>
    <t>Percentage of Transmission expenses included in ISO Rates  (line 9 times line 10)</t>
  </si>
  <si>
    <t>Percentage of Transmission plant included in ISO Rates  (line 5)</t>
  </si>
  <si>
    <t>Percentage of Transmission expenses after adjustment  (line 8 divided by line 6)</t>
  </si>
  <si>
    <r>
      <t>Included Transmission expenses  (line 6 less line</t>
    </r>
    <r>
      <rPr>
        <sz val="12"/>
        <color indexed="10"/>
        <rFont val="Times New Roman"/>
        <family val="1"/>
      </rPr>
      <t xml:space="preserve"> </t>
    </r>
    <r>
      <rPr>
        <sz val="12"/>
        <rFont val="Times New Roman"/>
        <family val="1"/>
      </rPr>
      <t>7)</t>
    </r>
  </si>
  <si>
    <t>Less revenue received attributable to account 457.1  (Note L)</t>
  </si>
  <si>
    <r>
      <t>Total Transmission expenses  (page 3, line 1, column 3)</t>
    </r>
    <r>
      <rPr>
        <sz val="12"/>
        <color indexed="10"/>
        <rFont val="Times New Roman"/>
        <family val="1"/>
      </rPr>
      <t xml:space="preserve"> </t>
    </r>
  </si>
  <si>
    <t xml:space="preserve">TRANSMISSION EXPENSES </t>
  </si>
  <si>
    <t>TP=</t>
  </si>
  <si>
    <t>Percentage of Transmission plant included in ISO Rates  (line 4 divided by line 1)</t>
  </si>
  <si>
    <t>Transmission plant included in ISO rates  (line 1 less lines 2 &amp; 3)</t>
  </si>
  <si>
    <t>Less Transmission plant included in OATT Ancillary Services  (Note N )</t>
  </si>
  <si>
    <t>Less Transmission plant excluded from ISO rates  (Note M)</t>
  </si>
  <si>
    <t>Total Transmission plant  (page 2, line 2a, column 3)</t>
  </si>
  <si>
    <t>TRANSMISSION PLANT INCLUDED IN ISO RATES</t>
  </si>
  <si>
    <t>No.</t>
  </si>
  <si>
    <t xml:space="preserve">                SUPPORTING CALCULATIONS AND NOTES</t>
  </si>
  <si>
    <t>page 4 of 5</t>
  </si>
  <si>
    <t>(line 29 - line 30 - line30a)</t>
  </si>
  <si>
    <t>REV. REQUIREMENT TO BE COLLECTED UNDER ATTACHMENT O</t>
  </si>
  <si>
    <t>included in Attachment MM]</t>
  </si>
  <si>
    <t xml:space="preserve">[Revenue Requirement for facilities included on page 2, line 2, and also  </t>
  </si>
  <si>
    <t>30a</t>
  </si>
  <si>
    <t>included in Attachment GG]</t>
  </si>
  <si>
    <t>REV. REQUIREMENT  (sum lines 8, 12, 20, 27, 28)</t>
  </si>
  <si>
    <t xml:space="preserve">  [Rate Base (page 2, line 30) * Rate of Return (page 4, line 30)]</t>
  </si>
  <si>
    <t>NA</t>
  </si>
  <si>
    <t xml:space="preserve">RETURN </t>
  </si>
  <si>
    <t>Total Income Taxes (line 25 plus line 26 plus lines 26a and 26b)</t>
  </si>
  <si>
    <t>NP</t>
  </si>
  <si>
    <t>Excess Deferred Income Tax Adjustment (line 23 * line 24a)</t>
  </si>
  <si>
    <t>26a</t>
  </si>
  <si>
    <t>ITC adjustment (line 23 * line 24)</t>
  </si>
  <si>
    <t>Income Tax Calculation = line 22 * line 28</t>
  </si>
  <si>
    <t>Excess Deferred Income Taxes (enter negative)</t>
  </si>
  <si>
    <t>Amortized Investment Tax Credit (266.8f) (enter negative)</t>
  </si>
  <si>
    <t xml:space="preserve">      1 / (1 - T)  =  (from line 21)</t>
  </si>
  <si>
    <t xml:space="preserve">       and FIT, SIT &amp; p are as given in footnote K.</t>
  </si>
  <si>
    <t xml:space="preserve">     CIT=(T/1-T) * (1-(WCLTD/R)) =</t>
  </si>
  <si>
    <t xml:space="preserve">     T=1 - {[(1 - SIT) * (1 - FIT)] / (1 - SIT * FIT * p)} * (1-TEP)=</t>
  </si>
  <si>
    <t>(Note K)</t>
  </si>
  <si>
    <t xml:space="preserve">INCOME TAXES          </t>
  </si>
  <si>
    <t>TOTAL OTHER TAXES  (sum lines 13 - 19)</t>
  </si>
  <si>
    <t>GP</t>
  </si>
  <si>
    <t xml:space="preserve">         Payments in lieu of taxes</t>
  </si>
  <si>
    <t>263.i</t>
  </si>
  <si>
    <t xml:space="preserve">         Other</t>
  </si>
  <si>
    <t>zero</t>
  </si>
  <si>
    <t xml:space="preserve">         Gross Receipts</t>
  </si>
  <si>
    <t xml:space="preserve">         Property</t>
  </si>
  <si>
    <t xml:space="preserve">  PLANT RELATED</t>
  </si>
  <si>
    <t>W/S</t>
  </si>
  <si>
    <t xml:space="preserve">          Highway and vehicle</t>
  </si>
  <si>
    <t xml:space="preserve">          Payroll</t>
  </si>
  <si>
    <t xml:space="preserve">  LABOR RELATED</t>
  </si>
  <si>
    <t>TAXES OTHER THAN INCOME TAXES  (Note J)</t>
  </si>
  <si>
    <t>TOTAL DEPRECIATION  (sum lines 9 - 11)</t>
  </si>
  <si>
    <t>336.11.b&amp;d</t>
  </si>
  <si>
    <t xml:space="preserve">  Common</t>
  </si>
  <si>
    <t xml:space="preserve">  Transmission </t>
  </si>
  <si>
    <t>TOTAL O&amp;M   (sum lines 1, 3, 5a, 6, 7 less lines 1a, 2, 4, 5)</t>
  </si>
  <si>
    <t xml:space="preserve">  Transmission Lease Payments</t>
  </si>
  <si>
    <t>356.1</t>
  </si>
  <si>
    <t>TE</t>
  </si>
  <si>
    <t xml:space="preserve">     Plus Transmission Related Reg. Comm. Exp.  (Note I)</t>
  </si>
  <si>
    <t xml:space="preserve">     Less EPRI &amp; Reg. Comm. Exp. &amp; Non-safety  Ad.  (Note I)</t>
  </si>
  <si>
    <t xml:space="preserve">     Less FERC Annual Fees</t>
  </si>
  <si>
    <t>323.197.b</t>
  </si>
  <si>
    <t xml:space="preserve">  A&amp;G</t>
  </si>
  <si>
    <t>321.96.b</t>
  </si>
  <si>
    <t xml:space="preserve">     Less Account 565</t>
  </si>
  <si>
    <t xml:space="preserve">     Less LSE Expenses Included in Transmission O&amp;M Accounts  (Note W)</t>
  </si>
  <si>
    <t>1a</t>
  </si>
  <si>
    <t>321.112.b</t>
  </si>
  <si>
    <t>(Col 3 times Col 4)</t>
  </si>
  <si>
    <t xml:space="preserve">                  Allocator</t>
  </si>
  <si>
    <t>Company Total</t>
  </si>
  <si>
    <t>Page, Line, Col.</t>
  </si>
  <si>
    <t>Form No. 1</t>
  </si>
  <si>
    <t>(5)</t>
  </si>
  <si>
    <t>(4)</t>
  </si>
  <si>
    <t>(3)</t>
  </si>
  <si>
    <t>(2)</t>
  </si>
  <si>
    <t>(1)</t>
  </si>
  <si>
    <t>page 3 of 5</t>
  </si>
  <si>
    <t>RATE BASE  (sum lines 18, 24, 25, &amp; 29)</t>
  </si>
  <si>
    <t>TOTAL WORKING CAPITAL  (sum lines 26 - 28)</t>
  </si>
  <si>
    <t>111.57.c</t>
  </si>
  <si>
    <t xml:space="preserve">  Prepayments (Account 165)</t>
  </si>
  <si>
    <t>227.8.c &amp; .16.c</t>
  </si>
  <si>
    <t xml:space="preserve">  Materials &amp; Supplies  (Note G)</t>
  </si>
  <si>
    <t>calculated</t>
  </si>
  <si>
    <t xml:space="preserve">  CWC </t>
  </si>
  <si>
    <t>WORKING CAPITAL  (Note H)</t>
  </si>
  <si>
    <t>214.x.d  (Note G)</t>
  </si>
  <si>
    <t xml:space="preserve">LAND HELD FOR FUTURE USE </t>
  </si>
  <si>
    <t>TOTAL ADJUSTMENTS  (sum lines 19- 23)</t>
  </si>
  <si>
    <t>267.8.h</t>
  </si>
  <si>
    <t xml:space="preserve">  Account No. 255 (enter negative)</t>
  </si>
  <si>
    <t>234.8.c</t>
  </si>
  <si>
    <t xml:space="preserve">  Account No. 190 </t>
  </si>
  <si>
    <t>277.9.k</t>
  </si>
  <si>
    <t xml:space="preserve">  Account No. 283 (enter negative)</t>
  </si>
  <si>
    <t>275.2.k</t>
  </si>
  <si>
    <t xml:space="preserve">  Account No. 282 (enter negative)</t>
  </si>
  <si>
    <t>273.8.k</t>
  </si>
  <si>
    <t xml:space="preserve">  Account No. 281 (enter negative)</t>
  </si>
  <si>
    <t>ADJUSTMENTS TO RATE BASE  (Note F)</t>
  </si>
  <si>
    <t>NP=</t>
  </si>
  <si>
    <t>TOTAL NET PLANT  (sum lines 13-17)</t>
  </si>
  <si>
    <t>(line 5 - line 11)</t>
  </si>
  <si>
    <t>(line 4 - line 10)</t>
  </si>
  <si>
    <t>(line 3 - line 9)</t>
  </si>
  <si>
    <t xml:space="preserve">  CWIP</t>
  </si>
  <si>
    <t>14b</t>
  </si>
  <si>
    <t>14a</t>
  </si>
  <si>
    <t>(line 1- line 7)</t>
  </si>
  <si>
    <t>NET PLANT IN SERVICE</t>
  </si>
  <si>
    <t>TOTAL ACCUM. DEPRECIATION  (sum lines 7-11)</t>
  </si>
  <si>
    <t>219.26.c</t>
  </si>
  <si>
    <t>219.20-24.c</t>
  </si>
  <si>
    <t>ACCUMULATED DEPRECIATION</t>
  </si>
  <si>
    <t>GP=</t>
  </si>
  <si>
    <t>TOTAL GROSS PLANT  (sum lines 1-5)</t>
  </si>
  <si>
    <t>207.75.g</t>
  </si>
  <si>
    <t>205.46.g</t>
  </si>
  <si>
    <t>GROSS PLANT IN SERVICE</t>
  </si>
  <si>
    <r>
      <t>RATE BASE:</t>
    </r>
    <r>
      <rPr>
        <b/>
        <sz val="12"/>
        <color indexed="10"/>
        <rFont val="Times New Roman"/>
        <family val="1"/>
      </rPr>
      <t xml:space="preserve"> </t>
    </r>
  </si>
  <si>
    <t>Thirteen Month Average Rate Base Balances (Note Z)</t>
  </si>
  <si>
    <t>page 2 of 5</t>
  </si>
  <si>
    <t>Long Term</t>
  </si>
  <si>
    <t>Short Term</t>
  </si>
  <si>
    <t>(Note E)</t>
  </si>
  <si>
    <t>FERC Annual Charge ($/MWh)</t>
  </si>
  <si>
    <t>and daily rates</t>
  </si>
  <si>
    <t xml:space="preserve"> times 1,000)</t>
  </si>
  <si>
    <t>Capped at weekly</t>
  </si>
  <si>
    <t>(line 16 / 4,160; line 16 / 8,760</t>
  </si>
  <si>
    <t>Point-To-Point Rate ($/MWh)</t>
  </si>
  <si>
    <t>Capped at weekly rate</t>
  </si>
  <si>
    <t>(line 16 / 260; line 16 / 365)</t>
  </si>
  <si>
    <t>Point-To-Point Rate ($/kW/Day)</t>
  </si>
  <si>
    <t>(line 16 / 52; line 16 / 52)</t>
  </si>
  <si>
    <t>Point-To-Point Rate ($/kW/Wk)</t>
  </si>
  <si>
    <t>Off-Peak Rate</t>
  </si>
  <si>
    <t>Peak Rate</t>
  </si>
  <si>
    <t>(line 16 / 12)</t>
  </si>
  <si>
    <t xml:space="preserve">Network &amp; P-to-P Rate ($/kW/Mo) </t>
  </si>
  <si>
    <t>(line 7 / line 15)</t>
  </si>
  <si>
    <t>Annual Cost ($/kW/Yr)</t>
  </si>
  <si>
    <t>Divisor (sum lines 8-14)</t>
  </si>
  <si>
    <t xml:space="preserve">  Less Contract Demands from service over one year provided by ISO at a discount (enter negative)</t>
  </si>
  <si>
    <t xml:space="preserve">  Less Contract Demand from Grandfathered Interzonal Transactions over one year (enter negative)  (Note S)</t>
  </si>
  <si>
    <t xml:space="preserve">  Plus Contract Demand of firm P-T-P over one year</t>
  </si>
  <si>
    <t>(Note D)</t>
  </si>
  <si>
    <t xml:space="preserve">  Less 12 CP of firm P-T-P over one year (enter negative)</t>
  </si>
  <si>
    <t>(Note C)</t>
  </si>
  <si>
    <t xml:space="preserve">  Plus 12 CP of Network Load not in line 8</t>
  </si>
  <si>
    <t>(Note B)</t>
  </si>
  <si>
    <t xml:space="preserve">  Plus 12 CP of firm bundled sales over one year not in line 8</t>
  </si>
  <si>
    <t>(Note A)</t>
  </si>
  <si>
    <t xml:space="preserve">DIVISOR </t>
  </si>
  <si>
    <t>(line 1 minus line 6)</t>
  </si>
  <si>
    <t>NET REVENUE REQUIREMENT</t>
  </si>
  <si>
    <t>TOTAL REVENUE CREDITS  (sum lines 2-5)</t>
  </si>
  <si>
    <t xml:space="preserve">  Revenues from service provided by the ISO at a discount</t>
  </si>
  <si>
    <t xml:space="preserve">  Revenues from Grandfathered Interzonal Transactions</t>
  </si>
  <si>
    <t>(page 4, line 37)</t>
  </si>
  <si>
    <t xml:space="preserve">  Account No. 456.1</t>
  </si>
  <si>
    <t>(page 4, line 34)</t>
  </si>
  <si>
    <t xml:space="preserve">  Account No. 454</t>
  </si>
  <si>
    <t>Allocator</t>
  </si>
  <si>
    <t>Total</t>
  </si>
  <si>
    <t>(Note T)</t>
  </si>
  <si>
    <t xml:space="preserve">REVENUE CREDITS </t>
  </si>
  <si>
    <t>Amount</t>
  </si>
  <si>
    <t>Allocated</t>
  </si>
  <si>
    <t>Composite Depreciation Rates</t>
  </si>
  <si>
    <t>Thirteen Monthly Balances</t>
  </si>
  <si>
    <t>American Transmission Company LLC</t>
  </si>
  <si>
    <t>page 1 of 5</t>
  </si>
  <si>
    <t>The Total General and Common Depreciation Expense excludes any depreciation expense directly associated with a project and thereby included in page 2 column 9.</t>
  </si>
  <si>
    <t>Project Net Plant is the Project Gross Plant Identified in Column 3 less the associated Accumulated Depreciation.</t>
  </si>
  <si>
    <t>Annual Totals</t>
  </si>
  <si>
    <t>2</t>
  </si>
  <si>
    <t>(Note F)</t>
  </si>
  <si>
    <t>(Col. 6 * Col. 7)</t>
  </si>
  <si>
    <t>(Page 1 line 14)</t>
  </si>
  <si>
    <t>(Col. 3 * Col. 4)</t>
  </si>
  <si>
    <t>(Page 1 line 9)</t>
  </si>
  <si>
    <t>Network Upgrade Charge</t>
  </si>
  <si>
    <t>True-Up Adjustment</t>
  </si>
  <si>
    <t>Annual Revenue Requirement</t>
  </si>
  <si>
    <t>Annual Return Charge</t>
  </si>
  <si>
    <t xml:space="preserve">Project Net Plant </t>
  </si>
  <si>
    <t>Annual Expense Charge</t>
  </si>
  <si>
    <t xml:space="preserve">Project Gross Plant </t>
  </si>
  <si>
    <t>MTEP Project Number</t>
  </si>
  <si>
    <t>Project Name</t>
  </si>
  <si>
    <t>Line No.</t>
  </si>
  <si>
    <t xml:space="preserve">                           Network Upgrade Charge Calculation By Project</t>
  </si>
  <si>
    <t>Page 2 of 2</t>
  </si>
  <si>
    <t>Sum of line 11 and 13</t>
  </si>
  <si>
    <t>14</t>
  </si>
  <si>
    <t>(line 12 divided by line 2 col 3)</t>
  </si>
  <si>
    <t>Annual Allocation Factor for Return on Rate Base</t>
  </si>
  <si>
    <t>13</t>
  </si>
  <si>
    <t>Return on Rate Base</t>
  </si>
  <si>
    <t>12</t>
  </si>
  <si>
    <t>(line 10 divided by line 2 col 3)</t>
  </si>
  <si>
    <t>Annual Allocation Factor for Income Taxes</t>
  </si>
  <si>
    <t>11</t>
  </si>
  <si>
    <t>10</t>
  </si>
  <si>
    <t>INCOME TAXES</t>
  </si>
  <si>
    <t>Sum of line 4, 6, and 8</t>
  </si>
  <si>
    <t>9</t>
  </si>
  <si>
    <t>(line 7 divided by line 1 col 3)</t>
  </si>
  <si>
    <t>Annual Allocation Factor for Other Taxes</t>
  </si>
  <si>
    <t>8</t>
  </si>
  <si>
    <t>Total Other Taxes</t>
  </si>
  <si>
    <t>7</t>
  </si>
  <si>
    <t>TAXES OTHER THAN INCOME TAXES</t>
  </si>
  <si>
    <t>(line 5 divided by line 1 col 3)</t>
  </si>
  <si>
    <t>Annual Allocation Factor for G&amp;C Depreciation Expense</t>
  </si>
  <si>
    <t>6</t>
  </si>
  <si>
    <t>Total G&amp;C Depreciation Expense</t>
  </si>
  <si>
    <t>5</t>
  </si>
  <si>
    <t>GENERAL AND COMMON (G&amp;C) DEPRECIATION EXPENSE</t>
  </si>
  <si>
    <t>Annual Allocation Factor for O&amp;M</t>
  </si>
  <si>
    <t>Total O&amp;M Allocated to Transmission</t>
  </si>
  <si>
    <t>O&amp;M EXPENSE</t>
  </si>
  <si>
    <t>Net Transmission Plant - Total</t>
  </si>
  <si>
    <t>Gross Transmission Plant - Total</t>
  </si>
  <si>
    <t>Page 1 of 2</t>
  </si>
  <si>
    <t xml:space="preserve">     Rate Formula Template</t>
  </si>
  <si>
    <t>Formula Rate calculation</t>
  </si>
  <si>
    <t>MVP Total Annual Revenue Requirements</t>
  </si>
  <si>
    <t>Multi-Value Projects (MVP)</t>
  </si>
  <si>
    <t>MVP Annual Adjusted Revenue Requirement</t>
  </si>
  <si>
    <t>Multi-Value Project (MVP) Revenue Requirement Calculation</t>
  </si>
  <si>
    <t>The Total General and Common Depreciation Expense excludes any depreciation expense directly associated with a project and thereby included in page 2 column 13.</t>
  </si>
  <si>
    <t>The MVP Annual Revenue Requirement is the value to be used in Schedule 26-A.</t>
  </si>
  <si>
    <t>Note deliberately left blank.</t>
  </si>
  <si>
    <t>Sum Col. 14 &amp; 15
(Note G)</t>
  </si>
  <si>
    <t>(Col 10 * Col 11)</t>
  </si>
  <si>
    <t>(Col 3 - Col 4)</t>
  </si>
  <si>
    <t>(Col 6 + Col 8)</t>
  </si>
  <si>
    <t>(Col 3 * Col 7)</t>
  </si>
  <si>
    <t>Page 1 line 9</t>
  </si>
  <si>
    <t>(Col 4 * Col 5)</t>
  </si>
  <si>
    <t>Page 1 line 4</t>
  </si>
  <si>
    <t>Annual Allocation for Other Expense</t>
  </si>
  <si>
    <t>Other Expense Annual Allocation Factor</t>
  </si>
  <si>
    <t>Annual Allocation for Transmission O&amp;M Expense</t>
  </si>
  <si>
    <t>Transmission O&amp;M Annual Allocation Factor</t>
  </si>
  <si>
    <t>Project Accumulated Depreciation</t>
  </si>
  <si>
    <t>Project Gross Plant</t>
  </si>
  <si>
    <t>(16)</t>
  </si>
  <si>
    <t>(15)</t>
  </si>
  <si>
    <t>(14)</t>
  </si>
  <si>
    <t>(13)</t>
  </si>
  <si>
    <t>(12)</t>
  </si>
  <si>
    <t>(11)</t>
  </si>
  <si>
    <t>(10)</t>
  </si>
  <si>
    <t>(9)</t>
  </si>
  <si>
    <t>(8)</t>
  </si>
  <si>
    <t>(7)</t>
  </si>
  <si>
    <t>(6)</t>
  </si>
  <si>
    <t>Sum of line 4b, 6, and 8</t>
  </si>
  <si>
    <t>Annual Allocation Factor for Other Expense</t>
  </si>
  <si>
    <t>Line 4a divided by Line 1, col 3</t>
  </si>
  <si>
    <t>Annual Allocation Factor for Other O&amp;M</t>
  </si>
  <si>
    <t>4b</t>
  </si>
  <si>
    <t>Other O&amp;M Allocated to Transmission</t>
  </si>
  <si>
    <t>4a</t>
  </si>
  <si>
    <t>OTHER O&amp;M EXPENSE</t>
  </si>
  <si>
    <t>(Line 3d divided by line 1a, col 3)</t>
  </si>
  <si>
    <t>Annual Allocation Factor for Transmission O&amp;M</t>
  </si>
  <si>
    <t>Adjusted Transmission O&amp;M</t>
  </si>
  <si>
    <t>3d</t>
  </si>
  <si>
    <t>Less: Account 565 included in above, if any</t>
  </si>
  <si>
    <t>3c</t>
  </si>
  <si>
    <t>Less: LSE Expenses included in above, if any</t>
  </si>
  <si>
    <t>3b</t>
  </si>
  <si>
    <t>Transmission O&amp;M</t>
  </si>
  <si>
    <t>3a</t>
  </si>
  <si>
    <t>O&amp;M TRANSMISSION EXPENSE</t>
  </si>
  <si>
    <t>Line 1 minus Line 1a (Note B)</t>
  </si>
  <si>
    <t>Transmission Accumulated Depreciation</t>
  </si>
  <si>
    <t xml:space="preserve">March </t>
  </si>
  <si>
    <t xml:space="preserve">August </t>
  </si>
  <si>
    <t xml:space="preserve">Rate Year </t>
  </si>
  <si>
    <t>Reporting Company</t>
  </si>
  <si>
    <t>ATC</t>
  </si>
  <si>
    <t>Pricing Zone</t>
  </si>
  <si>
    <t>Gross Plant</t>
  </si>
  <si>
    <t>Column (3)</t>
  </si>
  <si>
    <t>Accumulated</t>
  </si>
  <si>
    <t>Depreciation</t>
  </si>
  <si>
    <t>Net Plant</t>
  </si>
  <si>
    <t>Column (6)</t>
  </si>
  <si>
    <t>Column (9)</t>
  </si>
  <si>
    <t>Depreciation Expense Total</t>
  </si>
  <si>
    <t>3a1</t>
  </si>
  <si>
    <t>Project O&amp;M Incentive</t>
  </si>
  <si>
    <t>Column (10)</t>
  </si>
  <si>
    <t>Column (13)</t>
  </si>
  <si>
    <t>Column (14)</t>
  </si>
  <si>
    <t>Precertification Expense</t>
  </si>
  <si>
    <t>2452 / 3160</t>
  </si>
  <si>
    <t>Project Gross Plant is the total capital investment for the project calculated in the same method as the gross plant value in line 1 and includes CWIP in rate base less any prefunded AFUDC, if applicable.  This value includes subsequent capital investments required to maintain the facilities to their original capabilities.</t>
  </si>
  <si>
    <t>True-Up Adjustment is included pursuant to a FERC approved methodology, if applicable.</t>
  </si>
  <si>
    <t xml:space="preserve">  Transmission &amp; Intangible</t>
  </si>
  <si>
    <t>207.58.g &amp; 205.5g</t>
  </si>
  <si>
    <t xml:space="preserve">  General</t>
  </si>
  <si>
    <t>207.99.g</t>
  </si>
  <si>
    <t>219.25.c&amp;d &amp; 200.21.c</t>
  </si>
  <si>
    <t>O&amp;M (Note U, Note CC)</t>
  </si>
  <si>
    <t>DEPRECIATION AND AMORTIZATION EXPENSE</t>
  </si>
  <si>
    <t>336.7.b &amp; 336.1.d</t>
  </si>
  <si>
    <t>336.10.b&amp;d</t>
  </si>
  <si>
    <t xml:space="preserve">       where WCLTD = (page 4, line 27) and R = (page 4, line 30)</t>
  </si>
  <si>
    <t>Account Nos. 561.4 and 561.8 consist of RTO expenses billed to load-serving entities and are not included in Transmission Owner revenue requirements.</t>
  </si>
  <si>
    <t>Schedule 10-FERC charges should not be included in O&amp;M recovered under this Attachment O.</t>
  </si>
  <si>
    <t>CC</t>
  </si>
  <si>
    <t>Rev. Req. Adj For Attachment O - ATCLLC</t>
  </si>
  <si>
    <t>(Note J)</t>
  </si>
  <si>
    <t>Preliminary Survey and Investigation Expense</t>
  </si>
  <si>
    <t>(13a)</t>
  </si>
  <si>
    <t>Attachment MM - ATCLLC</t>
  </si>
  <si>
    <t>Precertification Expense Total</t>
  </si>
  <si>
    <t>Preliminary Survey and Investigation expense (pre-certification costs) equals the actual value booked, or projected to be booked for forward-looking rate periods, for all of the MISO approved projects and included in Attachment O – ATCLLC, Page 3, Line 1, Column 5.</t>
  </si>
  <si>
    <t>True-Up Adjustment is included pursuant to Attachment MM - ATCLLC Annual True-up Procedure.</t>
  </si>
  <si>
    <t>Project Depreciation Expense is the actual value booked for the project and included in the Depreciation Expense in Attachment O - ATCLLC page 3 line 12.</t>
  </si>
  <si>
    <t>Net Transmission Plant is that identified on page 2 lines 14a and 14b of Attachment O - ATCLLC and is inclusive of any CWIP included in rate base.</t>
  </si>
  <si>
    <t xml:space="preserve"> Utilizing Attachment O - ATCLLC Data</t>
  </si>
  <si>
    <t>Attach O - ATCLLC, p 3, line 28 col 5</t>
  </si>
  <si>
    <t>Attach O - ATCLLC, p 3, line 27 col 5</t>
  </si>
  <si>
    <t>Attach O - ATCLLC, p 3, line 20 col 5</t>
  </si>
  <si>
    <t>Attach O - ATCLLC, p 3, lines 10 &amp; 11, col 5 (Note H)</t>
  </si>
  <si>
    <t>Line 3a minus Lines 3a1, 3b and 3c</t>
  </si>
  <si>
    <t>Attach O - ATCLLC, p 3, line 2 col 5</t>
  </si>
  <si>
    <t>Attach O - ATCLLC, p 3, line 1a col 5</t>
  </si>
  <si>
    <t>Attach O - ATCLLC, p 3, line 1 col 5</t>
  </si>
  <si>
    <t>Attach O - ATCLLC, p 3, line 8 col 5</t>
  </si>
  <si>
    <t>Attach O - ATCLLC, p 2, line 8a and 8b col 5 (Note A)</t>
  </si>
  <si>
    <t>Attach O - ATCLLC, p 2, line 2a and 2b col 5 (Note A)</t>
  </si>
  <si>
    <t>Attachment O - ATCLLC</t>
  </si>
  <si>
    <t>(inputs from Attachment O - ATCLLC are rounded to whole dollars)</t>
  </si>
  <si>
    <t>To be completed in conjunction with Attachment O - ATCLLC.</t>
  </si>
  <si>
    <t>(Sum Col. 9, 12, 13 &amp; 13a)</t>
  </si>
  <si>
    <t>MVP</t>
  </si>
  <si>
    <t>Reliability</t>
  </si>
  <si>
    <t>Included in Attach O - ATCLLC, P 3, line 1 col 5</t>
  </si>
  <si>
    <t>Adjusted O&amp;M Allocated to Transmission</t>
  </si>
  <si>
    <t>(line 3b divided by line 1 col 3)</t>
  </si>
  <si>
    <t>(line 3 minus line 3a col 3)</t>
  </si>
  <si>
    <t>(9a)</t>
  </si>
  <si>
    <t>Attachment GG - ATCLLC</t>
  </si>
  <si>
    <t>Attach O - ATCLLC, p 2, line 2 col 5 (Note A)</t>
  </si>
  <si>
    <t>Preliminary Survey and Investigation expense (pre-certification costs) equals the actual value booked, or projected to be booked for forward-looking rate periods, for each of the MISO approved RECB Projects and included in Attachment O – ATCLLC, Page 3, Line 1, Column 5.</t>
  </si>
  <si>
    <t>Column (9a)</t>
  </si>
  <si>
    <t>The Network Upgrade Charge is the value to be used in schedules associated with Attachment GG - ATCLLC.</t>
  </si>
  <si>
    <r>
      <t xml:space="preserve">Net Transmission Plant is that identified on page 2 line 14 of Attachment O - ATCLLC and includes any sub lines 14a or 14b etc. and is inclusive of any CWIP included in rate base when authorized by FERC order </t>
    </r>
    <r>
      <rPr>
        <sz val="12"/>
        <rFont val="Arial"/>
        <family val="2"/>
      </rPr>
      <t>less any prefunded AFUDC, if applicable.</t>
    </r>
  </si>
  <si>
    <r>
      <t>Gross Transmission Plant is that identified on page 2 line 2 of Attachment O - ATCLLC and includes any sub lines 2a or 2b etc. and is inclusive of any CWIP included in rate base when authorized by FERC order</t>
    </r>
    <r>
      <rPr>
        <sz val="12"/>
        <rFont val="Arial"/>
        <family val="2"/>
      </rPr>
      <t xml:space="preserve"> less any prefunded AFUDC, if applicable.</t>
    </r>
  </si>
  <si>
    <t>(Sum Col. 10 &amp; 11)
(Note G)</t>
  </si>
  <si>
    <t>(Sum Col. 5, 8, 9  &amp; 9a)</t>
  </si>
  <si>
    <t>Less: Preliminary Survey and Investigation Adjustment  (Note I)</t>
  </si>
  <si>
    <t>Attach O - ATCLLC, p 2, line 14 col 5 (Note B)</t>
  </si>
  <si>
    <t xml:space="preserve">Removes from revenue credits revenues that are distributed pursuant to the associated schedules of the Midwest ISO Tariff, since the Transmission Owner's Attachment O revenue requirements have already been reduced by the Attachment MM revenue requirements.  </t>
  </si>
  <si>
    <t>Pursuant to Attachment MM of the Midwest ISO Tariff, removes dollar amount of revenue requirements calculated pursuant to Attachment MM and recovered under the associated schedules of the Midwest ISO Tariff.</t>
  </si>
  <si>
    <t xml:space="preserve">Removes from revenue credits revenues that are distributed pursuant to the associated schedules of the Midwest ISO Tariff, since the Transmission Owner's Attachment O revenue requirements have already been reduced by the Attachment GG revenue requirements.  </t>
  </si>
  <si>
    <t>Pursuant to Attachment GG of the Midwest ISO Tariff, removes dollar amount of revenue requirements calculated pursuant to Attachment GG and recovered under the associated schedules of the Midwest ISO Tariff.</t>
  </si>
  <si>
    <t>The currently effective income tax rate,  where FIT is the Federal income tax rate; SIT is the State income tax rate, and p = "the percentage of federal income tax deductible for state income taxes" and TEP = "the tax exempt ownership interest".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Excess Deferred Income Taxes reduce income tax expense by the amount of the expense multiplied by (1/1-T) (page 3, line 26a).</t>
  </si>
  <si>
    <t xml:space="preserve">  c. Transmission charges from Schedules associated with Attachment GG  (Note Y)</t>
  </si>
  <si>
    <t>LESS ATTACHMENT MM ADJUSTMENT [Attachment MM, page 2, line 3]   (Note AA)</t>
  </si>
  <si>
    <t>LESS ATTACHMENT GG ADJUSTMENT [Attachment GG, page 2, line 3]   (Note X)</t>
  </si>
  <si>
    <t>219.28.c&amp;d</t>
  </si>
  <si>
    <t>Schedule 1 Recoverable Expenses</t>
  </si>
  <si>
    <t>Company:</t>
  </si>
  <si>
    <t>Rate Year:</t>
  </si>
  <si>
    <t>True-Up Year:</t>
  </si>
  <si>
    <t>Projected or Actual:</t>
  </si>
  <si>
    <t>Company</t>
  </si>
  <si>
    <t>Account 561.1 (Note B)</t>
  </si>
  <si>
    <t>(Form 1, p 321, Line 85)</t>
  </si>
  <si>
    <t>Account 561.2</t>
  </si>
  <si>
    <t>(Form 1, p 321, Line 86)</t>
  </si>
  <si>
    <t>Account 561.3</t>
  </si>
  <si>
    <t>(Form 1, p 321, Line 87)</t>
  </si>
  <si>
    <t xml:space="preserve">   Subtotal</t>
  </si>
  <si>
    <t>(sum lines 1 - 3)</t>
  </si>
  <si>
    <t>Account 561.BA for Schedule 24</t>
  </si>
  <si>
    <t>(Form 1, footnote to p 320, Lines 85,86,87)</t>
  </si>
  <si>
    <t>Revenue Credits (excluding True-Up Adjustment) (Note C)</t>
  </si>
  <si>
    <t>Total Schedule 1 Annual Revenue Requirement</t>
  </si>
  <si>
    <t>True-up Adjustment (Note D)</t>
  </si>
  <si>
    <t>Net Schedule 1 Adjusted Annual Revenue Requirement</t>
  </si>
  <si>
    <t>Utilized by forward-looking Transmission Owners.  Line 8 will be supported by a True-Up Worksheet.</t>
  </si>
  <si>
    <t>Form 1 page references are for actual year for which there is a Form 1; analogous figures would be provided for projected year.</t>
  </si>
  <si>
    <t>Revenue collected by the Transmission Owner or ITC under this Schedule 1 for firm transactions of less than 1 year, all non-firm transactions, and any other transactions whose loads are not included in the Attachment O Zonal Rate Divisor for the zone. This revenue credit is derived from the MISO MR Settlemenets file by subtracting Schedule 9 revenues related to Schedule 1 from the total Schedule 1 revenues, which results in the total revenue credit for Schedule 1.</t>
  </si>
  <si>
    <t>Source references may vary by company; page references are to each company's source document; analogous figures would be provided for projected year.  Inputs in whole dollars.</t>
  </si>
  <si>
    <t>Schedule 1 True-Up Adjustment</t>
  </si>
  <si>
    <t>Account 561.1 (Note A)</t>
  </si>
  <si>
    <t xml:space="preserve">   Subtotal (sum lines 1-3)</t>
  </si>
  <si>
    <t>Account 561.BA for Schedule 24 (Note B)</t>
  </si>
  <si>
    <t>(Form 1, footnote to p 321, Lines 85, 86, &amp; 87)</t>
  </si>
  <si>
    <r>
      <t>Account 561 Available excluding revenue credits</t>
    </r>
    <r>
      <rPr>
        <sz val="11"/>
        <color theme="1"/>
        <rFont val="Times New Roman"/>
        <family val="1"/>
      </rPr>
      <t xml:space="preserve"> (Note C)</t>
    </r>
  </si>
  <si>
    <r>
      <t>Revenues including revenue credits (Account 457.1)</t>
    </r>
    <r>
      <rPr>
        <sz val="11"/>
        <color theme="1"/>
        <rFont val="Times New Roman"/>
        <family val="1"/>
      </rPr>
      <t xml:space="preserve"> (Note D)</t>
    </r>
  </si>
  <si>
    <t>(Form 1, footnote to p 300, Line 23)</t>
  </si>
  <si>
    <t>(Over)/Under Collected Amount (Note E)</t>
  </si>
  <si>
    <t>Source references may vary by company; page references are to each company's source document.  Inputs in whole dollars.</t>
  </si>
  <si>
    <t>Scheduling, Control, and Dispatch Service--Balancing Authority.</t>
  </si>
  <si>
    <t>Scheduling, Control, and Dispatch Service--Transmission.</t>
  </si>
  <si>
    <t>Current Year Schedule 1 revenues include revenue credits and exclude True-Up Adjustments.</t>
  </si>
  <si>
    <t>Interest on the (over)/under collected amount will not be know at the time the template is submitted pursuant to the approved FERC methodology.</t>
  </si>
  <si>
    <t/>
  </si>
  <si>
    <t>Avg</t>
  </si>
  <si>
    <t>Federal Rate</t>
  </si>
  <si>
    <t>Interest</t>
  </si>
  <si>
    <t>Member Income Tax Rates for Attachment O</t>
  </si>
  <si>
    <t>State Rate:</t>
  </si>
  <si>
    <t>Statutory</t>
  </si>
  <si>
    <t>ATC Apportionment Factor</t>
  </si>
  <si>
    <t>Apportioned Rate</t>
  </si>
  <si>
    <t>Wisconsin</t>
  </si>
  <si>
    <t>Minnesota</t>
  </si>
  <si>
    <t>Illinois</t>
  </si>
  <si>
    <t>Michigan</t>
  </si>
  <si>
    <t>North Carolina</t>
  </si>
  <si>
    <t>Notes:</t>
  </si>
  <si>
    <t>Apportionment formulas for states are not uniform, resulting in an aggregate apportionment that may not equal 100%</t>
  </si>
  <si>
    <t>Combined</t>
  </si>
  <si>
    <t>State Only</t>
  </si>
  <si>
    <t>Annual</t>
  </si>
  <si>
    <t>Permanent Items:</t>
  </si>
  <si>
    <t>Equity AFUDC Depr</t>
  </si>
  <si>
    <t>Tax Rate</t>
  </si>
  <si>
    <t>Description</t>
  </si>
  <si>
    <t>Debt Amount</t>
  </si>
  <si>
    <t>Months O/S during year</t>
  </si>
  <si>
    <t>Weighted Debt Amount</t>
  </si>
  <si>
    <t>Eff. Rate**</t>
  </si>
  <si>
    <t>Weighted Rate</t>
  </si>
  <si>
    <t>Verfied against debt amortization tables</t>
  </si>
  <si>
    <t>12/02 $50.0 M Debt</t>
  </si>
  <si>
    <t>8/29/03 $70M &amp; 10/31/03 $30M Debt</t>
  </si>
  <si>
    <t>3/21/05 $100M Debt</t>
  </si>
  <si>
    <t>4/29/05 $40M &amp; 8/01/05 $60M Debt</t>
  </si>
  <si>
    <t>2/20/07 $75M Debt;5/01/07 $75M; 8/01/07 $100M</t>
  </si>
  <si>
    <t>4/30/08 $200M Debt</t>
  </si>
  <si>
    <t>3/16/09 $115M</t>
  </si>
  <si>
    <t>5/15/09 $35M</t>
  </si>
  <si>
    <t>2/1/10 $100M</t>
  </si>
  <si>
    <t>4/1/10 $50M</t>
  </si>
  <si>
    <t>12/15/10 $75M</t>
  </si>
  <si>
    <t>3/14/11 $75M</t>
  </si>
  <si>
    <t>3/14/11 $150M</t>
  </si>
  <si>
    <t>4/18/12 $150M</t>
  </si>
  <si>
    <t>1/22/14 $50M - 15yr</t>
  </si>
  <si>
    <t>1/22/14 $50M - 30yr</t>
  </si>
  <si>
    <t>12/11/14 $75M</t>
  </si>
  <si>
    <t>12/11/14 $29M</t>
  </si>
  <si>
    <t>12/11/14 $47M</t>
  </si>
  <si>
    <t>Weighted Avg. ST Debt -Jan</t>
  </si>
  <si>
    <t>Weighted Avg. ST Debt -Feb</t>
  </si>
  <si>
    <t>Weighted Avg. ST Debt -Mar</t>
  </si>
  <si>
    <t>Weighted Avg. ST Debt - Apr</t>
  </si>
  <si>
    <t>Weighted Avg. ST Debt - May</t>
  </si>
  <si>
    <t>Weighted Avg. ST Debt - June</t>
  </si>
  <si>
    <t>Weighted Avg. ST Debt - July</t>
  </si>
  <si>
    <t>Weighted Avg. ST Debt - Aug</t>
  </si>
  <si>
    <t>Weighted Avg. ST Debt - Sept</t>
  </si>
  <si>
    <t>Weighted Avg. ST Debt - Oct</t>
  </si>
  <si>
    <t>Weighted Avg. ST Debt - Nov</t>
  </si>
  <si>
    <t>Weighted Avg. ST Debt - Dec</t>
  </si>
  <si>
    <t>Computation of Average Deferred Tax Balances</t>
  </si>
  <si>
    <t>Month Ended</t>
  </si>
  <si>
    <t>True-up</t>
  </si>
  <si>
    <t>Balance to Average</t>
  </si>
  <si>
    <t>Account 190</t>
  </si>
  <si>
    <t>Account 282</t>
  </si>
  <si>
    <t>Account 283</t>
  </si>
  <si>
    <t>Total 13 Month Average</t>
  </si>
  <si>
    <t>Actual</t>
  </si>
  <si>
    <t>Werner West-Morgan</t>
  </si>
  <si>
    <t>1b</t>
  </si>
  <si>
    <t>Pleasant Valley - St. Lawrence</t>
  </si>
  <si>
    <t>1c</t>
  </si>
  <si>
    <t>Cranberry-Conover-Iron River-Plains</t>
  </si>
  <si>
    <t>1d</t>
  </si>
  <si>
    <t>Rockdale-W.Middleton 345kV</t>
  </si>
  <si>
    <t>1e</t>
  </si>
  <si>
    <t>G507-Cedar Ridge Wind Farm</t>
  </si>
  <si>
    <t>1f</t>
  </si>
  <si>
    <t>GIC706-H012 Glacier Hills Wind Park</t>
  </si>
  <si>
    <t>1g</t>
  </si>
  <si>
    <t>2nd Kewaunee Xfr</t>
  </si>
  <si>
    <t>1h</t>
  </si>
  <si>
    <t>Straits Power Flow Controller</t>
  </si>
  <si>
    <t>1i</t>
  </si>
  <si>
    <t>G834 Interim Upgrades</t>
  </si>
  <si>
    <t>1j</t>
  </si>
  <si>
    <t>G833 Interim Upgrades</t>
  </si>
  <si>
    <t>1k</t>
  </si>
  <si>
    <t>Rebuild Arcadian - Waukesha 138kV lines</t>
  </si>
  <si>
    <t>1l</t>
  </si>
  <si>
    <t>Arnold Transformer</t>
  </si>
  <si>
    <t>1m</t>
  </si>
  <si>
    <t>G833/4 Long Term Solution</t>
  </si>
  <si>
    <t>1n</t>
  </si>
  <si>
    <t>Green Bay to Morgan 345 kV project and Menominee Co to Delta Co 138 kV line</t>
  </si>
  <si>
    <t xml:space="preserve"> Utilizing Attachment O Data</t>
  </si>
  <si>
    <t>Attachment O</t>
  </si>
  <si>
    <t>Attach O, p 2, line 2 col 5 (Note A)</t>
  </si>
  <si>
    <t>GP + CWIP in RB</t>
  </si>
  <si>
    <t>Attach O, p 2, line 14 col 5 (Note B)</t>
  </si>
  <si>
    <t>NP + CWIP in RB</t>
  </si>
  <si>
    <t>Attach O, p 3, line 8 col 5</t>
  </si>
  <si>
    <t>Recoverable O&amp;M (excl depr and Sch 1 revenue)</t>
  </si>
  <si>
    <t xml:space="preserve">Less O&amp;M incentive </t>
  </si>
  <si>
    <t>Attach MM, p2 line 2 col 14</t>
  </si>
  <si>
    <t xml:space="preserve">Adjusted O&amp;M </t>
  </si>
  <si>
    <t>(line 3 divided by line 1 col 3)</t>
  </si>
  <si>
    <t>Attach O, p 3, lines 10 &amp; 11, col 5 (Note H)</t>
  </si>
  <si>
    <t>Attach O, p 3, line 20 col 5</t>
  </si>
  <si>
    <t>TOTIT</t>
  </si>
  <si>
    <t>Attach O, p 3, line 27 col 5</t>
  </si>
  <si>
    <t>Total income taxes</t>
  </si>
  <si>
    <t>Attach O, p 3, line 28 col 5</t>
  </si>
  <si>
    <t>Return</t>
  </si>
  <si>
    <t>Year</t>
  </si>
  <si>
    <t>Revenue Received 4</t>
  </si>
  <si>
    <t>Received</t>
  </si>
  <si>
    <t>Interest Rate</t>
  </si>
  <si>
    <t xml:space="preserve">Annual Expense Factor </t>
  </si>
  <si>
    <t xml:space="preserve">Annual Return Factor </t>
  </si>
  <si>
    <t>C1</t>
  </si>
  <si>
    <t>C2</t>
  </si>
  <si>
    <t>C3</t>
  </si>
  <si>
    <t>C4</t>
  </si>
  <si>
    <t>C5</t>
  </si>
  <si>
    <t>C6</t>
  </si>
  <si>
    <t>C7</t>
  </si>
  <si>
    <t>I1</t>
  </si>
  <si>
    <t>I2</t>
  </si>
  <si>
    <t>I3</t>
  </si>
  <si>
    <t>I4</t>
  </si>
  <si>
    <t>I5</t>
  </si>
  <si>
    <t>I6</t>
  </si>
  <si>
    <t>I7</t>
  </si>
  <si>
    <t>Project Gross Plant 1</t>
  </si>
  <si>
    <t>True-Up Adjustment 2</t>
  </si>
  <si>
    <t>% of Total Rev. Req</t>
  </si>
  <si>
    <t>Revenue Received</t>
  </si>
  <si>
    <t>% of Revenue Received</t>
  </si>
  <si>
    <t>Project Gross Plant 3</t>
  </si>
  <si>
    <t>Net Under/(Over) Collection</t>
  </si>
  <si>
    <t>Interest Income (Expense) 5</t>
  </si>
  <si>
    <t>Lake Delton- Birchwood 138 kV line</t>
  </si>
  <si>
    <t>Horicon-East Beaver Dam 138 kV line</t>
  </si>
  <si>
    <t xml:space="preserve">GIC749 EcoMont Wind Farm </t>
  </si>
  <si>
    <t xml:space="preserve">1) Average Gross Plant Balance as it is included in the Projected Attachment O for the same year. </t>
  </si>
  <si>
    <t xml:space="preserve">2) True-Up adjustment from prior year. </t>
  </si>
  <si>
    <t>3) Average Gross Plant Balance as it is included in the Actual Attachment O.</t>
  </si>
  <si>
    <t>4) The “Total Schedule 26 Revenue Received by TO” in the Current Year.</t>
  </si>
  <si>
    <t>5)Interest calculated in accordance with the Attachment O True-Up Interest calculation based on the Aggregate Schedule 26 True-Up.</t>
  </si>
  <si>
    <t>The cells highlighted in yellow contain the official data, either actual or projected, the cells in highlighted in orange contain placeholder estimates that assume the actual results equal the projected values.</t>
  </si>
  <si>
    <t>Pleasant Prairie - Zion Energy Center 345 kV Line</t>
  </si>
  <si>
    <t>LaCrosse-Madison 345 kV - Dubuque Co - Spring Green 345 kV</t>
  </si>
  <si>
    <t>Attach O, p 2, line 8 col 5 (Note A)</t>
  </si>
  <si>
    <t>Attach O, p 3, line 1 col 5</t>
  </si>
  <si>
    <t>Less project O&amp;M incentive</t>
  </si>
  <si>
    <t>Attach O, p 3, line 1a col 5</t>
  </si>
  <si>
    <t>Attach O, p 3, line 2 col 5</t>
  </si>
  <si>
    <t>Line 3a minus Line 3b minus Line 3c</t>
  </si>
  <si>
    <t>Line 3 minus Line 3d</t>
  </si>
  <si>
    <t>Annual Interest Rate</t>
  </si>
  <si>
    <t>Interest Income(Expense)</t>
  </si>
  <si>
    <t>C8</t>
  </si>
  <si>
    <t>C9</t>
  </si>
  <si>
    <t>C10</t>
  </si>
  <si>
    <t>C11</t>
  </si>
  <si>
    <t>C12</t>
  </si>
  <si>
    <t>I8</t>
  </si>
  <si>
    <t>I9</t>
  </si>
  <si>
    <t>I10</t>
  </si>
  <si>
    <t>I11</t>
  </si>
  <si>
    <t>I12</t>
  </si>
  <si>
    <t>Total  True-up</t>
  </si>
  <si>
    <t xml:space="preserve">Estimated Network Revenue Requirement True-up </t>
  </si>
  <si>
    <t>Total Network Revenue Requirement per Attachment O</t>
  </si>
  <si>
    <t>Network Billings</t>
  </si>
  <si>
    <t>Per Month</t>
  </si>
  <si>
    <t>1st Qtr 2014</t>
  </si>
  <si>
    <t>2nd Qtr 2014</t>
  </si>
  <si>
    <t>3rd Qtr 2014</t>
  </si>
  <si>
    <t>For the Year Ended December 31, 2015</t>
  </si>
  <si>
    <t>True-up to be refunded in 2017</t>
  </si>
  <si>
    <t>For the 12 months ended 12/31/2015</t>
  </si>
  <si>
    <t>For  the 12 months ended 12/31/2015</t>
  </si>
  <si>
    <t>Interest Accrual booked from July 2013 thru June 2015</t>
  </si>
  <si>
    <t>2013 Schedule 1 True Up Payable (Over Collection)</t>
  </si>
  <si>
    <r>
      <t>Monthly</t>
    </r>
    <r>
      <rPr>
        <sz val="10"/>
        <rFont val="Arial"/>
        <family val="2"/>
      </rPr>
      <t xml:space="preserve"> FERC Interest Rate:</t>
    </r>
  </si>
  <si>
    <t>1st Qtr 2013</t>
  </si>
  <si>
    <t>2nd Qtr 2013</t>
  </si>
  <si>
    <t>3rd Qtr 2013</t>
  </si>
  <si>
    <t>4th Qtr 2013</t>
  </si>
  <si>
    <t>Avg Monthly FERC Rate</t>
  </si>
  <si>
    <t>24</t>
  </si>
  <si>
    <t>months</t>
  </si>
  <si>
    <t>Total Interest</t>
  </si>
  <si>
    <t>4/14/15 $50M</t>
  </si>
  <si>
    <t>4/14/15 $21M</t>
  </si>
  <si>
    <t>4/14/15 $28M</t>
  </si>
  <si>
    <t>2015 Revenue Requirement and True-up</t>
  </si>
  <si>
    <t>2013 Projected Revenue Requirement Calculation</t>
  </si>
  <si>
    <t>2013 Actual Revenue Requirement</t>
  </si>
  <si>
    <t>2013 Annual True-up Calculation</t>
  </si>
  <si>
    <t xml:space="preserve">2013 Annual Expense Factor </t>
  </si>
  <si>
    <t xml:space="preserve">2013 Annual Return Factor </t>
  </si>
  <si>
    <t>Total 2013 True-up</t>
  </si>
  <si>
    <t>Green Bay to Morgan 345 kV / Memominee Co to Delta Co 138 kV</t>
  </si>
  <si>
    <t>Holmes-Chandler 2nd Circuit</t>
  </si>
  <si>
    <t>Morgan-Plains 2nd 345 kV line</t>
  </si>
  <si>
    <t>National 138 kV SVC</t>
  </si>
  <si>
    <t>Plains to National 345 kV project</t>
  </si>
  <si>
    <t>Marathon-Marquette 345 kV Project</t>
  </si>
  <si>
    <t>Marquette Co to Mackinac Co 138 kV project</t>
  </si>
  <si>
    <t>Townline-Paddock 138 kV</t>
  </si>
  <si>
    <t>For the 12 months ending 12/31/2013</t>
  </si>
  <si>
    <r>
      <t xml:space="preserve">GROSS REVENUE REQUIREMENT  (page 3, line </t>
    </r>
    <r>
      <rPr>
        <sz val="12"/>
        <rFont val="Times New Roman"/>
        <family val="1"/>
      </rPr>
      <t>31)</t>
    </r>
  </si>
  <si>
    <t>(line 2a- line 8a)</t>
  </si>
  <si>
    <t xml:space="preserve">  General </t>
  </si>
  <si>
    <t xml:space="preserve">  d. Transmission charges from Schedules associated with Attachment MM  (Note BB)</t>
  </si>
  <si>
    <t>Removes revenues that are distributed pursuant to Schedule 1 of the Midwest ISO Tariff.  The projected dollar amount of transmission expenses to be included in the OATT ancillary services rates, including Account Nos. 561.1, 561.2, 561.3, and 561.BA will be used as the estimated revenues for the calculation of prospective rates used for billing. The revenues recieved pursuant to Schedule 1 as reported in Account 457.1 will be used in the annual calculation of the Attachment O True-Up.</t>
  </si>
  <si>
    <r>
      <t>The revenues credited on page 1 lines 2-5 shall include only the amounts received directly (in the case of grandfathered agreements) or from the ISO (for service under this tariff) reflecting the Transmission Owner's integrated transmission facilities.  They do not include revenues associated with FERC annual charges, gross receipts taxes,</t>
    </r>
    <r>
      <rPr>
        <strike/>
        <sz val="12"/>
        <rFont val="Times New Roman"/>
        <family val="1"/>
      </rPr>
      <t xml:space="preserve"> </t>
    </r>
    <r>
      <rPr>
        <sz val="12"/>
        <rFont val="Times New Roman"/>
        <family val="1"/>
      </rPr>
      <t>facilities not included in this template (e.g., direct assignment facilities and GSUs) which are not recovered under this Rate Formula Template.</t>
    </r>
  </si>
  <si>
    <t>Reconciliation of FERC Form 1 to Attachment O-ATCLLC Revenues</t>
  </si>
  <si>
    <t>Details to FERC Form 1 Balances in Revenue Accounts</t>
  </si>
  <si>
    <t>454 Rentals</t>
  </si>
  <si>
    <t>FERC Form 1 300.19.b</t>
  </si>
  <si>
    <t>456 Other Electric Revenues</t>
  </si>
  <si>
    <t>FERC Form 1 300.21.b</t>
  </si>
  <si>
    <t>456.1 Revenue-Network Service</t>
  </si>
  <si>
    <t>456.1 Revenue-Network Service True-up</t>
  </si>
  <si>
    <t>Network true-up per Attachment O-ATCLLC</t>
  </si>
  <si>
    <t>456.1 Revenue-Point to Point</t>
  </si>
  <si>
    <t>Schedules 7&amp;8 amounts received</t>
  </si>
  <si>
    <t>456.1 Revenue-Regional Schedule 26</t>
  </si>
  <si>
    <t>Schedule 26 amounts received</t>
  </si>
  <si>
    <t>456.1 Revenue-Regional Schedule 26 TrueUp</t>
  </si>
  <si>
    <t>Schedule 26 true-up per Attachment GG-ATCLLC</t>
  </si>
  <si>
    <t>456.1 Revenue-Regional Schedule 26A</t>
  </si>
  <si>
    <t>Schedule 26A amounts received</t>
  </si>
  <si>
    <t>456.1 Revenue-Regional Schedule 26A TrueUp</t>
  </si>
  <si>
    <t>Schedule 26A true-up per Attachment MM-ATCLLC</t>
  </si>
  <si>
    <t>Account 456.1 in Attachment O-ATCLLC</t>
  </si>
  <si>
    <t>FERC Form 1 300.22.b</t>
  </si>
  <si>
    <t>Attachment O-ATCLLC, Page 4, Line 34 (line (1) above)</t>
  </si>
  <si>
    <t>Sum of 456 and 456.1 balances from FERC Form 1</t>
  </si>
  <si>
    <t>Attachment O-ATCLLC, Page 4, Line 36 (sum of lines (3) and (4) above)</t>
  </si>
  <si>
    <t>Attachment O-ATCLLC, Page 4, Line 36a (sum of lines (6) and (7) above)</t>
  </si>
  <si>
    <r>
      <t xml:space="preserve">Ties to revenue requirement from </t>
    </r>
    <r>
      <rPr>
        <b/>
        <sz val="10"/>
        <rFont val="Arial"/>
        <family val="2"/>
      </rPr>
      <t>Attachment GG-ATCLLC</t>
    </r>
  </si>
  <si>
    <t>Attachment O-ATCLLC, Page 4, Line 36b (sum of lines (8) and (9) above)</t>
  </si>
  <si>
    <r>
      <t xml:space="preserve">Ties to revenue requirement from </t>
    </r>
    <r>
      <rPr>
        <b/>
        <sz val="10"/>
        <rFont val="Arial"/>
        <family val="2"/>
      </rPr>
      <t>Attachment MM-ATCLLC</t>
    </r>
  </si>
  <si>
    <t>Attachment O-ATCLLC, Page 4, Line 37 (sum of lines (2) and (5) above)</t>
  </si>
  <si>
    <t>Reconciliation to Network True-up</t>
  </si>
  <si>
    <t>Attachment O revenue requirement</t>
  </si>
  <si>
    <t>Less:  2015 network billings</t>
  </si>
  <si>
    <t>2015 Attachment O true-up over-collection</t>
  </si>
  <si>
    <t>Attachment O-ATCLLC, Page 4, Line 35 (sum of lines (2) and (10) above)</t>
  </si>
  <si>
    <t>Debt cost rate = long-term interest (line 21) / long term debt (line 27).  Preferred cost rate = preferred dividends (line 22) / preferred outstanding (line 28).  The FERC-allowed ROE, including any approved adders will be applied.  The ROE will be supported in the original filing and no change in ROE may be made absent a filing with FERC.</t>
  </si>
  <si>
    <t>CWIP in Rate Base Detail &amp; Reconciliation to FERC Form No. 1</t>
  </si>
  <si>
    <t>FERC Form No. 1 - Pg200, Line 11, Column c</t>
  </si>
  <si>
    <t>Account 107 Balance</t>
  </si>
  <si>
    <t>CWIP not in Rates</t>
  </si>
  <si>
    <t>CWIP in Rate Base</t>
  </si>
  <si>
    <t>13-month average for ratemaking</t>
  </si>
  <si>
    <t>CWIP in Rate Base Detail</t>
  </si>
  <si>
    <t>13 month Average</t>
  </si>
  <si>
    <t>Monroe County - Council Creek Conversion</t>
  </si>
  <si>
    <t>Arnold Substation Expansion</t>
  </si>
  <si>
    <t>Western Milwaukee County Electric Reliability</t>
  </si>
  <si>
    <t>Waukesha - Concord - St Lawrence 138kV Line Rebuild</t>
  </si>
  <si>
    <t>Holmes - Escanaba New 138kV Line</t>
  </si>
  <si>
    <t>Germantown, Bark River and Maple Stability Improvement</t>
  </si>
  <si>
    <t>Line 3124 Albers - Paris Rebuild</t>
  </si>
  <si>
    <t>Line Y93 Ripon - Berlin Rebuild Uprate</t>
  </si>
  <si>
    <t>Cottage Grove Chiller Addition</t>
  </si>
  <si>
    <t>Presque Isle - Replace CCVT, Wave Trap &amp; Line Tuner</t>
  </si>
  <si>
    <t>MINOR PROJECTS (less than $1 million each)</t>
  </si>
  <si>
    <t>Fitgerald Maintenance Upgrades</t>
  </si>
  <si>
    <t>Neenah Creek 69kV Circuit Breakers</t>
  </si>
  <si>
    <t>Straits Cable Splicing</t>
  </si>
  <si>
    <t>Green Bay - Morgan 345kV Construction</t>
  </si>
  <si>
    <t>Badger Coulee Lines</t>
  </si>
  <si>
    <t>Fitzgerald Substation Second Transformer</t>
  </si>
  <si>
    <t>DYKY21 Line Rebuild</t>
  </si>
  <si>
    <t>South Fond du Lac Breaker &amp; Relay Upgrades</t>
  </si>
  <si>
    <t>Line Y-17 Portage - Wautoma Rebuild</t>
  </si>
  <si>
    <t>Line Y-119 Verona - Oregon Rebuild</t>
  </si>
  <si>
    <t>Line K-115 Conversion</t>
  </si>
  <si>
    <t>Brillion Irons Works Distribution Interconnection</t>
  </si>
  <si>
    <t>Cottage Grove Phase 1 Chiller Addition</t>
  </si>
  <si>
    <t>Highway 151 New Substation</t>
  </si>
  <si>
    <t>Study Based Rating Methodology - MJ Group 3</t>
  </si>
  <si>
    <t>Line Y-32 Colley Rd - Brick Church Rebuild &amp; Uprate</t>
  </si>
  <si>
    <t>Blaney Park Reconfiguration</t>
  </si>
  <si>
    <t>Janesville General, McCue and Russell Substations</t>
  </si>
  <si>
    <t>Study Based Rating Methodology - Henkels &amp; McCoy Group 3</t>
  </si>
  <si>
    <t>Study Based Rating Methodology - Henkels &amp; McCoy Group 4</t>
  </si>
  <si>
    <t>Study Based Rating Methodology - Henkels &amp; McCoy Group 8</t>
  </si>
  <si>
    <t>Wild Rose Substation Circuit Breaker Addition &amp; Rebuild</t>
  </si>
  <si>
    <t>North Lake Geneva Distribution Interconnection</t>
  </si>
  <si>
    <t>Lyndon Substation Breaker Addition</t>
  </si>
  <si>
    <t>Physical Security T-Wall Installations</t>
  </si>
  <si>
    <t>Study Based Rating Methodology - MJ Group 4</t>
  </si>
  <si>
    <t>MN Tax</t>
  </si>
  <si>
    <t>Amortization of Excess Deferred Income Taxes</t>
  </si>
  <si>
    <t>2015 Actual Results</t>
  </si>
  <si>
    <t>Calculation of Tax on Permanent Items</t>
  </si>
  <si>
    <t>Proof of Tax Exempt Ownership % for Attachment O</t>
  </si>
  <si>
    <t>Return on rate base (page 3, line 28)</t>
  </si>
  <si>
    <t>Equity component of return (page 4, line 29)</t>
  </si>
  <si>
    <t>Total return (page 4, line 30)</t>
  </si>
  <si>
    <t>Equity / total return</t>
  </si>
  <si>
    <t>Equity component of return on rate base</t>
  </si>
  <si>
    <t>Total income taxes (page 3, line 27)</t>
  </si>
  <si>
    <t>Earnings before tax from Attachment O</t>
  </si>
  <si>
    <t>Earnings allocated to tax exempt owners</t>
  </si>
  <si>
    <t>Tax exempt ownership percentage (TEP)</t>
  </si>
  <si>
    <t>Calculation of Weighted Avg. Debt Rate</t>
  </si>
  <si>
    <t>Interest Calculation on</t>
  </si>
  <si>
    <t xml:space="preserve">2013 Schedule 1 True Up Payable </t>
  </si>
  <si>
    <t>For Post 2014</t>
  </si>
  <si>
    <t>Combined Excess</t>
  </si>
  <si>
    <t>Contributed Excess</t>
  </si>
  <si>
    <t>2014 Excess</t>
  </si>
  <si>
    <t>Currently Amortized</t>
  </si>
  <si>
    <t>Excess/(Shortage) Deferred</t>
  </si>
  <si>
    <t>Yearly Amortization</t>
  </si>
  <si>
    <t>End of Year Balance</t>
  </si>
  <si>
    <t>2015</t>
  </si>
  <si>
    <t>2016</t>
  </si>
  <si>
    <t>2017</t>
  </si>
  <si>
    <t>2018</t>
  </si>
  <si>
    <t>2019</t>
  </si>
  <si>
    <t>2020</t>
  </si>
  <si>
    <t>2021</t>
  </si>
  <si>
    <t>2022</t>
  </si>
  <si>
    <t>2023</t>
  </si>
  <si>
    <t>2024</t>
  </si>
  <si>
    <t>2025</t>
  </si>
  <si>
    <t>2026</t>
  </si>
  <si>
    <t>2027</t>
  </si>
  <si>
    <t>2028</t>
  </si>
  <si>
    <t>2029</t>
  </si>
  <si>
    <t>2030</t>
  </si>
  <si>
    <t>2031</t>
  </si>
  <si>
    <t>2032</t>
  </si>
  <si>
    <t>2033</t>
  </si>
  <si>
    <t>2034</t>
  </si>
  <si>
    <t>2035</t>
  </si>
  <si>
    <t>2036</t>
  </si>
  <si>
    <t>Preliminary and Survey Expense included in Attach O-</t>
  </si>
  <si>
    <t>Less Preliminary Survey and Investigation Adjustment (Note I)</t>
  </si>
  <si>
    <t>ATCLLC, P 3, line 1 col 5</t>
  </si>
  <si>
    <t>Line 3 minus Line 3d and 3a1</t>
  </si>
  <si>
    <t>Preliminary Survey and Investigation Expenses</t>
  </si>
  <si>
    <t>Project Gross Plant is the total capital investment for the project calculated in the same method as the gross plant value in line 1 and includes CWIP in rate base.  This value includes subsequent</t>
  </si>
  <si>
    <t>capital investments required to maintain the facilities to their original capabilities.</t>
  </si>
  <si>
    <t>Preliminary Survey and Investigation expense (pre-certification costs) equals the actual value booked, or projected to be booked for forward-looking rate periods, for all of the MISO approved projects and included in Attachment O - ATCLLC, Page 3, Line 1, Column 5.</t>
  </si>
  <si>
    <t>Preliminary Survey and Investigation expense (pre-certification costs) equals the actual value booked, or projected to be booked for forward-looking rate periods, for each of the MISO approved MVP Projects and included in Attachment O - ATCLLC, Page 3, Line 1, Column 5.</t>
  </si>
  <si>
    <t>Gross Transmission Plant is that identified on page 2 lines 2a and 2b of Attachment O- ATCLLC and is inclusive of any CWIP included in rate base.  Transmission Accumulated Depreciation comports with this Note A and Note B below.</t>
  </si>
  <si>
    <t>Monthly network billing ($45,439,204.50 x 12) + 2013 over-collection of $4,812,051 + 2014 over-collection of $5,041,886</t>
  </si>
</sst>
</file>

<file path=xl/styles.xml><?xml version="1.0" encoding="utf-8"?>
<styleSheet xmlns="http://schemas.openxmlformats.org/spreadsheetml/2006/main" xmlns:mc="http://schemas.openxmlformats.org/markup-compatibility/2006" xmlns:x14ac="http://schemas.microsoft.com/office/spreadsheetml/2009/9/ac" mc:Ignorable="x14ac">
  <numFmts count="125">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 #,##0.0\¢_m;[Red]_(* \-#,##0.0\¢_m;[Green]_(* 0.0\¢_m;_(@_)_%"/>
    <numFmt numFmtId="166" formatCode="_(* #,##0.00\¢_m;[Red]_(* \-#,##0.00\¢_m;[Green]_(* 0.00\¢_m;_(@_)_%"/>
    <numFmt numFmtId="167" formatCode="_(* #,##0.000\¢_m;[Red]_(* \-#,##0.000\¢_m;[Green]_(* 0.000\¢_m;_(@_)_%"/>
    <numFmt numFmtId="168" formatCode="_(_(\£* #,##0_)_%;[Red]_(\(\£* #,##0\)_%;[Green]_(_(\£* #,##0_)_%;_(@_)_%"/>
    <numFmt numFmtId="169" formatCode="_(_(\£* #,##0.0_)_%;[Red]_(\(\£* #,##0.0\)_%;[Green]_(_(\£* #,##0.0_)_%;_(@_)_%"/>
    <numFmt numFmtId="170" formatCode="_(_(\£* #,##0.00_)_%;[Red]_(\(\£* #,##0.00\)_%;[Green]_(_(\£* #,##0.00_)_%;_(@_)_%"/>
    <numFmt numFmtId="171" formatCode="0.0%_);\(0.0%\)"/>
    <numFmt numFmtId="172" formatCode="\•\ \ @"/>
    <numFmt numFmtId="173" formatCode="_(_(\•_ #0_)_%;[Red]_(_(\•_ \-#0\)_%;[Green]_(_(\•_ #0_)_%;_(_(\•_ @_)_%"/>
    <numFmt numFmtId="174" formatCode="_(_(_•_ \•_ #0_)_%;[Red]_(_(_•_ \•_ \-#0\)_%;[Green]_(_(_•_ \•_ #0_)_%;_(_(_•_ \•_ @_)_%"/>
    <numFmt numFmtId="175" formatCode="_(_(_•_ _•_ \•_ #0_)_%;[Red]_(_(_•_ _•_ \•_ \-#0\)_%;[Green]_(_(_•_ _•_ \•_ #0_)_%;_(_(_•_ \•_ @_)_%"/>
    <numFmt numFmtId="176" formatCode="#,##0,_);\(#,##0,\)"/>
    <numFmt numFmtId="177" formatCode="&quot;$&quot;#,##0.00"/>
    <numFmt numFmtId="178" formatCode="#,##0.0_);\(#,##0.0\)"/>
    <numFmt numFmtId="179" formatCode="0.0,_);\(0.0,\)"/>
    <numFmt numFmtId="180" formatCode="0.00,_);\(0.00,\)"/>
    <numFmt numFmtId="181" formatCode="#,##0.000_);\(#,##0.000\)"/>
    <numFmt numFmtId="182" formatCode="_(_(_$* #,##0.0_)_%;[Red]_(\(_$* #,##0.0\)_%;[Green]_(_(_$* #,##0.0_)_%;_(@_)_%"/>
    <numFmt numFmtId="183" formatCode="_(_(_$* #,##0.00_)_%;[Red]_(\(_$* #,##0.00\)_%;[Green]_(_(_$* #,##0.00_)_%;_(@_)_%"/>
    <numFmt numFmtId="184" formatCode="_(_(_$* #,##0.000_)_%;[Red]_(\(_$* #,##0.000\)_%;[Green]_(_(_$* #,##0.000_)_%;_(@_)_%"/>
    <numFmt numFmtId="185" formatCode="_._.* #,##0.0_)_%;_._.* \(#,##0.0\)_%;_._.* \ ?_)_%"/>
    <numFmt numFmtId="186" formatCode="_._.* #,##0.00_)_%;_._.* \(#,##0.00\)_%;_._.* \ ?_)_%"/>
    <numFmt numFmtId="187" formatCode="_._.* #,##0.000_)_%;_._.* \(#,##0.000\)_%;_._.* \ ?_)_%"/>
    <numFmt numFmtId="188" formatCode="_._.* #,##0.0000_)_%;_._.* \(#,##0.0000\)_%;_._.* \ ?_)_%"/>
    <numFmt numFmtId="189" formatCode="_(_(&quot;$&quot;* #,##0.0_)_%;[Red]_(\(&quot;$&quot;* #,##0.0\)_%;[Green]_(_(&quot;$&quot;* #,##0.0_)_%;_(@_)_%"/>
    <numFmt numFmtId="190" formatCode="_(_(&quot;$&quot;* #,##0.00_)_%;[Red]_(\(&quot;$&quot;* #,##0.00\)_%;[Green]_(_(&quot;$&quot;* #,##0.00_)_%;_(@_)_%"/>
    <numFmt numFmtId="191" formatCode="_(_(&quot;$&quot;* #,##0.000_)_%;[Red]_(\(&quot;$&quot;* #,##0.000\)_%;[Green]_(_(&quot;$&quot;* #,##0.000_)_%;_(@_)_%"/>
    <numFmt numFmtId="192" formatCode="_._.&quot;$&quot;* #,##0.0_)_%;_._.&quot;$&quot;* \(#,##0.0\)_%;_._.&quot;$&quot;* \ ?_)_%"/>
    <numFmt numFmtId="193" formatCode="_._.&quot;$&quot;* #,##0.00_)_%;_._.&quot;$&quot;* \(#,##0.00\)_%;_._.&quot;$&quot;* \ ?_)_%"/>
    <numFmt numFmtId="194" formatCode="_._.&quot;$&quot;* #,##0.000_)_%;_._.&quot;$&quot;* \(#,##0.000\)_%;_._.&quot;$&quot;* \ ?_)_%"/>
    <numFmt numFmtId="195" formatCode="_._.&quot;$&quot;* #,##0.0000_)_%;_._.&quot;$&quot;* \(#,##0.0000\)_%;_._.&quot;$&quot;* \ ?_)_%"/>
    <numFmt numFmtId="196" formatCode="&quot;$&quot;#,##0,_);\(&quot;$&quot;#,##0,\)"/>
    <numFmt numFmtId="197" formatCode="&quot;$&quot;#,##0.0_);\(&quot;$&quot;#,##0.0\)"/>
    <numFmt numFmtId="198" formatCode="&quot;$&quot;0.0,_);\(&quot;$&quot;0.0,\)"/>
    <numFmt numFmtId="199" formatCode="&quot;$&quot;0.00,_);\(&quot;$&quot;0.00,\)"/>
    <numFmt numFmtId="200" formatCode="&quot;$&quot;#,##0.000_);\(&quot;$&quot;#,##0.000\)"/>
    <numFmt numFmtId="201" formatCode="_(* dd\-mmm\-yy_)_%"/>
    <numFmt numFmtId="202" formatCode="_(* dd\ mmmm\ yyyy_)_%"/>
    <numFmt numFmtId="203" formatCode="_(* mmmm\ dd\,\ yyyy_)_%"/>
    <numFmt numFmtId="204" formatCode="_(* dd\.mm\.yyyy_)_%"/>
    <numFmt numFmtId="205" formatCode="_(* mm/dd/yyyy_)_%"/>
    <numFmt numFmtId="206" formatCode="m/d/yy;@"/>
    <numFmt numFmtId="207" formatCode="#,##0.0\x_);\(#,##0.0\x\)"/>
    <numFmt numFmtId="208" formatCode="#,##0.00\x_);\(#,##0.00\x\)"/>
    <numFmt numFmtId="209" formatCode="[$€-2]\ #,##0_);\([$€-2]\ #,##0\)"/>
    <numFmt numFmtId="210" formatCode="[$€-2]\ #,##0.0_);\([$€-2]\ #,##0.0\)"/>
    <numFmt numFmtId="211" formatCode="_([$€-2]* #,##0.00_);_([$€-2]* \(#,##0.00\);_([$€-2]* &quot;-&quot;??_)"/>
    <numFmt numFmtId="212" formatCode="General_)_%"/>
    <numFmt numFmtId="213" formatCode="_(_(#0_)_%;[Red]_(_(\-#0\)_%;[Green]_(_(#0_)_%;_(_(@_)_%"/>
    <numFmt numFmtId="214" formatCode="_(_(_•_ #0_)_%;[Red]_(_(_•_ \-#0\)_%;[Green]_(_(_•_ #0_)_%;_(_(_•_ @_)_%"/>
    <numFmt numFmtId="215" formatCode="_(_(_•_ _•_ #0_)_%;[Red]_(_(_•_ _•_ \-#0\)_%;[Green]_(_(_•_ _•_ #0_)_%;_(_(_•_ _•_ @_)_%"/>
    <numFmt numFmtId="216" formatCode="_(_(_•_ _•_ _•_ #0_)_%;[Red]_(_(_•_ _•_ _•_ \-#0\)_%;[Green]_(_(_•_ _•_ _•_ #0_)_%;_(_(_•_ _•_ _•_ @_)_%"/>
    <numFmt numFmtId="217" formatCode="#,##0\x;\(#,##0\x\)"/>
    <numFmt numFmtId="218" formatCode="0.0\x;\(0.0\x\)"/>
    <numFmt numFmtId="219" formatCode="#,##0.00\x;\(#,##0.00\x\)"/>
    <numFmt numFmtId="220" formatCode="#,##0.000\x;\(#,##0.000\x\)"/>
    <numFmt numFmtId="221" formatCode="0.0_);\(0.0\)"/>
    <numFmt numFmtId="222" formatCode="0%;\(0%\)"/>
    <numFmt numFmtId="223" formatCode="0.00\ \x_);\(0.00\ \x\)"/>
    <numFmt numFmtId="224" formatCode="_(* #,##0_);_(* \(#,##0\);_(* &quot;-&quot;????_);_(@_)"/>
    <numFmt numFmtId="225" formatCode="0__"/>
    <numFmt numFmtId="226" formatCode="h:mmAM/PM"/>
    <numFmt numFmtId="227" formatCode="&quot;$&quot;#,##0"/>
    <numFmt numFmtId="228" formatCode="0&quot; E&quot;"/>
    <numFmt numFmtId="229" formatCode="yyyy"/>
    <numFmt numFmtId="230" formatCode="&quot;$&quot;#,##0.0"/>
    <numFmt numFmtId="231" formatCode="0.0000"/>
    <numFmt numFmtId="232" formatCode="0.0%;\(0.0%\)"/>
    <numFmt numFmtId="233" formatCode="0.00%_);\(0.00%\)"/>
    <numFmt numFmtId="234" formatCode="0.000%_);\(0.000%\)"/>
    <numFmt numFmtId="235" formatCode="_(0_)%;\(0\)%;\ \ ?_)%"/>
    <numFmt numFmtId="236" formatCode="_._._(* 0_)%;_._.* \(0\)%;_._._(* \ ?_)%"/>
    <numFmt numFmtId="237" formatCode="0%_);\(0%\)"/>
    <numFmt numFmtId="238" formatCode="_(* #,##0_)_%;[Red]_(* \(#,##0\)_%;[Green]_(* 0_)_%;_(@_)_%"/>
    <numFmt numFmtId="239" formatCode="_(* #,##0.0%_);[Red]_(* \-#,##0.0%_);[Green]_(* 0.0%_);_(@_)_%"/>
    <numFmt numFmtId="240" formatCode="_(* #,##0.00%_);[Red]_(* \-#,##0.00%_);[Green]_(* 0.00%_);_(@_)_%"/>
    <numFmt numFmtId="241" formatCode="_(* #,##0.000%_);[Red]_(* \-#,##0.000%_);[Green]_(* 0.000%_);_(@_)_%"/>
    <numFmt numFmtId="242" formatCode="_(0.0_)%;\(0.0\)%;\ \ ?_)%"/>
    <numFmt numFmtId="243" formatCode="_._._(* 0.0_)%;_._.* \(0.0\)%;_._._(* \ ?_)%"/>
    <numFmt numFmtId="244" formatCode="_(0.00_)%;\(0.00\)%;\ \ ?_)%"/>
    <numFmt numFmtId="245" formatCode="_._._(* 0.00_)%;_._.* \(0.00\)%;_._._(* \ ?_)%"/>
    <numFmt numFmtId="246" formatCode="_(0.000_)%;\(0.000\)%;\ \ ?_)%"/>
    <numFmt numFmtId="247" formatCode="_._._(* 0.000_)%;_._.* \(0.000\)%;_._._(* \ ?_)%"/>
    <numFmt numFmtId="248" formatCode="_(0.0000_)%;\(0.0000\)%;\ \ ?_)%"/>
    <numFmt numFmtId="249" formatCode="_._._(* 0.0000_)%;_._.* \(0.0000\)%;_._._(* \ ?_)%"/>
    <numFmt numFmtId="250" formatCode="0.0%"/>
    <numFmt numFmtId="251" formatCode="mmmm\ dd\,\ yy"/>
    <numFmt numFmtId="252" formatCode="0.0\x"/>
    <numFmt numFmtId="253" formatCode="_(* #,##0_);_(* \(#,##0\);_(* \ ?_)"/>
    <numFmt numFmtId="254" formatCode="_(* #,##0.0_);_(* \(#,##0.0\);_(* \ ?_)"/>
    <numFmt numFmtId="255" formatCode="_(* #,##0.00_);_(* \(#,##0.00\);_(* \ ?_)"/>
    <numFmt numFmtId="256" formatCode="_(* #,##0.000_);_(* \(#,##0.000\);_(* \ ?_)"/>
    <numFmt numFmtId="257" formatCode="_(&quot;$&quot;* #,##0_);_(&quot;$&quot;* \(#,##0\);_(&quot;$&quot;* \ ?_)"/>
    <numFmt numFmtId="258" formatCode="_(&quot;$&quot;* #,##0.0_);_(&quot;$&quot;* \(#,##0.0\);_(&quot;$&quot;* \ ?_)"/>
    <numFmt numFmtId="259" formatCode="_(&quot;$&quot;* #,##0.00_);_(&quot;$&quot;* \(#,##0.00\);_(&quot;$&quot;* \ ?_)"/>
    <numFmt numFmtId="260" formatCode="_(&quot;$&quot;* #,##0.000_);_(&quot;$&quot;* \(#,##0.000\);_(&quot;$&quot;* \ ?_)"/>
    <numFmt numFmtId="261" formatCode="0000&quot;A&quot;"/>
    <numFmt numFmtId="262" formatCode="0&quot;E&quot;"/>
    <numFmt numFmtId="263" formatCode="0000&quot;E&quot;"/>
    <numFmt numFmtId="264" formatCode="#,##0.000"/>
    <numFmt numFmtId="265" formatCode="0.00000"/>
    <numFmt numFmtId="266" formatCode="0.000%"/>
    <numFmt numFmtId="267" formatCode="#,##0.00000"/>
    <numFmt numFmtId="268" formatCode="#,##0.0000"/>
    <numFmt numFmtId="269" formatCode="#,##0.0"/>
    <numFmt numFmtId="270" formatCode="&quot;$&quot;#,##0.000"/>
    <numFmt numFmtId="271" formatCode="_(&quot;$&quot;* #,##0_);_(&quot;$&quot;* \(#,##0\);_(&quot;$&quot;* &quot;-&quot;??_);_(@_)"/>
    <numFmt numFmtId="272" formatCode="0_);\(0\)"/>
    <numFmt numFmtId="273" formatCode="&quot;$&quot;#,##0;\(&quot;$&quot;#,##0\)"/>
    <numFmt numFmtId="274" formatCode="0.0000%"/>
    <numFmt numFmtId="275" formatCode="0.00000%"/>
    <numFmt numFmtId="276" formatCode="0.000000%"/>
    <numFmt numFmtId="277" formatCode="0.00000000"/>
    <numFmt numFmtId="278" formatCode="m/d/yy"/>
    <numFmt numFmtId="279" formatCode="_(* #,##0.00000000_);_(* \(#,##0.00000000\);_(* &quot;-&quot;??_);_(@_)"/>
    <numFmt numFmtId="280" formatCode="[$-409]mmmm\ d\,\ yyyy;@"/>
  </numFmts>
  <fonts count="14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C Helvetica Condensed"/>
    </font>
    <font>
      <sz val="9"/>
      <name val="Arial"/>
      <family val="2"/>
    </font>
    <font>
      <sz val="10"/>
      <color indexed="12"/>
      <name val="Arial"/>
      <family val="2"/>
    </font>
    <font>
      <sz val="12"/>
      <name val="Times New Roman"/>
      <family val="1"/>
    </font>
    <font>
      <sz val="10"/>
      <color indexed="12"/>
      <name val="Times New Roman"/>
      <family val="1"/>
    </font>
    <font>
      <sz val="10"/>
      <name val="Times New Roman"/>
      <family val="1"/>
    </font>
    <font>
      <b/>
      <sz val="10"/>
      <color indexed="8"/>
      <name val="Times New Roman"/>
      <family val="1"/>
    </font>
    <font>
      <sz val="8"/>
      <name val="Arial"/>
      <family val="2"/>
    </font>
    <font>
      <b/>
      <sz val="14"/>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i/>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sz val="9"/>
      <color indexed="12"/>
      <name val="Arial"/>
      <family val="2"/>
    </font>
    <font>
      <sz val="9"/>
      <name val="Times New Roman"/>
      <family val="1"/>
    </font>
    <font>
      <b/>
      <sz val="9"/>
      <name val="Arial"/>
      <family val="2"/>
    </font>
    <font>
      <sz val="12"/>
      <name val="Helv"/>
    </font>
    <font>
      <sz val="11"/>
      <name val="Times New Roman"/>
      <family val="1"/>
    </font>
    <font>
      <u val="singleAccounting"/>
      <sz val="11"/>
      <name val="Times New Roman"/>
      <family val="1"/>
    </font>
    <font>
      <sz val="10"/>
      <name val="MS Sans Serif"/>
      <family val="2"/>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name val="Arial"/>
      <family val="2"/>
    </font>
    <font>
      <b/>
      <sz val="14"/>
      <name val="Book Antiqua"/>
      <family val="1"/>
    </font>
    <font>
      <i/>
      <sz val="10"/>
      <name val="Book Antiqua"/>
      <family val="1"/>
    </font>
    <font>
      <b/>
      <sz val="10"/>
      <color indexed="22"/>
      <name val="Arial"/>
      <family val="2"/>
    </font>
    <font>
      <u/>
      <sz val="10"/>
      <color indexed="12"/>
      <name val="Arial"/>
      <family val="2"/>
    </font>
    <font>
      <b/>
      <sz val="10"/>
      <color indexed="12"/>
      <name val="Arial"/>
      <family val="2"/>
    </font>
    <font>
      <sz val="10"/>
      <color indexed="12"/>
      <name val="Book Antiqua"/>
      <family val="1"/>
    </font>
    <font>
      <i/>
      <sz val="16"/>
      <name val="Times New Roman"/>
      <family val="1"/>
    </font>
    <font>
      <sz val="7"/>
      <name val="Small Fonts"/>
      <family val="2"/>
    </font>
    <font>
      <sz val="10"/>
      <name val="Arial Narrow"/>
      <family val="2"/>
    </font>
    <font>
      <sz val="12"/>
      <name val="Arial MT"/>
    </font>
    <font>
      <sz val="10"/>
      <color indexed="8"/>
      <name val="MS Sans Serif"/>
      <family val="2"/>
    </font>
    <font>
      <u/>
      <sz val="10"/>
      <name val="Times New Roman"/>
      <family val="1"/>
    </font>
    <font>
      <b/>
      <sz val="10"/>
      <name val="MS Sans Serif"/>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sz val="10"/>
      <color indexed="40"/>
      <name val="Arial"/>
      <family val="2"/>
    </font>
    <font>
      <sz val="10"/>
      <color indexed="8"/>
      <name val="Times New Roman"/>
      <family val="1"/>
    </font>
    <font>
      <b/>
      <i/>
      <sz val="12"/>
      <name val="Times New Roman"/>
      <family val="1"/>
    </font>
    <font>
      <sz val="10"/>
      <name val="Futura UBS Bk"/>
      <family val="2"/>
    </font>
    <font>
      <sz val="10"/>
      <color indexed="8"/>
      <name val="Arial"/>
      <family val="2"/>
    </font>
    <font>
      <b/>
      <sz val="10"/>
      <color indexed="8"/>
      <name val="Arial"/>
      <family val="2"/>
    </font>
    <font>
      <b/>
      <sz val="9"/>
      <name val="Times New Roman"/>
      <family val="1"/>
    </font>
    <font>
      <b/>
      <sz val="10"/>
      <color indexed="10"/>
      <name val="Arial"/>
      <family val="2"/>
    </font>
    <font>
      <i/>
      <sz val="8"/>
      <name val="Times New Roman"/>
      <family val="1"/>
    </font>
    <font>
      <sz val="10"/>
      <color indexed="21"/>
      <name val="Arial"/>
      <family val="2"/>
    </font>
    <font>
      <b/>
      <sz val="8"/>
      <name val="Arial"/>
      <family val="2"/>
    </font>
    <font>
      <sz val="12"/>
      <color indexed="10"/>
      <name val="Times New Roman"/>
      <family val="1"/>
    </font>
    <font>
      <strike/>
      <sz val="12"/>
      <name val="Times New Roman"/>
      <family val="1"/>
    </font>
    <font>
      <strike/>
      <sz val="12"/>
      <color indexed="10"/>
      <name val="Times New Roman"/>
      <family val="1"/>
    </font>
    <font>
      <b/>
      <sz val="12"/>
      <name val="Times New Roman"/>
      <family val="1"/>
    </font>
    <font>
      <b/>
      <sz val="12"/>
      <color indexed="10"/>
      <name val="Times New Roman"/>
      <family val="1"/>
    </font>
    <font>
      <sz val="10"/>
      <name val="Arial MT"/>
    </font>
    <font>
      <sz val="12"/>
      <color indexed="10"/>
      <name val="Arial MT"/>
    </font>
    <font>
      <b/>
      <sz val="12"/>
      <name val="Arial MT"/>
    </font>
    <font>
      <sz val="12"/>
      <color indexed="10"/>
      <name val="Arial"/>
      <family val="2"/>
    </font>
    <font>
      <b/>
      <u/>
      <sz val="12"/>
      <name val="Arial MT"/>
    </font>
    <font>
      <sz val="12"/>
      <color indexed="17"/>
      <name val="Arial MT"/>
    </font>
    <font>
      <u/>
      <sz val="12"/>
      <name val="Arial"/>
      <family val="2"/>
    </font>
    <font>
      <sz val="14"/>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Calibri"/>
      <family val="2"/>
      <scheme val="minor"/>
    </font>
    <font>
      <sz val="12"/>
      <color rgb="FFFF0000"/>
      <name val="Times New Roman"/>
      <family val="1"/>
    </font>
    <font>
      <sz val="11"/>
      <color theme="1"/>
      <name val="Times New Roman"/>
      <family val="2"/>
    </font>
    <font>
      <b/>
      <sz val="14"/>
      <color theme="1"/>
      <name val="Times New Roman"/>
      <family val="1"/>
    </font>
    <font>
      <i/>
      <sz val="11"/>
      <color rgb="FFFF0000"/>
      <name val="Times New Roman"/>
      <family val="1"/>
    </font>
    <font>
      <b/>
      <sz val="11"/>
      <color theme="1"/>
      <name val="Times New Roman"/>
      <family val="1"/>
    </font>
    <font>
      <sz val="11"/>
      <color theme="1"/>
      <name val="Times New Roman"/>
      <family val="1"/>
    </font>
    <font>
      <b/>
      <sz val="10"/>
      <color theme="0"/>
      <name val="Arial"/>
      <family val="2"/>
    </font>
    <font>
      <b/>
      <sz val="10"/>
      <color theme="0"/>
      <name val="Arial MT"/>
    </font>
    <font>
      <sz val="10"/>
      <color rgb="FFFF0000"/>
      <name val="Arial"/>
      <family val="2"/>
    </font>
    <font>
      <u/>
      <sz val="10"/>
      <name val="Arial"/>
      <family val="2"/>
    </font>
    <font>
      <b/>
      <u/>
      <sz val="10"/>
      <name val="Arial"/>
      <family val="2"/>
    </font>
    <font>
      <b/>
      <sz val="10"/>
      <color rgb="FFFF0000"/>
      <name val="Arial"/>
      <family val="2"/>
    </font>
    <font>
      <sz val="8"/>
      <color indexed="12"/>
      <name val="Arial"/>
      <family val="2"/>
    </font>
    <font>
      <sz val="10"/>
      <color theme="0"/>
      <name val="Arial MT"/>
    </font>
    <font>
      <sz val="12"/>
      <color rgb="FF0000FF"/>
      <name val="Arial MT"/>
    </font>
    <font>
      <u/>
      <sz val="11"/>
      <color theme="1"/>
      <name val="Calibri"/>
      <family val="2"/>
      <scheme val="minor"/>
    </font>
    <font>
      <sz val="11"/>
      <color rgb="FFFF0000"/>
      <name val="Times New Roman"/>
      <family val="2"/>
    </font>
    <font>
      <sz val="12"/>
      <color rgb="FFFF0000"/>
      <name val="Arial"/>
      <family val="2"/>
    </font>
    <font>
      <sz val="10"/>
      <color rgb="FFFF0000"/>
      <name val="Arial MT"/>
    </font>
    <font>
      <b/>
      <sz val="11"/>
      <color theme="1"/>
      <name val="Calibri"/>
      <family val="2"/>
      <scheme val="minor"/>
    </font>
    <font>
      <sz val="11"/>
      <color rgb="FFFF0000"/>
      <name val="Times New Roman"/>
      <family val="1"/>
    </font>
    <font>
      <sz val="10"/>
      <color indexed="10"/>
      <name val="Arial"/>
      <family val="2"/>
    </font>
    <font>
      <b/>
      <sz val="11"/>
      <color indexed="10"/>
      <name val="Arial"/>
      <family val="2"/>
    </font>
    <font>
      <sz val="9"/>
      <color rgb="FFFF0000"/>
      <name val="Arial"/>
      <family val="2"/>
    </font>
    <font>
      <sz val="12"/>
      <color rgb="FFFF0000"/>
      <name val="Arial MT"/>
    </font>
  </fonts>
  <fills count="42">
    <fill>
      <patternFill patternType="none"/>
    </fill>
    <fill>
      <patternFill patternType="gray125"/>
    </fill>
    <fill>
      <patternFill patternType="solid">
        <fgColor rgb="FFFFFF99"/>
        <bgColor indexed="64"/>
      </patternFill>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26"/>
        <bgColor indexed="64"/>
      </patternFill>
    </fill>
    <fill>
      <patternFill patternType="lightGray">
        <fgColor indexed="38"/>
        <bgColor indexed="23"/>
      </patternFill>
    </fill>
    <fill>
      <patternFill patternType="solid">
        <fgColor indexed="9"/>
        <bgColor indexed="64"/>
      </patternFill>
    </fill>
    <fill>
      <patternFill patternType="mediumGray">
        <fgColor indexed="22"/>
      </patternFill>
    </fill>
    <fill>
      <patternFill patternType="solid">
        <fgColor indexed="22"/>
        <bgColor indexed="64"/>
      </patternFill>
    </fill>
    <fill>
      <patternFill patternType="solid">
        <fgColor indexed="43"/>
        <bgColor indexed="64"/>
      </patternFill>
    </fill>
    <fill>
      <patternFill patternType="solid">
        <fgColor indexed="8"/>
        <bgColor indexed="64"/>
      </patternFill>
    </fill>
    <fill>
      <patternFill patternType="solid">
        <fgColor indexed="47"/>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3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uble">
        <color indexed="64"/>
      </top>
      <bottom/>
      <diagonal/>
    </border>
    <border>
      <left/>
      <right/>
      <top/>
      <bottom style="hair">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auto="1"/>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505">
    <xf numFmtId="0" fontId="0" fillId="0" borderId="0"/>
    <xf numFmtId="43" fontId="16" fillId="0" borderId="0" applyFont="0" applyFill="0" applyBorder="0" applyAlignment="0" applyProtection="0"/>
    <xf numFmtId="9" fontId="16" fillId="0" borderId="0" applyFont="0" applyFill="0" applyBorder="0" applyAlignment="0" applyProtection="0"/>
    <xf numFmtId="0" fontId="16" fillId="0" borderId="0"/>
    <xf numFmtId="0" fontId="16" fillId="0" borderId="0"/>
    <xf numFmtId="0" fontId="16" fillId="0" borderId="0"/>
    <xf numFmtId="165" fontId="17" fillId="0" borderId="0" applyFont="0" applyFill="0" applyBorder="0" applyAlignment="0" applyProtection="0"/>
    <xf numFmtId="166" fontId="17" fillId="0" borderId="0" applyFont="0" applyFill="0" applyBorder="0" applyAlignment="0" applyProtection="0"/>
    <xf numFmtId="167" fontId="17" fillId="0" borderId="0" applyFont="0" applyFill="0" applyBorder="0" applyAlignment="0" applyProtection="0"/>
    <xf numFmtId="168" fontId="17" fillId="0" borderId="0" applyFont="0" applyFill="0" applyBorder="0" applyAlignment="0" applyProtection="0"/>
    <xf numFmtId="169" fontId="17" fillId="0" borderId="0" applyFont="0" applyFill="0" applyBorder="0" applyAlignment="0" applyProtection="0"/>
    <xf numFmtId="170" fontId="17" fillId="0" borderId="0" applyFont="0" applyFill="0" applyBorder="0" applyAlignment="0" applyProtection="0"/>
    <xf numFmtId="0" fontId="18" fillId="0" borderId="0"/>
    <xf numFmtId="171" fontId="16" fillId="3" borderId="0" applyNumberFormat="0" applyFill="0" applyBorder="0" applyAlignment="0" applyProtection="0">
      <alignment horizontal="right" vertical="center"/>
    </xf>
    <xf numFmtId="171" fontId="19" fillId="0" borderId="0" applyNumberFormat="0" applyFill="0" applyBorder="0" applyAlignment="0" applyProtection="0"/>
    <xf numFmtId="0" fontId="16" fillId="0" borderId="2" applyNumberFormat="0" applyFont="0" applyFill="0" applyAlignment="0" applyProtection="0"/>
    <xf numFmtId="172" fontId="20" fillId="0" borderId="0" applyFont="0" applyFill="0" applyBorder="0" applyAlignment="0" applyProtection="0"/>
    <xf numFmtId="173" fontId="17" fillId="0" borderId="0" applyFont="0" applyFill="0" applyBorder="0" applyProtection="0">
      <alignment horizontal="left"/>
    </xf>
    <xf numFmtId="174" fontId="17" fillId="0" borderId="0" applyFont="0" applyFill="0" applyBorder="0" applyProtection="0">
      <alignment horizontal="left"/>
    </xf>
    <xf numFmtId="175" fontId="17" fillId="0" borderId="0" applyFont="0" applyFill="0" applyBorder="0" applyProtection="0">
      <alignment horizontal="left"/>
    </xf>
    <xf numFmtId="37" fontId="21" fillId="0" borderId="0" applyFont="0" applyFill="0" applyBorder="0" applyAlignment="0" applyProtection="0">
      <alignment vertical="center"/>
      <protection locked="0"/>
    </xf>
    <xf numFmtId="176" fontId="22" fillId="0" borderId="0" applyFont="0" applyFill="0" applyBorder="0" applyAlignment="0" applyProtection="0"/>
    <xf numFmtId="0" fontId="23" fillId="0" borderId="0"/>
    <xf numFmtId="0" fontId="23" fillId="0" borderId="0"/>
    <xf numFmtId="177" fontId="24" fillId="0" borderId="0" applyFill="0"/>
    <xf numFmtId="177" fontId="24" fillId="0" borderId="0">
      <alignment horizontal="center"/>
    </xf>
    <xf numFmtId="0" fontId="24" fillId="0" borderId="0" applyFill="0">
      <alignment horizontal="center"/>
    </xf>
    <xf numFmtId="177" fontId="25" fillId="0" borderId="4" applyFill="0"/>
    <xf numFmtId="0" fontId="16" fillId="0" borderId="0" applyFont="0" applyAlignment="0"/>
    <xf numFmtId="0" fontId="26" fillId="0" borderId="0" applyFill="0">
      <alignment vertical="top"/>
    </xf>
    <xf numFmtId="0" fontId="25" fillId="0" borderId="0" applyFill="0">
      <alignment horizontal="left" vertical="top"/>
    </xf>
    <xf numFmtId="177" fontId="27" fillId="0" borderId="1" applyFill="0"/>
    <xf numFmtId="0" fontId="16" fillId="0" borderId="0" applyNumberFormat="0" applyFont="0" applyAlignment="0"/>
    <xf numFmtId="0" fontId="26" fillId="0" borderId="0" applyFill="0">
      <alignment wrapText="1"/>
    </xf>
    <xf numFmtId="0" fontId="25" fillId="0" borderId="0" applyFill="0">
      <alignment horizontal="left" vertical="top" wrapText="1"/>
    </xf>
    <xf numFmtId="177" fontId="28" fillId="0" borderId="0" applyFill="0"/>
    <xf numFmtId="0" fontId="29" fillId="0" borderId="0" applyNumberFormat="0" applyFont="0" applyAlignment="0">
      <alignment horizontal="center"/>
    </xf>
    <xf numFmtId="0" fontId="30" fillId="0" borderId="0" applyFill="0">
      <alignment vertical="top" wrapText="1"/>
    </xf>
    <xf numFmtId="0" fontId="27" fillId="0" borderId="0" applyFill="0">
      <alignment horizontal="left" vertical="top" wrapText="1"/>
    </xf>
    <xf numFmtId="177" fontId="16" fillId="0" borderId="0" applyFill="0"/>
    <xf numFmtId="0" fontId="29" fillId="0" borderId="0" applyNumberFormat="0" applyFont="0" applyAlignment="0">
      <alignment horizontal="center"/>
    </xf>
    <xf numFmtId="0" fontId="31" fillId="0" borderId="0" applyFill="0">
      <alignment vertical="center" wrapText="1"/>
    </xf>
    <xf numFmtId="0" fontId="32" fillId="0" borderId="0">
      <alignment horizontal="left" vertical="center" wrapText="1"/>
    </xf>
    <xf numFmtId="177" fontId="18" fillId="0" borderId="0" applyFill="0"/>
    <xf numFmtId="0" fontId="29" fillId="0" borderId="0" applyNumberFormat="0" applyFont="0" applyAlignment="0">
      <alignment horizontal="center"/>
    </xf>
    <xf numFmtId="0" fontId="33" fillId="0" borderId="0" applyFill="0">
      <alignment horizontal="center" vertical="center" wrapText="1"/>
    </xf>
    <xf numFmtId="0" fontId="16" fillId="0" borderId="0" applyFill="0">
      <alignment horizontal="center" vertical="center" wrapText="1"/>
    </xf>
    <xf numFmtId="177" fontId="34" fillId="0" borderId="0" applyFill="0"/>
    <xf numFmtId="0" fontId="29" fillId="0" borderId="0" applyNumberFormat="0" applyFont="0" applyAlignment="0">
      <alignment horizontal="center"/>
    </xf>
    <xf numFmtId="0" fontId="35" fillId="0" borderId="0" applyFill="0">
      <alignment horizontal="center" vertical="center" wrapText="1"/>
    </xf>
    <xf numFmtId="0" fontId="36" fillId="0" borderId="0" applyFill="0">
      <alignment horizontal="center" vertical="center" wrapText="1"/>
    </xf>
    <xf numFmtId="177" fontId="37" fillId="0" borderId="0" applyFill="0"/>
    <xf numFmtId="0" fontId="29" fillId="0" borderId="0" applyNumberFormat="0" applyFont="0" applyAlignment="0">
      <alignment horizontal="center"/>
    </xf>
    <xf numFmtId="0" fontId="38" fillId="0" borderId="0">
      <alignment horizontal="center" wrapText="1"/>
    </xf>
    <xf numFmtId="0" fontId="34" fillId="0" borderId="0" applyFill="0">
      <alignment horizontal="center" wrapText="1"/>
    </xf>
    <xf numFmtId="178" fontId="39" fillId="0" borderId="0" applyFont="0" applyFill="0" applyBorder="0" applyAlignment="0" applyProtection="0">
      <protection locked="0"/>
    </xf>
    <xf numFmtId="179" fontId="39" fillId="0" borderId="0" applyFont="0" applyFill="0" applyBorder="0" applyAlignment="0" applyProtection="0">
      <protection locked="0"/>
    </xf>
    <xf numFmtId="39" fontId="16" fillId="0" borderId="0" applyFont="0" applyFill="0" applyBorder="0" applyAlignment="0" applyProtection="0"/>
    <xf numFmtId="180" fontId="40" fillId="0" borderId="0" applyFont="0" applyFill="0" applyBorder="0" applyAlignment="0" applyProtection="0"/>
    <xf numFmtId="181" fontId="22" fillId="0" borderId="0" applyFont="0" applyFill="0" applyBorder="0" applyAlignment="0" applyProtection="0"/>
    <xf numFmtId="0" fontId="16" fillId="0" borderId="2" applyNumberFormat="0" applyFont="0" applyFill="0" applyBorder="0" applyProtection="0">
      <alignment horizontal="centerContinuous" vertical="center"/>
    </xf>
    <xf numFmtId="0" fontId="41" fillId="0" borderId="0" applyFill="0" applyBorder="0" applyProtection="0">
      <alignment horizontal="center"/>
      <protection locked="0"/>
    </xf>
    <xf numFmtId="0" fontId="1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182" fontId="17" fillId="0" borderId="0" applyFont="0" applyFill="0" applyBorder="0" applyAlignment="0" applyProtection="0"/>
    <xf numFmtId="183" fontId="17" fillId="0" borderId="0" applyFont="0" applyFill="0" applyBorder="0" applyAlignment="0" applyProtection="0"/>
    <xf numFmtId="184" fontId="17" fillId="0" borderId="0" applyFont="0" applyFill="0" applyBorder="0" applyAlignment="0" applyProtection="0"/>
    <xf numFmtId="185" fontId="43" fillId="0" borderId="0" applyFont="0" applyFill="0" applyBorder="0" applyAlignment="0" applyProtection="0"/>
    <xf numFmtId="186" fontId="44" fillId="0" borderId="0" applyFont="0" applyFill="0" applyBorder="0" applyAlignment="0" applyProtection="0"/>
    <xf numFmtId="187" fontId="44" fillId="0" borderId="0" applyFont="0" applyFill="0" applyBorder="0" applyAlignment="0" applyProtection="0"/>
    <xf numFmtId="188" fontId="28" fillId="0" borderId="0" applyFont="0" applyFill="0" applyBorder="0" applyAlignment="0" applyProtection="0">
      <protection locked="0"/>
    </xf>
    <xf numFmtId="43" fontId="4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37" fontId="46" fillId="0" borderId="0" applyFill="0" applyBorder="0" applyAlignment="0" applyProtection="0"/>
    <xf numFmtId="3" fontId="16" fillId="0" borderId="0" applyFont="0" applyFill="0" applyBorder="0" applyAlignment="0" applyProtection="0"/>
    <xf numFmtId="0" fontId="25" fillId="0" borderId="0" applyFill="0" applyBorder="0" applyAlignment="0" applyProtection="0">
      <protection locked="0"/>
    </xf>
    <xf numFmtId="189" fontId="17" fillId="0" borderId="0" applyFont="0" applyFill="0" applyBorder="0" applyAlignment="0" applyProtection="0"/>
    <xf numFmtId="190" fontId="17" fillId="0" borderId="0" applyFont="0" applyFill="0" applyBorder="0" applyAlignment="0" applyProtection="0"/>
    <xf numFmtId="191" fontId="17" fillId="0" borderId="0" applyFont="0" applyFill="0" applyBorder="0" applyAlignment="0" applyProtection="0"/>
    <xf numFmtId="192" fontId="44" fillId="0" borderId="0" applyFont="0" applyFill="0" applyBorder="0" applyAlignment="0" applyProtection="0"/>
    <xf numFmtId="193" fontId="44" fillId="0" borderId="0" applyFont="0" applyFill="0" applyBorder="0" applyAlignment="0" applyProtection="0"/>
    <xf numFmtId="194" fontId="44" fillId="0" borderId="0" applyFont="0" applyFill="0" applyBorder="0" applyAlignment="0" applyProtection="0"/>
    <xf numFmtId="195" fontId="28" fillId="0" borderId="0" applyFont="0" applyFill="0" applyBorder="0" applyAlignment="0" applyProtection="0">
      <protection locked="0"/>
    </xf>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5" fontId="46" fillId="0" borderId="0" applyFill="0" applyBorder="0" applyAlignment="0" applyProtection="0"/>
    <xf numFmtId="5" fontId="16" fillId="0" borderId="0" applyFont="0" applyFill="0" applyBorder="0" applyAlignment="0" applyProtection="0"/>
    <xf numFmtId="5" fontId="16" fillId="0" borderId="0" applyFont="0" applyFill="0" applyBorder="0" applyAlignment="0" applyProtection="0"/>
    <xf numFmtId="196" fontId="22" fillId="0" borderId="0" applyFont="0" applyFill="0" applyBorder="0" applyAlignment="0" applyProtection="0"/>
    <xf numFmtId="197" fontId="16" fillId="0" borderId="0" applyFont="0" applyFill="0" applyBorder="0" applyAlignment="0" applyProtection="0"/>
    <xf numFmtId="198" fontId="39" fillId="0" borderId="0" applyFont="0" applyFill="0" applyBorder="0" applyAlignment="0" applyProtection="0">
      <protection locked="0"/>
    </xf>
    <xf numFmtId="7" fontId="24" fillId="0" borderId="0" applyFont="0" applyFill="0" applyBorder="0" applyAlignment="0" applyProtection="0"/>
    <xf numFmtId="199" fontId="40" fillId="0" borderId="0" applyFont="0" applyFill="0" applyBorder="0" applyAlignment="0" applyProtection="0"/>
    <xf numFmtId="200" fontId="47" fillId="0" borderId="0" applyFont="0" applyFill="0" applyBorder="0" applyAlignment="0" applyProtection="0"/>
    <xf numFmtId="0" fontId="48" fillId="4" borderId="5" applyNumberFormat="0" applyFont="0" applyFill="0" applyAlignment="0" applyProtection="0">
      <alignment horizontal="left" indent="1"/>
    </xf>
    <xf numFmtId="14" fontId="16" fillId="0" borderId="0" applyFont="0" applyFill="0" applyBorder="0" applyAlignment="0" applyProtection="0"/>
    <xf numFmtId="201" fontId="17" fillId="0" borderId="0" applyFont="0" applyFill="0" applyBorder="0" applyProtection="0"/>
    <xf numFmtId="202" fontId="17" fillId="0" borderId="0" applyFont="0" applyFill="0" applyBorder="0" applyProtection="0"/>
    <xf numFmtId="203" fontId="17" fillId="0" borderId="0" applyFont="0" applyFill="0" applyBorder="0" applyAlignment="0" applyProtection="0"/>
    <xf numFmtId="204" fontId="17" fillId="0" borderId="0" applyFont="0" applyFill="0" applyBorder="0" applyAlignment="0" applyProtection="0"/>
    <xf numFmtId="205" fontId="17" fillId="0" borderId="0" applyFont="0" applyFill="0" applyBorder="0" applyAlignment="0" applyProtection="0"/>
    <xf numFmtId="206" fontId="49" fillId="0" borderId="0" applyFont="0" applyFill="0" applyBorder="0" applyAlignment="0" applyProtection="0"/>
    <xf numFmtId="5" fontId="50" fillId="0" borderId="0" applyBorder="0"/>
    <xf numFmtId="197" fontId="50" fillId="0" borderId="0" applyBorder="0"/>
    <xf numFmtId="7" fontId="50" fillId="0" borderId="0" applyBorder="0"/>
    <xf numFmtId="37" fontId="50" fillId="0" borderId="0" applyBorder="0"/>
    <xf numFmtId="178" fontId="50" fillId="0" borderId="0" applyBorder="0"/>
    <xf numFmtId="207" fontId="50" fillId="0" borderId="0" applyBorder="0"/>
    <xf numFmtId="39" fontId="50" fillId="0" borderId="0" applyBorder="0"/>
    <xf numFmtId="208" fontId="50" fillId="0" borderId="0" applyBorder="0"/>
    <xf numFmtId="7" fontId="16" fillId="0" borderId="0" applyFont="0" applyFill="0" applyBorder="0" applyAlignment="0" applyProtection="0"/>
    <xf numFmtId="209" fontId="22" fillId="0" borderId="0" applyFont="0" applyFill="0" applyBorder="0" applyAlignment="0" applyProtection="0"/>
    <xf numFmtId="210" fontId="22" fillId="0" borderId="0" applyFont="0" applyFill="0" applyAlignment="0" applyProtection="0"/>
    <xf numFmtId="209" fontId="22" fillId="0" borderId="0" applyFont="0" applyFill="0" applyBorder="0" applyAlignment="0" applyProtection="0"/>
    <xf numFmtId="211" fontId="16" fillId="0" borderId="0" applyFont="0" applyFill="0" applyBorder="0" applyAlignment="0" applyProtection="0"/>
    <xf numFmtId="2" fontId="16" fillId="0" borderId="0" applyFont="0" applyFill="0" applyBorder="0" applyAlignment="0" applyProtection="0"/>
    <xf numFmtId="0" fontId="51" fillId="0" borderId="0"/>
    <xf numFmtId="178" fontId="52" fillId="0" borderId="0" applyNumberFormat="0" applyFill="0" applyBorder="0" applyAlignment="0" applyProtection="0"/>
    <xf numFmtId="0" fontId="24" fillId="0" borderId="0" applyFont="0" applyFill="0" applyBorder="0" applyAlignment="0" applyProtection="0"/>
    <xf numFmtId="0" fontId="17" fillId="0" borderId="0" applyFont="0" applyFill="0" applyBorder="0" applyProtection="0">
      <alignment horizontal="center" wrapText="1"/>
    </xf>
    <xf numFmtId="212" fontId="17" fillId="0" borderId="0" applyFont="0" applyFill="0" applyBorder="0" applyProtection="0">
      <alignment horizontal="right"/>
    </xf>
    <xf numFmtId="0" fontId="52" fillId="0" borderId="0" applyNumberFormat="0" applyFill="0" applyBorder="0" applyAlignment="0" applyProtection="0"/>
    <xf numFmtId="0" fontId="53" fillId="5" borderId="0" applyNumberFormat="0" applyFill="0" applyBorder="0" applyAlignment="0" applyProtection="0"/>
    <xf numFmtId="0" fontId="27" fillId="0" borderId="6" applyNumberFormat="0" applyAlignment="0" applyProtection="0">
      <alignment horizontal="left" vertical="center"/>
    </xf>
    <xf numFmtId="0" fontId="27" fillId="0" borderId="3">
      <alignment horizontal="left" vertical="center"/>
    </xf>
    <xf numFmtId="14" fontId="54" fillId="6" borderId="7">
      <alignment horizontal="center" vertical="center" wrapText="1"/>
    </xf>
    <xf numFmtId="0" fontId="41" fillId="0" borderId="0" applyFill="0" applyAlignment="0" applyProtection="0">
      <protection locked="0"/>
    </xf>
    <xf numFmtId="0" fontId="41" fillId="0" borderId="2" applyFill="0" applyAlignment="0" applyProtection="0">
      <protection locked="0"/>
    </xf>
    <xf numFmtId="0" fontId="55" fillId="0" borderId="7"/>
    <xf numFmtId="0" fontId="56" fillId="0" borderId="0"/>
    <xf numFmtId="0" fontId="57" fillId="0" borderId="2" applyNumberFormat="0" applyFill="0" applyAlignment="0" applyProtection="0"/>
    <xf numFmtId="0" fontId="49" fillId="7" borderId="0" applyNumberFormat="0" applyFont="0" applyBorder="0" applyAlignment="0" applyProtection="0"/>
    <xf numFmtId="0" fontId="58" fillId="0" borderId="0" applyNumberFormat="0" applyFill="0" applyBorder="0" applyAlignment="0" applyProtection="0">
      <alignment vertical="top"/>
      <protection locked="0"/>
    </xf>
    <xf numFmtId="0" fontId="59" fillId="8" borderId="8" applyNumberFormat="0" applyAlignment="0" applyProtection="0"/>
    <xf numFmtId="213" fontId="17" fillId="0" borderId="0" applyFont="0" applyFill="0" applyBorder="0" applyProtection="0">
      <alignment horizontal="left"/>
    </xf>
    <xf numFmtId="214" fontId="17" fillId="0" borderId="0" applyFont="0" applyFill="0" applyBorder="0" applyProtection="0">
      <alignment horizontal="left"/>
    </xf>
    <xf numFmtId="215" fontId="17" fillId="0" borderId="0" applyFont="0" applyFill="0" applyBorder="0" applyProtection="0">
      <alignment horizontal="left"/>
    </xf>
    <xf numFmtId="216" fontId="17" fillId="0" borderId="0" applyFont="0" applyFill="0" applyBorder="0" applyProtection="0">
      <alignment horizontal="left"/>
    </xf>
    <xf numFmtId="10" fontId="24" fillId="9" borderId="8" applyNumberFormat="0" applyBorder="0" applyAlignment="0" applyProtection="0"/>
    <xf numFmtId="5" fontId="60" fillId="0" borderId="0" applyBorder="0"/>
    <xf numFmtId="197" fontId="60" fillId="0" borderId="0" applyBorder="0"/>
    <xf numFmtId="7" fontId="60" fillId="0" borderId="0" applyBorder="0"/>
    <xf numFmtId="37" fontId="60" fillId="0" borderId="0" applyBorder="0"/>
    <xf numFmtId="178" fontId="60" fillId="0" borderId="0" applyBorder="0"/>
    <xf numFmtId="207" fontId="60" fillId="0" borderId="0" applyBorder="0"/>
    <xf numFmtId="39" fontId="60" fillId="0" borderId="0" applyBorder="0"/>
    <xf numFmtId="208" fontId="60" fillId="0" borderId="0" applyBorder="0"/>
    <xf numFmtId="0" fontId="49" fillId="0" borderId="9" applyNumberFormat="0" applyFont="0" applyFill="0" applyAlignment="0" applyProtection="0"/>
    <xf numFmtId="0" fontId="61" fillId="0" borderId="0"/>
    <xf numFmtId="217" fontId="16" fillId="0" borderId="0" applyFont="0" applyFill="0" applyBorder="0" applyAlignment="0" applyProtection="0"/>
    <xf numFmtId="218" fontId="16" fillId="0" borderId="0" applyFont="0" applyFill="0" applyBorder="0" applyAlignment="0" applyProtection="0"/>
    <xf numFmtId="219" fontId="16" fillId="0" borderId="0" applyFont="0" applyFill="0" applyBorder="0" applyAlignment="0" applyProtection="0"/>
    <xf numFmtId="220" fontId="16" fillId="0" borderId="0" applyFont="0" applyFill="0" applyBorder="0" applyAlignment="0" applyProtection="0"/>
    <xf numFmtId="0" fontId="16" fillId="0" borderId="0" applyFont="0" applyFill="0" applyBorder="0" applyAlignment="0" applyProtection="0">
      <alignment horizontal="right"/>
    </xf>
    <xf numFmtId="221" fontId="16" fillId="0" borderId="0" applyFont="0" applyFill="0" applyBorder="0" applyAlignment="0" applyProtection="0"/>
    <xf numFmtId="37" fontId="62" fillId="0" borderId="0"/>
    <xf numFmtId="0" fontId="22" fillId="0" borderId="0"/>
    <xf numFmtId="0" fontId="63" fillId="0" borderId="0">
      <alignment vertical="top"/>
    </xf>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177" fontId="64" fillId="0" borderId="0" applyProtection="0"/>
    <xf numFmtId="177" fontId="64" fillId="0" borderId="0" applyProtection="0"/>
    <xf numFmtId="177" fontId="64" fillId="0" borderId="0" applyProtection="0"/>
    <xf numFmtId="0" fontId="20" fillId="10" borderId="0" applyNumberFormat="0" applyFont="0" applyBorder="0" applyAlignment="0"/>
    <xf numFmtId="222" fontId="16" fillId="0" borderId="0" applyFont="0" applyFill="0" applyBorder="0" applyAlignment="0" applyProtection="0"/>
    <xf numFmtId="223" fontId="66" fillId="0" borderId="0"/>
    <xf numFmtId="222" fontId="16" fillId="0" borderId="0" applyFont="0" applyFill="0" applyBorder="0" applyAlignment="0" applyProtection="0"/>
    <xf numFmtId="222" fontId="16" fillId="0" borderId="0" applyFont="0" applyFill="0" applyBorder="0" applyAlignment="0" applyProtection="0"/>
    <xf numFmtId="222" fontId="16" fillId="0" borderId="0" applyFont="0" applyFill="0" applyBorder="0" applyAlignment="0" applyProtection="0"/>
    <xf numFmtId="224" fontId="16" fillId="0" borderId="0"/>
    <xf numFmtId="225" fontId="22" fillId="0" borderId="0"/>
    <xf numFmtId="225" fontId="22" fillId="0" borderId="0"/>
    <xf numFmtId="223" fontId="66" fillId="0" borderId="0"/>
    <xf numFmtId="0" fontId="22" fillId="0" borderId="0"/>
    <xf numFmtId="223" fontId="46" fillId="0" borderId="0"/>
    <xf numFmtId="224" fontId="16" fillId="0" borderId="0"/>
    <xf numFmtId="225" fontId="22" fillId="0" borderId="0"/>
    <xf numFmtId="225" fontId="22" fillId="0" borderId="0"/>
    <xf numFmtId="0" fontId="22" fillId="0" borderId="0"/>
    <xf numFmtId="0" fontId="22" fillId="0" borderId="0"/>
    <xf numFmtId="226" fontId="22" fillId="0" borderId="0"/>
    <xf numFmtId="227" fontId="22" fillId="0" borderId="0"/>
    <xf numFmtId="228" fontId="22" fillId="0" borderId="0"/>
    <xf numFmtId="226" fontId="22" fillId="0" borderId="0"/>
    <xf numFmtId="227" fontId="22" fillId="0" borderId="0"/>
    <xf numFmtId="229" fontId="22" fillId="0" borderId="0"/>
    <xf numFmtId="229" fontId="22" fillId="0" borderId="0"/>
    <xf numFmtId="230" fontId="22" fillId="0" borderId="0"/>
    <xf numFmtId="228" fontId="22" fillId="0" borderId="0"/>
    <xf numFmtId="231" fontId="22" fillId="0" borderId="0"/>
    <xf numFmtId="230" fontId="22" fillId="0" borderId="0"/>
    <xf numFmtId="230" fontId="22" fillId="0" borderId="0"/>
    <xf numFmtId="0" fontId="22" fillId="0" borderId="0"/>
    <xf numFmtId="222" fontId="16" fillId="0" borderId="0" applyFont="0" applyFill="0" applyBorder="0" applyAlignment="0" applyProtection="0"/>
    <xf numFmtId="222" fontId="16" fillId="0" borderId="0" applyFont="0" applyFill="0" applyBorder="0" applyAlignment="0" applyProtection="0"/>
    <xf numFmtId="222" fontId="16" fillId="0" borderId="0" applyFont="0" applyFill="0" applyBorder="0" applyAlignment="0" applyProtection="0"/>
    <xf numFmtId="223" fontId="66" fillId="0" borderId="0"/>
    <xf numFmtId="223" fontId="66" fillId="0" borderId="0"/>
    <xf numFmtId="222" fontId="16" fillId="0" borderId="0" applyFont="0" applyFill="0" applyBorder="0" applyAlignment="0" applyProtection="0"/>
    <xf numFmtId="223" fontId="66" fillId="0" borderId="0"/>
    <xf numFmtId="223" fontId="66" fillId="0" borderId="0"/>
    <xf numFmtId="226" fontId="22" fillId="0" borderId="0"/>
    <xf numFmtId="227" fontId="22" fillId="0" borderId="0"/>
    <xf numFmtId="228" fontId="22" fillId="0" borderId="0"/>
    <xf numFmtId="226" fontId="22" fillId="0" borderId="0"/>
    <xf numFmtId="227" fontId="22" fillId="0" borderId="0"/>
    <xf numFmtId="229" fontId="22" fillId="0" borderId="0"/>
    <xf numFmtId="229" fontId="22" fillId="0" borderId="0"/>
    <xf numFmtId="230" fontId="22" fillId="0" borderId="0"/>
    <xf numFmtId="228" fontId="22" fillId="0" borderId="0"/>
    <xf numFmtId="231" fontId="22" fillId="0" borderId="0"/>
    <xf numFmtId="230" fontId="22" fillId="0" borderId="0"/>
    <xf numFmtId="230" fontId="22" fillId="0" borderId="0"/>
    <xf numFmtId="232" fontId="18" fillId="11" borderId="0" applyFont="0" applyFill="0" applyBorder="0" applyAlignment="0" applyProtection="0"/>
    <xf numFmtId="233" fontId="18" fillId="11" borderId="0" applyFont="0" applyFill="0" applyBorder="0" applyAlignment="0" applyProtection="0"/>
    <xf numFmtId="234" fontId="16" fillId="0" borderId="0" applyFont="0" applyFill="0" applyBorder="0" applyAlignment="0" applyProtection="0"/>
    <xf numFmtId="235" fontId="44" fillId="0" borderId="0" applyFont="0" applyFill="0" applyBorder="0" applyAlignment="0" applyProtection="0"/>
    <xf numFmtId="236" fontId="43" fillId="0" borderId="0" applyFont="0" applyFill="0" applyBorder="0" applyAlignment="0" applyProtection="0"/>
    <xf numFmtId="237" fontId="16" fillId="0" borderId="0" applyFont="0" applyFill="0" applyBorder="0" applyAlignment="0" applyProtection="0"/>
    <xf numFmtId="238" fontId="17" fillId="0" borderId="0" applyFont="0" applyFill="0" applyBorder="0" applyAlignment="0" applyProtection="0"/>
    <xf numFmtId="239" fontId="17" fillId="0" borderId="0" applyFont="0" applyFill="0" applyBorder="0" applyAlignment="0" applyProtection="0"/>
    <xf numFmtId="240" fontId="17" fillId="0" borderId="0" applyFont="0" applyFill="0" applyBorder="0" applyAlignment="0" applyProtection="0"/>
    <xf numFmtId="241" fontId="17" fillId="0" borderId="0" applyFont="0" applyFill="0" applyBorder="0" applyAlignment="0" applyProtection="0"/>
    <xf numFmtId="242" fontId="44" fillId="0" borderId="0" applyFont="0" applyFill="0" applyBorder="0" applyAlignment="0" applyProtection="0"/>
    <xf numFmtId="243" fontId="43" fillId="0" borderId="0" applyFont="0" applyFill="0" applyBorder="0" applyAlignment="0" applyProtection="0"/>
    <xf numFmtId="244" fontId="44" fillId="0" borderId="0" applyFont="0" applyFill="0" applyBorder="0" applyAlignment="0" applyProtection="0"/>
    <xf numFmtId="245" fontId="43" fillId="0" borderId="0" applyFont="0" applyFill="0" applyBorder="0" applyAlignment="0" applyProtection="0"/>
    <xf numFmtId="246" fontId="44" fillId="0" borderId="0" applyFont="0" applyFill="0" applyBorder="0" applyAlignment="0" applyProtection="0"/>
    <xf numFmtId="247" fontId="43" fillId="0" borderId="0" applyFont="0" applyFill="0" applyBorder="0" applyAlignment="0" applyProtection="0"/>
    <xf numFmtId="248" fontId="28" fillId="0" borderId="0" applyFont="0" applyFill="0" applyBorder="0" applyAlignment="0" applyProtection="0">
      <protection locked="0"/>
    </xf>
    <xf numFmtId="249" fontId="43"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171" fontId="46" fillId="0" borderId="0" applyFill="0" applyBorder="0" applyAlignment="0" applyProtection="0"/>
    <xf numFmtId="9" fontId="50" fillId="0" borderId="0" applyBorder="0"/>
    <xf numFmtId="250" fontId="50" fillId="0" borderId="0" applyBorder="0"/>
    <xf numFmtId="10" fontId="50" fillId="0" borderId="0" applyBorder="0"/>
    <xf numFmtId="0" fontId="45" fillId="0" borderId="0" applyNumberFormat="0" applyFont="0" applyFill="0" applyBorder="0" applyAlignment="0" applyProtection="0">
      <alignment horizontal="left"/>
    </xf>
    <xf numFmtId="15" fontId="45" fillId="0" borderId="0" applyFont="0" applyFill="0" applyBorder="0" applyAlignment="0" applyProtection="0"/>
    <xf numFmtId="4" fontId="45" fillId="0" borderId="0" applyFont="0" applyFill="0" applyBorder="0" applyAlignment="0" applyProtection="0"/>
    <xf numFmtId="3" fontId="16" fillId="0" borderId="0">
      <alignment horizontal="left" vertical="top"/>
    </xf>
    <xf numFmtId="0" fontId="67" fillId="0" borderId="7">
      <alignment horizontal="center"/>
    </xf>
    <xf numFmtId="3" fontId="45" fillId="0" borderId="0" applyFont="0" applyFill="0" applyBorder="0" applyAlignment="0" applyProtection="0"/>
    <xf numFmtId="0" fontId="45" fillId="12" borderId="0" applyNumberFormat="0" applyFont="0" applyBorder="0" applyAlignment="0" applyProtection="0"/>
    <xf numFmtId="3" fontId="16" fillId="0" borderId="0">
      <alignment horizontal="right" vertical="top"/>
    </xf>
    <xf numFmtId="41" fontId="32" fillId="13" borderId="10" applyFill="0"/>
    <xf numFmtId="0" fontId="68" fillId="0" borderId="0">
      <alignment horizontal="left" indent="7"/>
    </xf>
    <xf numFmtId="41" fontId="32" fillId="0" borderId="10" applyFill="0">
      <alignment horizontal="left" indent="2"/>
    </xf>
    <xf numFmtId="177" fontId="41" fillId="0" borderId="2" applyFill="0">
      <alignment horizontal="right"/>
    </xf>
    <xf numFmtId="0" fontId="54" fillId="0" borderId="8" applyNumberFormat="0" applyFont="0" applyBorder="0">
      <alignment horizontal="right"/>
    </xf>
    <xf numFmtId="0" fontId="69" fillId="0" borderId="0" applyFill="0"/>
    <xf numFmtId="0" fontId="27" fillId="0" borderId="0" applyFill="0"/>
    <xf numFmtId="4" fontId="41" fillId="0" borderId="2" applyFill="0"/>
    <xf numFmtId="0" fontId="16" fillId="0" borderId="0" applyNumberFormat="0" applyFont="0" applyBorder="0" applyAlignment="0"/>
    <xf numFmtId="0" fontId="30" fillId="0" borderId="0" applyFill="0">
      <alignment horizontal="left" indent="1"/>
    </xf>
    <xf numFmtId="0" fontId="70" fillId="0" borderId="0" applyFill="0">
      <alignment horizontal="left" indent="1"/>
    </xf>
    <xf numFmtId="4" fontId="18" fillId="0" borderId="0" applyFill="0"/>
    <xf numFmtId="0" fontId="16" fillId="0" borderId="0" applyNumberFormat="0" applyFont="0" applyFill="0" applyBorder="0" applyAlignment="0"/>
    <xf numFmtId="0" fontId="30" fillId="0" borderId="0" applyFill="0">
      <alignment horizontal="left" indent="2"/>
    </xf>
    <xf numFmtId="0" fontId="27" fillId="0" borderId="0" applyFill="0">
      <alignment horizontal="left" indent="2"/>
    </xf>
    <xf numFmtId="4" fontId="18" fillId="0" borderId="0" applyFill="0"/>
    <xf numFmtId="0" fontId="16" fillId="0" borderId="0" applyNumberFormat="0" applyFont="0" applyBorder="0" applyAlignment="0"/>
    <xf numFmtId="0" fontId="71" fillId="0" borderId="0">
      <alignment horizontal="left" indent="3"/>
    </xf>
    <xf numFmtId="0" fontId="72" fillId="0" borderId="0" applyFill="0">
      <alignment horizontal="left" indent="3"/>
    </xf>
    <xf numFmtId="4" fontId="18" fillId="0" borderId="0" applyFill="0"/>
    <xf numFmtId="0" fontId="16" fillId="0" borderId="0" applyNumberFormat="0" applyFont="0" applyBorder="0" applyAlignment="0"/>
    <xf numFmtId="0" fontId="33" fillId="0" borderId="0">
      <alignment horizontal="left" indent="4"/>
    </xf>
    <xf numFmtId="0" fontId="16" fillId="0" borderId="0" applyFill="0">
      <alignment horizontal="left" indent="4"/>
    </xf>
    <xf numFmtId="4" fontId="34" fillId="0" borderId="0" applyFill="0"/>
    <xf numFmtId="0" fontId="16" fillId="0" borderId="0" applyNumberFormat="0" applyFont="0" applyBorder="0" applyAlignment="0"/>
    <xf numFmtId="0" fontId="35" fillId="0" borderId="0">
      <alignment horizontal="left" indent="5"/>
    </xf>
    <xf numFmtId="0" fontId="36" fillId="0" borderId="0" applyFill="0">
      <alignment horizontal="left" indent="5"/>
    </xf>
    <xf numFmtId="4" fontId="37" fillId="0" borderId="0" applyFill="0"/>
    <xf numFmtId="0" fontId="16" fillId="0" borderId="0" applyNumberFormat="0" applyFont="0" applyFill="0" applyBorder="0" applyAlignment="0"/>
    <xf numFmtId="0" fontId="38" fillId="0" borderId="0" applyFill="0">
      <alignment horizontal="left" indent="6"/>
    </xf>
    <xf numFmtId="0" fontId="34" fillId="0" borderId="0" applyFill="0">
      <alignment horizontal="left" indent="6"/>
    </xf>
    <xf numFmtId="0" fontId="49" fillId="0" borderId="11" applyNumberFormat="0" applyFont="0" applyFill="0" applyAlignment="0" applyProtection="0"/>
    <xf numFmtId="0" fontId="73" fillId="0" borderId="0" applyNumberFormat="0" applyFill="0" applyBorder="0" applyAlignment="0" applyProtection="0"/>
    <xf numFmtId="0" fontId="74" fillId="0" borderId="0"/>
    <xf numFmtId="0" fontId="74" fillId="0" borderId="0"/>
    <xf numFmtId="0" fontId="75" fillId="0" borderId="7">
      <alignment horizontal="right"/>
    </xf>
    <xf numFmtId="251" fontId="47" fillId="0" borderId="0">
      <alignment horizontal="center"/>
    </xf>
    <xf numFmtId="252" fontId="76" fillId="0" borderId="0">
      <alignment horizontal="center"/>
    </xf>
    <xf numFmtId="0" fontId="65" fillId="0" borderId="0" applyNumberFormat="0" applyFill="0" applyBorder="0" applyAlignment="0" applyProtection="0"/>
    <xf numFmtId="0" fontId="77" fillId="0" borderId="0" applyNumberFormat="0" applyBorder="0" applyAlignment="0"/>
    <xf numFmtId="0" fontId="78" fillId="0" borderId="0" applyNumberFormat="0" applyBorder="0" applyAlignment="0"/>
    <xf numFmtId="0" fontId="49" fillId="4" borderId="0" applyNumberFormat="0" applyFont="0" applyBorder="0" applyAlignment="0" applyProtection="0"/>
    <xf numFmtId="232" fontId="79" fillId="0" borderId="3" applyNumberFormat="0" applyFont="0" applyFill="0" applyAlignment="0" applyProtection="0"/>
    <xf numFmtId="0" fontId="80" fillId="0" borderId="0" applyFill="0" applyBorder="0" applyProtection="0">
      <alignment horizontal="left" vertical="top"/>
    </xf>
    <xf numFmtId="0" fontId="81" fillId="0" borderId="0" applyAlignment="0">
      <alignment horizontal="centerContinuous"/>
    </xf>
    <xf numFmtId="0" fontId="16" fillId="0" borderId="1" applyNumberFormat="0" applyFont="0" applyFill="0" applyAlignment="0" applyProtection="0"/>
    <xf numFmtId="0" fontId="82" fillId="0" borderId="0" applyNumberFormat="0" applyFill="0" applyBorder="0" applyAlignment="0" applyProtection="0"/>
    <xf numFmtId="253" fontId="43" fillId="0" borderId="0" applyFont="0" applyFill="0" applyBorder="0" applyAlignment="0" applyProtection="0"/>
    <xf numFmtId="254" fontId="43" fillId="0" borderId="0" applyFont="0" applyFill="0" applyBorder="0" applyAlignment="0" applyProtection="0"/>
    <xf numFmtId="255" fontId="43" fillId="0" borderId="0" applyFont="0" applyFill="0" applyBorder="0" applyAlignment="0" applyProtection="0"/>
    <xf numFmtId="256" fontId="43" fillId="0" borderId="0" applyFont="0" applyFill="0" applyBorder="0" applyAlignment="0" applyProtection="0"/>
    <xf numFmtId="257" fontId="43" fillId="0" borderId="0" applyFont="0" applyFill="0" applyBorder="0" applyAlignment="0" applyProtection="0"/>
    <xf numFmtId="258" fontId="43" fillId="0" borderId="0" applyFont="0" applyFill="0" applyBorder="0" applyAlignment="0" applyProtection="0"/>
    <xf numFmtId="259" fontId="43" fillId="0" borderId="0" applyFont="0" applyFill="0" applyBorder="0" applyAlignment="0" applyProtection="0"/>
    <xf numFmtId="260" fontId="43" fillId="0" borderId="0" applyFont="0" applyFill="0" applyBorder="0" applyAlignment="0" applyProtection="0"/>
    <xf numFmtId="261" fontId="83" fillId="4" borderId="12" applyFont="0" applyFill="0" applyBorder="0" applyAlignment="0" applyProtection="0"/>
    <xf numFmtId="261" fontId="22" fillId="0" borderId="0" applyFont="0" applyFill="0" applyBorder="0" applyAlignment="0" applyProtection="0"/>
    <xf numFmtId="262" fontId="40" fillId="0" borderId="0" applyFont="0" applyFill="0" applyBorder="0" applyAlignment="0" applyProtection="0"/>
    <xf numFmtId="263" fontId="47" fillId="0" borderId="3" applyFont="0" applyFill="0" applyBorder="0" applyAlignment="0" applyProtection="0">
      <alignment horizontal="right"/>
      <protection locked="0"/>
    </xf>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177" fontId="64" fillId="0" borderId="0" applyProtection="0"/>
    <xf numFmtId="0" fontId="63" fillId="0" borderId="0">
      <alignment vertical="top"/>
    </xf>
    <xf numFmtId="0" fontId="63" fillId="0" borderId="0">
      <alignment vertical="top"/>
    </xf>
    <xf numFmtId="0" fontId="13" fillId="0" borderId="0"/>
    <xf numFmtId="0" fontId="12" fillId="0" borderId="0"/>
    <xf numFmtId="177" fontId="64" fillId="0" borderId="0" applyProtection="0"/>
    <xf numFmtId="0" fontId="97" fillId="17" borderId="0" applyNumberFormat="0" applyBorder="0" applyAlignment="0" applyProtection="0"/>
    <xf numFmtId="0" fontId="97" fillId="18" borderId="0" applyNumberFormat="0" applyBorder="0" applyAlignment="0" applyProtection="0"/>
    <xf numFmtId="0" fontId="97" fillId="19" borderId="0" applyNumberFormat="0" applyBorder="0" applyAlignment="0" applyProtection="0"/>
    <xf numFmtId="0" fontId="97" fillId="20" borderId="0" applyNumberFormat="0" applyBorder="0" applyAlignment="0" applyProtection="0"/>
    <xf numFmtId="0" fontId="97" fillId="21" borderId="0" applyNumberFormat="0" applyBorder="0" applyAlignment="0" applyProtection="0"/>
    <xf numFmtId="0" fontId="97" fillId="22" borderId="0" applyNumberFormat="0" applyBorder="0" applyAlignment="0" applyProtection="0"/>
    <xf numFmtId="0" fontId="97" fillId="23" borderId="0" applyNumberFormat="0" applyBorder="0" applyAlignment="0" applyProtection="0"/>
    <xf numFmtId="0" fontId="97" fillId="24" borderId="0" applyNumberFormat="0" applyBorder="0" applyAlignment="0" applyProtection="0"/>
    <xf numFmtId="0" fontId="97" fillId="25" borderId="0" applyNumberFormat="0" applyBorder="0" applyAlignment="0" applyProtection="0"/>
    <xf numFmtId="0" fontId="97" fillId="20" borderId="0" applyNumberFormat="0" applyBorder="0" applyAlignment="0" applyProtection="0"/>
    <xf numFmtId="0" fontId="97" fillId="23" borderId="0" applyNumberFormat="0" applyBorder="0" applyAlignment="0" applyProtection="0"/>
    <xf numFmtId="0" fontId="97" fillId="26" borderId="0" applyNumberFormat="0" applyBorder="0" applyAlignment="0" applyProtection="0"/>
    <xf numFmtId="0" fontId="98" fillId="27" borderId="0" applyNumberFormat="0" applyBorder="0" applyAlignment="0" applyProtection="0"/>
    <xf numFmtId="0" fontId="98" fillId="24" borderId="0" applyNumberFormat="0" applyBorder="0" applyAlignment="0" applyProtection="0"/>
    <xf numFmtId="0" fontId="98" fillId="25" borderId="0" applyNumberFormat="0" applyBorder="0" applyAlignment="0" applyProtection="0"/>
    <xf numFmtId="0" fontId="98" fillId="28" borderId="0" applyNumberFormat="0" applyBorder="0" applyAlignment="0" applyProtection="0"/>
    <xf numFmtId="0" fontId="98" fillId="29" borderId="0" applyNumberFormat="0" applyBorder="0" applyAlignment="0" applyProtection="0"/>
    <xf numFmtId="0" fontId="98" fillId="30" borderId="0" applyNumberFormat="0" applyBorder="0" applyAlignment="0" applyProtection="0"/>
    <xf numFmtId="0" fontId="98" fillId="31" borderId="0" applyNumberFormat="0" applyBorder="0" applyAlignment="0" applyProtection="0"/>
    <xf numFmtId="0" fontId="98" fillId="32" borderId="0" applyNumberFormat="0" applyBorder="0" applyAlignment="0" applyProtection="0"/>
    <xf numFmtId="0" fontId="98" fillId="33" borderId="0" applyNumberFormat="0" applyBorder="0" applyAlignment="0" applyProtection="0"/>
    <xf numFmtId="0" fontId="98" fillId="28" borderId="0" applyNumberFormat="0" applyBorder="0" applyAlignment="0" applyProtection="0"/>
    <xf numFmtId="0" fontId="98" fillId="29" borderId="0" applyNumberFormat="0" applyBorder="0" applyAlignment="0" applyProtection="0"/>
    <xf numFmtId="0" fontId="98" fillId="34" borderId="0" applyNumberFormat="0" applyBorder="0" applyAlignment="0" applyProtection="0"/>
    <xf numFmtId="0" fontId="99" fillId="18" borderId="0" applyNumberFormat="0" applyBorder="0" applyAlignment="0" applyProtection="0"/>
    <xf numFmtId="0" fontId="100" fillId="35" borderId="21" applyNumberFormat="0" applyAlignment="0" applyProtection="0"/>
    <xf numFmtId="0" fontId="101" fillId="36" borderId="22" applyNumberFormat="0" applyAlignment="0" applyProtection="0"/>
    <xf numFmtId="44" fontId="16" fillId="0" borderId="0" applyFont="0" applyFill="0" applyBorder="0" applyAlignment="0" applyProtection="0"/>
    <xf numFmtId="0" fontId="102" fillId="0" borderId="0" applyNumberFormat="0" applyFill="0" applyBorder="0" applyAlignment="0" applyProtection="0"/>
    <xf numFmtId="0" fontId="103" fillId="19" borderId="0" applyNumberFormat="0" applyBorder="0" applyAlignment="0" applyProtection="0"/>
    <xf numFmtId="0" fontId="104" fillId="0" borderId="23" applyNumberFormat="0" applyFill="0" applyAlignment="0" applyProtection="0"/>
    <xf numFmtId="0" fontId="105" fillId="0" borderId="24" applyNumberFormat="0" applyFill="0" applyAlignment="0" applyProtection="0"/>
    <xf numFmtId="0" fontId="106" fillId="0" borderId="25" applyNumberFormat="0" applyFill="0" applyAlignment="0" applyProtection="0"/>
    <xf numFmtId="0" fontId="106" fillId="0" borderId="0" applyNumberFormat="0" applyFill="0" applyBorder="0" applyAlignment="0" applyProtection="0"/>
    <xf numFmtId="0" fontId="107" fillId="22" borderId="21" applyNumberFormat="0" applyAlignment="0" applyProtection="0"/>
    <xf numFmtId="0" fontId="108" fillId="0" borderId="26" applyNumberFormat="0" applyFill="0" applyAlignment="0" applyProtection="0"/>
    <xf numFmtId="0" fontId="109" fillId="37" borderId="0" applyNumberFormat="0" applyBorder="0" applyAlignment="0" applyProtection="0"/>
    <xf numFmtId="0" fontId="64" fillId="38" borderId="20" applyNumberFormat="0" applyFont="0" applyAlignment="0" applyProtection="0"/>
    <xf numFmtId="0" fontId="110" fillId="35" borderId="27" applyNumberFormat="0" applyAlignment="0" applyProtection="0"/>
    <xf numFmtId="0" fontId="111" fillId="0" borderId="0" applyNumberFormat="0" applyFill="0" applyBorder="0" applyAlignment="0" applyProtection="0"/>
    <xf numFmtId="0" fontId="112" fillId="0" borderId="28" applyNumberFormat="0" applyFill="0" applyAlignment="0" applyProtection="0"/>
    <xf numFmtId="0" fontId="113" fillId="0" borderId="0" applyNumberFormat="0" applyFill="0" applyBorder="0" applyAlignment="0" applyProtection="0"/>
    <xf numFmtId="0" fontId="11" fillId="0" borderId="0"/>
    <xf numFmtId="0" fontId="10" fillId="0" borderId="0"/>
    <xf numFmtId="41" fontId="16" fillId="0" borderId="0" applyFon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0" fontId="24" fillId="0" borderId="0"/>
    <xf numFmtId="0" fontId="16" fillId="0" borderId="0"/>
    <xf numFmtId="9" fontId="24" fillId="0" borderId="0" applyFont="0" applyFill="0" applyBorder="0" applyAlignment="0" applyProtection="0"/>
    <xf numFmtId="0" fontId="9" fillId="0" borderId="0"/>
    <xf numFmtId="43" fontId="9" fillId="0" borderId="0" applyFont="0" applyFill="0" applyBorder="0" applyAlignment="0" applyProtection="0"/>
    <xf numFmtId="9" fontId="9" fillId="0" borderId="0" applyFont="0" applyFill="0" applyBorder="0" applyAlignment="0" applyProtection="0"/>
    <xf numFmtId="0" fontId="116" fillId="0" borderId="0"/>
    <xf numFmtId="43" fontId="16" fillId="0" borderId="0" applyFont="0" applyFill="0" applyBorder="0" applyAlignment="0" applyProtection="0"/>
    <xf numFmtId="0" fontId="16" fillId="0" borderId="0"/>
    <xf numFmtId="0" fontId="8" fillId="0" borderId="0"/>
    <xf numFmtId="9" fontId="8" fillId="0" borderId="0" applyFont="0" applyFill="0" applyBorder="0" applyAlignment="0" applyProtection="0"/>
    <xf numFmtId="43" fontId="8"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4" fillId="0" borderId="0"/>
    <xf numFmtId="0" fontId="3" fillId="0" borderId="0"/>
    <xf numFmtId="0" fontId="16" fillId="0" borderId="0"/>
    <xf numFmtId="0" fontId="16" fillId="0" borderId="0"/>
    <xf numFmtId="177" fontId="64" fillId="0" borderId="0" applyProtection="0"/>
    <xf numFmtId="177" fontId="64" fillId="0" borderId="0" applyProtection="0"/>
    <xf numFmtId="0" fontId="3" fillId="0" borderId="0"/>
    <xf numFmtId="0" fontId="3" fillId="0" borderId="0"/>
    <xf numFmtId="0" fontId="2" fillId="0" borderId="0"/>
    <xf numFmtId="0" fontId="1" fillId="0" borderId="0"/>
    <xf numFmtId="0" fontId="1" fillId="0" borderId="0"/>
    <xf numFmtId="0" fontId="16" fillId="0" borderId="0"/>
    <xf numFmtId="14" fontId="54" fillId="6" borderId="29">
      <alignment horizontal="center" vertical="center" wrapText="1"/>
    </xf>
    <xf numFmtId="0" fontId="55" fillId="0" borderId="29"/>
    <xf numFmtId="0" fontId="67" fillId="0" borderId="29">
      <alignment horizontal="center"/>
    </xf>
    <xf numFmtId="0" fontId="75" fillId="0" borderId="29">
      <alignment horizontal="right"/>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6" fillId="0" borderId="0" applyFont="0" applyFill="0" applyBorder="0" applyAlignment="0" applyProtection="0"/>
    <xf numFmtId="0" fontId="16" fillId="0" borderId="0"/>
    <xf numFmtId="0" fontId="16" fillId="0" borderId="0"/>
    <xf numFmtId="0" fontId="16" fillId="0" borderId="0"/>
    <xf numFmtId="0" fontId="16" fillId="0" borderId="0"/>
  </cellStyleXfs>
  <cellXfs count="1035">
    <xf numFmtId="0" fontId="0" fillId="0" borderId="0" xfId="0"/>
    <xf numFmtId="0" fontId="20" fillId="0" borderId="0" xfId="178" applyNumberFormat="1" applyFont="1" applyAlignment="1" applyProtection="1">
      <alignment horizontal="center"/>
      <protection locked="0"/>
    </xf>
    <xf numFmtId="3" fontId="20" fillId="0" borderId="0" xfId="178" applyNumberFormat="1" applyFont="1" applyFill="1" applyAlignment="1" applyProtection="1"/>
    <xf numFmtId="3" fontId="20" fillId="0" borderId="0" xfId="178" applyNumberFormat="1" applyFont="1" applyAlignment="1" applyProtection="1"/>
    <xf numFmtId="227" fontId="20" fillId="0" borderId="0" xfId="178" applyNumberFormat="1" applyFont="1" applyFill="1" applyBorder="1" applyAlignment="1" applyProtection="1"/>
    <xf numFmtId="0" fontId="20" fillId="0" borderId="0" xfId="178" applyNumberFormat="1" applyFont="1" applyProtection="1">
      <protection locked="0"/>
    </xf>
    <xf numFmtId="0" fontId="20" fillId="0" borderId="0" xfId="178" applyNumberFormat="1" applyFont="1" applyFill="1" applyAlignment="1" applyProtection="1">
      <alignment horizontal="center"/>
      <protection locked="0"/>
    </xf>
    <xf numFmtId="0" fontId="20" fillId="0" borderId="0" xfId="178" applyNumberFormat="1" applyFont="1" applyFill="1"/>
    <xf numFmtId="177" fontId="20" fillId="0" borderId="0" xfId="178" applyFont="1" applyFill="1" applyAlignment="1">
      <alignment horizontal="center" vertical="top" wrapText="1"/>
    </xf>
    <xf numFmtId="0" fontId="20" fillId="0" borderId="0" xfId="178" applyNumberFormat="1" applyFont="1" applyFill="1" applyAlignment="1" applyProtection="1">
      <alignment horizontal="center" vertical="top" wrapText="1"/>
      <protection locked="0"/>
    </xf>
    <xf numFmtId="10" fontId="85" fillId="0" borderId="0" xfId="178" applyNumberFormat="1" applyFont="1" applyFill="1" applyProtection="1">
      <protection locked="0"/>
    </xf>
    <xf numFmtId="0" fontId="20" fillId="0" borderId="0" xfId="178" applyNumberFormat="1" applyFont="1" applyFill="1" applyProtection="1">
      <protection locked="0"/>
    </xf>
    <xf numFmtId="0" fontId="20" fillId="0" borderId="0" xfId="178" applyNumberFormat="1" applyFont="1" applyAlignment="1" applyProtection="1">
      <alignment horizontal="center" vertical="top" wrapText="1"/>
      <protection locked="0"/>
    </xf>
    <xf numFmtId="3" fontId="20" fillId="0" borderId="0" xfId="178" applyNumberFormat="1" applyFont="1" applyFill="1" applyAlignment="1">
      <alignment horizontal="center" vertical="top" wrapText="1"/>
    </xf>
    <xf numFmtId="3" fontId="20" fillId="0" borderId="0" xfId="178" applyNumberFormat="1" applyFont="1" applyAlignment="1">
      <alignment vertical="top" wrapText="1"/>
    </xf>
    <xf numFmtId="0" fontId="20" fillId="0" borderId="0" xfId="178" applyNumberFormat="1" applyFont="1" applyAlignment="1" applyProtection="1">
      <alignment vertical="top" wrapText="1"/>
      <protection locked="0"/>
    </xf>
    <xf numFmtId="3" fontId="20" fillId="0" borderId="0" xfId="178" applyNumberFormat="1" applyFont="1" applyAlignment="1"/>
    <xf numFmtId="0" fontId="20" fillId="0" borderId="0" xfId="178" applyNumberFormat="1" applyFont="1" applyAlignment="1" applyProtection="1">
      <protection locked="0"/>
    </xf>
    <xf numFmtId="0" fontId="20" fillId="0" borderId="0" xfId="178" applyNumberFormat="1" applyFont="1" applyAlignment="1" applyProtection="1">
      <alignment horizontal="left" indent="8"/>
      <protection locked="0"/>
    </xf>
    <xf numFmtId="177" fontId="20" fillId="0" borderId="0" xfId="178" applyFont="1" applyFill="1" applyAlignment="1" applyProtection="1"/>
    <xf numFmtId="227" fontId="20" fillId="0" borderId="0" xfId="178" applyNumberFormat="1" applyFont="1" applyProtection="1">
      <protection locked="0"/>
    </xf>
    <xf numFmtId="177" fontId="20" fillId="0" borderId="0" xfId="178" applyNumberFormat="1" applyFont="1" applyAlignment="1" applyProtection="1">
      <protection locked="0"/>
    </xf>
    <xf numFmtId="0" fontId="20" fillId="0" borderId="0" xfId="178" applyNumberFormat="1" applyFont="1"/>
    <xf numFmtId="0" fontId="20" fillId="0" borderId="0" xfId="178" applyNumberFormat="1" applyFont="1" applyAlignment="1"/>
    <xf numFmtId="3" fontId="20" fillId="0" borderId="0" xfId="178" applyNumberFormat="1" applyFont="1" applyAlignment="1">
      <alignment horizontal="right"/>
    </xf>
    <xf numFmtId="3" fontId="20" fillId="0" borderId="0" xfId="178" applyNumberFormat="1" applyFont="1" applyFill="1" applyAlignment="1" applyProtection="1">
      <alignment horizontal="right"/>
      <protection locked="0"/>
    </xf>
    <xf numFmtId="177" fontId="20" fillId="0" borderId="0" xfId="178" applyFont="1" applyAlignment="1"/>
    <xf numFmtId="227" fontId="20" fillId="14" borderId="0" xfId="178" applyNumberFormat="1" applyFont="1" applyFill="1" applyBorder="1" applyAlignment="1" applyProtection="1">
      <protection locked="0"/>
    </xf>
    <xf numFmtId="0" fontId="20" fillId="0" borderId="0" xfId="178" applyNumberFormat="1" applyFont="1" applyBorder="1" applyProtection="1">
      <protection locked="0"/>
    </xf>
    <xf numFmtId="0" fontId="20" fillId="0" borderId="0" xfId="178" applyNumberFormat="1" applyFont="1" applyBorder="1" applyAlignment="1" applyProtection="1">
      <protection locked="0"/>
    </xf>
    <xf numFmtId="3" fontId="20" fillId="0" borderId="0" xfId="178" applyNumberFormat="1" applyFont="1" applyAlignment="1">
      <alignment horizontal="center"/>
    </xf>
    <xf numFmtId="1" fontId="20" fillId="0" borderId="0" xfId="178" applyNumberFormat="1" applyFont="1" applyFill="1" applyAlignment="1" applyProtection="1"/>
    <xf numFmtId="1" fontId="20" fillId="0" borderId="0" xfId="178" applyNumberFormat="1" applyFont="1" applyFill="1" applyProtection="1"/>
    <xf numFmtId="227" fontId="20" fillId="0" borderId="0" xfId="178" applyNumberFormat="1" applyFont="1" applyFill="1" applyBorder="1" applyProtection="1"/>
    <xf numFmtId="227" fontId="20" fillId="14" borderId="0" xfId="178" applyNumberFormat="1" applyFont="1" applyFill="1" applyBorder="1" applyProtection="1"/>
    <xf numFmtId="264" fontId="20" fillId="0" borderId="0" xfId="178" applyNumberFormat="1" applyFont="1" applyProtection="1">
      <protection locked="0"/>
    </xf>
    <xf numFmtId="38" fontId="20" fillId="0" borderId="0" xfId="178" applyNumberFormat="1" applyFont="1" applyAlignment="1" applyProtection="1"/>
    <xf numFmtId="38" fontId="20" fillId="0" borderId="0" xfId="178" applyNumberFormat="1" applyFont="1" applyFill="1" applyBorder="1" applyProtection="1"/>
    <xf numFmtId="38" fontId="20" fillId="0" borderId="0" xfId="178" applyNumberFormat="1" applyFont="1" applyAlignment="1"/>
    <xf numFmtId="177" fontId="20" fillId="0" borderId="0" xfId="178" applyFont="1" applyBorder="1" applyAlignment="1"/>
    <xf numFmtId="38" fontId="20" fillId="14" borderId="0" xfId="178" applyNumberFormat="1" applyFont="1" applyFill="1" applyBorder="1" applyProtection="1">
      <protection locked="0"/>
    </xf>
    <xf numFmtId="177" fontId="84" fillId="0" borderId="0" xfId="178" applyFont="1" applyAlignment="1"/>
    <xf numFmtId="0" fontId="84" fillId="0" borderId="0" xfId="178" applyNumberFormat="1" applyFont="1" applyProtection="1">
      <protection locked="0"/>
    </xf>
    <xf numFmtId="0" fontId="20" fillId="0" borderId="0" xfId="178" applyNumberFormat="1" applyFont="1" applyBorder="1" applyAlignment="1" applyProtection="1">
      <alignment horizontal="center"/>
      <protection locked="0"/>
    </xf>
    <xf numFmtId="3" fontId="20" fillId="0" borderId="0" xfId="178" quotePrefix="1" applyNumberFormat="1" applyFont="1" applyAlignment="1"/>
    <xf numFmtId="231" fontId="20" fillId="0" borderId="0" xfId="178" applyNumberFormat="1" applyFont="1" applyAlignment="1"/>
    <xf numFmtId="3" fontId="20" fillId="0" borderId="0" xfId="178" applyNumberFormat="1" applyFont="1" applyFill="1" applyAlignment="1">
      <alignment horizontal="center"/>
    </xf>
    <xf numFmtId="231" fontId="20" fillId="14" borderId="0" xfId="178" applyNumberFormat="1" applyFont="1" applyFill="1" applyAlignment="1"/>
    <xf numFmtId="9" fontId="20" fillId="0" borderId="0" xfId="178" applyNumberFormat="1" applyFont="1" applyAlignment="1"/>
    <xf numFmtId="3" fontId="20" fillId="14" borderId="0" xfId="178" applyNumberFormat="1" applyFont="1" applyFill="1" applyAlignment="1">
      <alignment horizontal="center"/>
    </xf>
    <xf numFmtId="3" fontId="20" fillId="0" borderId="0" xfId="178" applyNumberFormat="1" applyFont="1" applyFill="1" applyAlignment="1" applyProtection="1">
      <alignment horizontal="center"/>
      <protection locked="0"/>
    </xf>
    <xf numFmtId="42" fontId="20" fillId="14" borderId="0" xfId="178" applyNumberFormat="1" applyFont="1" applyFill="1" applyAlignment="1">
      <alignment horizontal="center"/>
    </xf>
    <xf numFmtId="3" fontId="20" fillId="0" borderId="0" xfId="178" applyNumberFormat="1" applyFont="1" applyFill="1" applyAlignment="1"/>
    <xf numFmtId="227" fontId="20" fillId="14" borderId="0" xfId="178" applyNumberFormat="1" applyFont="1" applyFill="1" applyAlignment="1">
      <alignment horizontal="center"/>
    </xf>
    <xf numFmtId="265" fontId="20" fillId="0" borderId="0" xfId="178" applyNumberFormat="1" applyFont="1" applyAlignment="1">
      <alignment horizontal="center"/>
    </xf>
    <xf numFmtId="265" fontId="20" fillId="0" borderId="0" xfId="178" applyNumberFormat="1" applyFont="1" applyAlignment="1"/>
    <xf numFmtId="3" fontId="20" fillId="14" borderId="0" xfId="178" applyNumberFormat="1" applyFont="1" applyFill="1" applyAlignment="1"/>
    <xf numFmtId="0" fontId="20" fillId="0" borderId="0" xfId="178" applyNumberFormat="1" applyFont="1" applyAlignment="1">
      <alignment horizontal="center"/>
    </xf>
    <xf numFmtId="265" fontId="20" fillId="0" borderId="0" xfId="178" applyNumberFormat="1" applyFont="1" applyAlignment="1" applyProtection="1">
      <alignment horizontal="center"/>
      <protection locked="0"/>
    </xf>
    <xf numFmtId="266" fontId="20" fillId="0" borderId="0" xfId="178" applyNumberFormat="1" applyFont="1" applyAlignment="1">
      <alignment horizontal="center"/>
    </xf>
    <xf numFmtId="3" fontId="87" fillId="0" borderId="0" xfId="178" applyNumberFormat="1" applyFont="1" applyAlignment="1">
      <alignment horizontal="center"/>
    </xf>
    <xf numFmtId="4" fontId="20" fillId="0" borderId="0" xfId="178" applyNumberFormat="1" applyFont="1" applyAlignment="1"/>
    <xf numFmtId="177" fontId="20" fillId="0" borderId="0" xfId="178" applyFont="1" applyFill="1" applyAlignment="1"/>
    <xf numFmtId="49" fontId="20" fillId="0" borderId="0" xfId="178" applyNumberFormat="1" applyFont="1" applyFill="1" applyAlignment="1"/>
    <xf numFmtId="49" fontId="20" fillId="0" borderId="0" xfId="178" applyNumberFormat="1" applyFont="1" applyFill="1" applyAlignment="1">
      <alignment horizontal="center"/>
    </xf>
    <xf numFmtId="49" fontId="20" fillId="0" borderId="0" xfId="178" applyNumberFormat="1" applyFont="1" applyFill="1"/>
    <xf numFmtId="3" fontId="20" fillId="0" borderId="0" xfId="178" applyNumberFormat="1" applyFont="1" applyFill="1" applyBorder="1" applyAlignment="1"/>
    <xf numFmtId="0" fontId="20" fillId="0" borderId="0" xfId="178" applyNumberFormat="1" applyFont="1" applyFill="1" applyAlignment="1">
      <alignment horizontal="center"/>
    </xf>
    <xf numFmtId="177" fontId="84" fillId="0" borderId="0" xfId="178" applyFont="1" applyFill="1" applyAlignment="1"/>
    <xf numFmtId="0" fontId="20" fillId="0" borderId="0" xfId="178" applyNumberFormat="1" applyFont="1" applyFill="1" applyAlignment="1"/>
    <xf numFmtId="0" fontId="20" fillId="0" borderId="0" xfId="178" applyNumberFormat="1" applyFont="1" applyFill="1" applyAlignment="1" applyProtection="1">
      <protection locked="0"/>
    </xf>
    <xf numFmtId="0" fontId="87" fillId="0" borderId="0" xfId="178" applyNumberFormat="1" applyFont="1" applyAlignment="1"/>
    <xf numFmtId="266" fontId="20" fillId="0" borderId="0" xfId="178" applyNumberFormat="1" applyFont="1" applyAlignment="1" applyProtection="1">
      <alignment horizontal="left"/>
      <protection locked="0"/>
    </xf>
    <xf numFmtId="164" fontId="20" fillId="0" borderId="0" xfId="1" applyNumberFormat="1" applyFont="1" applyAlignment="1"/>
    <xf numFmtId="268" fontId="20" fillId="0" borderId="0" xfId="178" applyNumberFormat="1" applyFont="1" applyAlignment="1"/>
    <xf numFmtId="3" fontId="20" fillId="0" borderId="0" xfId="178" applyNumberFormat="1" applyFont="1" applyAlignment="1">
      <alignment horizontal="left"/>
    </xf>
    <xf numFmtId="10" fontId="20" fillId="0" borderId="0" xfId="178" applyNumberFormat="1" applyFont="1" applyAlignment="1">
      <alignment horizontal="left"/>
    </xf>
    <xf numFmtId="266" fontId="20" fillId="0" borderId="0" xfId="178" applyNumberFormat="1" applyFont="1" applyAlignment="1">
      <alignment horizontal="left"/>
    </xf>
    <xf numFmtId="3" fontId="20" fillId="14" borderId="0" xfId="1" applyNumberFormat="1" applyFont="1" applyFill="1" applyAlignment="1"/>
    <xf numFmtId="164" fontId="20" fillId="0" borderId="0" xfId="1" applyNumberFormat="1" applyFont="1" applyBorder="1" applyAlignment="1"/>
    <xf numFmtId="0" fontId="20" fillId="0" borderId="0" xfId="178" applyNumberFormat="1" applyFont="1" applyAlignment="1">
      <alignment horizontal="fill"/>
    </xf>
    <xf numFmtId="3" fontId="20" fillId="0" borderId="0" xfId="178" quotePrefix="1" applyNumberFormat="1" applyFont="1" applyAlignment="1">
      <alignment horizontal="left"/>
    </xf>
    <xf numFmtId="0" fontId="20" fillId="0" borderId="0" xfId="178" quotePrefix="1" applyNumberFormat="1" applyFont="1" applyAlignment="1">
      <alignment horizontal="left"/>
    </xf>
    <xf numFmtId="269" fontId="20" fillId="0" borderId="0" xfId="178" applyNumberFormat="1" applyFont="1" applyFill="1" applyAlignment="1">
      <alignment horizontal="left"/>
    </xf>
    <xf numFmtId="3" fontId="85" fillId="0" borderId="0" xfId="178" applyNumberFormat="1" applyFont="1" applyFill="1" applyAlignment="1"/>
    <xf numFmtId="0" fontId="87" fillId="0" borderId="0" xfId="178" applyNumberFormat="1" applyFont="1" applyAlignment="1" applyProtection="1">
      <alignment horizontal="center"/>
      <protection locked="0"/>
    </xf>
    <xf numFmtId="3" fontId="87" fillId="0" borderId="0" xfId="178" applyNumberFormat="1" applyFont="1" applyAlignment="1"/>
    <xf numFmtId="177" fontId="87" fillId="0" borderId="0" xfId="178" applyFont="1" applyAlignment="1">
      <alignment horizontal="center"/>
    </xf>
    <xf numFmtId="49" fontId="20" fillId="0" borderId="0" xfId="178" applyNumberFormat="1" applyFont="1" applyAlignment="1">
      <alignment horizontal="left"/>
    </xf>
    <xf numFmtId="3" fontId="20" fillId="14" borderId="0" xfId="178" applyNumberFormat="1" applyFont="1" applyFill="1" applyBorder="1" applyAlignment="1"/>
    <xf numFmtId="3" fontId="20" fillId="14" borderId="0" xfId="1" applyNumberFormat="1" applyFont="1" applyFill="1" applyBorder="1" applyAlignment="1"/>
    <xf numFmtId="3" fontId="20" fillId="0" borderId="0" xfId="178" applyNumberFormat="1" applyFont="1" applyAlignment="1">
      <alignment horizontal="fill"/>
    </xf>
    <xf numFmtId="0" fontId="20" fillId="0" borderId="0" xfId="178" applyNumberFormat="1" applyFont="1" applyAlignment="1">
      <alignment horizontal="left"/>
    </xf>
    <xf numFmtId="267" fontId="20" fillId="0" borderId="0" xfId="178" applyNumberFormat="1" applyFont="1" applyAlignment="1"/>
    <xf numFmtId="0" fontId="20" fillId="0" borderId="0" xfId="178" applyNumberFormat="1" applyFont="1" applyAlignment="1">
      <alignment horizontal="right"/>
    </xf>
    <xf numFmtId="231" fontId="20" fillId="0" borderId="0" xfId="178" applyNumberFormat="1" applyFont="1"/>
    <xf numFmtId="270" fontId="20" fillId="0" borderId="0" xfId="178" applyNumberFormat="1" applyFont="1" applyProtection="1">
      <protection locked="0"/>
    </xf>
    <xf numFmtId="270" fontId="20" fillId="0" borderId="0" xfId="178" applyNumberFormat="1" applyFont="1" applyFill="1" applyProtection="1">
      <protection locked="0"/>
    </xf>
    <xf numFmtId="270" fontId="20" fillId="14" borderId="0" xfId="178" applyNumberFormat="1" applyFont="1" applyFill="1" applyProtection="1">
      <protection locked="0"/>
    </xf>
    <xf numFmtId="264" fontId="20" fillId="0" borderId="0" xfId="178" applyNumberFormat="1" applyFont="1" applyAlignment="1">
      <alignment horizontal="center"/>
    </xf>
    <xf numFmtId="264" fontId="20" fillId="0" borderId="0" xfId="178" applyNumberFormat="1" applyFont="1"/>
    <xf numFmtId="3" fontId="20" fillId="0" borderId="0" xfId="178" applyNumberFormat="1" applyFont="1"/>
    <xf numFmtId="3" fontId="20" fillId="0" borderId="0" xfId="178" applyNumberFormat="1" applyFont="1" applyFill="1" applyBorder="1"/>
    <xf numFmtId="3" fontId="20" fillId="14" borderId="0" xfId="178" applyNumberFormat="1" applyFont="1" applyFill="1" applyBorder="1"/>
    <xf numFmtId="3" fontId="20" fillId="14" borderId="0" xfId="178" applyNumberFormat="1" applyFont="1" applyFill="1"/>
    <xf numFmtId="42" fontId="20" fillId="0" borderId="13" xfId="178" applyNumberFormat="1" applyFont="1" applyBorder="1" applyAlignment="1" applyProtection="1">
      <alignment horizontal="right"/>
      <protection locked="0"/>
    </xf>
    <xf numFmtId="49" fontId="20" fillId="0" borderId="0" xfId="178" applyNumberFormat="1" applyFont="1"/>
    <xf numFmtId="0" fontId="75" fillId="0" borderId="0" xfId="178" applyNumberFormat="1" applyFont="1"/>
    <xf numFmtId="0" fontId="20" fillId="14" borderId="0" xfId="178" applyNumberFormat="1" applyFont="1" applyFill="1"/>
    <xf numFmtId="0" fontId="20" fillId="14" borderId="0" xfId="178" applyNumberFormat="1" applyFont="1" applyFill="1" applyProtection="1">
      <protection locked="0"/>
    </xf>
    <xf numFmtId="0" fontId="20" fillId="14" borderId="0" xfId="178" applyNumberFormat="1" applyFont="1" applyFill="1" applyAlignment="1" applyProtection="1">
      <protection locked="0"/>
    </xf>
    <xf numFmtId="0" fontId="20" fillId="0" borderId="0" xfId="178" applyNumberFormat="1" applyFont="1" applyAlignment="1" applyProtection="1">
      <alignment horizontal="left"/>
      <protection locked="0"/>
    </xf>
    <xf numFmtId="177" fontId="64" fillId="0" borderId="0" xfId="176" applyFill="1" applyBorder="1" applyAlignment="1"/>
    <xf numFmtId="177" fontId="89" fillId="0" borderId="0" xfId="176" applyFont="1" applyFill="1" applyBorder="1" applyAlignment="1"/>
    <xf numFmtId="10" fontId="27" fillId="0" borderId="0" xfId="176" applyNumberFormat="1" applyFont="1" applyFill="1" applyBorder="1" applyAlignment="1"/>
    <xf numFmtId="3" fontId="32" fillId="0" borderId="0" xfId="176" applyNumberFormat="1" applyFont="1" applyFill="1" applyBorder="1" applyAlignment="1"/>
    <xf numFmtId="177" fontId="32" fillId="0" borderId="0" xfId="176" applyFont="1" applyFill="1" applyBorder="1" applyAlignment="1"/>
    <xf numFmtId="10" fontId="32" fillId="0" borderId="0" xfId="176" applyNumberFormat="1" applyFont="1" applyFill="1" applyBorder="1" applyAlignment="1"/>
    <xf numFmtId="177" fontId="32" fillId="0" borderId="0" xfId="176" applyFont="1" applyFill="1" applyBorder="1" applyAlignment="1">
      <alignment horizontal="center"/>
    </xf>
    <xf numFmtId="49" fontId="64" fillId="0" borderId="0" xfId="176" applyNumberFormat="1" applyFont="1" applyFill="1" applyBorder="1" applyAlignment="1">
      <alignment horizontal="center"/>
    </xf>
    <xf numFmtId="49" fontId="20" fillId="0" borderId="0" xfId="176" applyNumberFormat="1" applyFont="1" applyFill="1" applyBorder="1" applyAlignment="1">
      <alignment horizontal="center"/>
    </xf>
    <xf numFmtId="177" fontId="20" fillId="0" borderId="0" xfId="176" applyFont="1" applyFill="1" applyBorder="1" applyAlignment="1"/>
    <xf numFmtId="49" fontId="20" fillId="0" borderId="0" xfId="176" applyNumberFormat="1" applyFont="1" applyFill="1" applyBorder="1" applyAlignment="1">
      <alignment horizontal="left"/>
    </xf>
    <xf numFmtId="177" fontId="64" fillId="0" borderId="0" xfId="176" applyFont="1" applyFill="1" applyBorder="1" applyAlignment="1"/>
    <xf numFmtId="177" fontId="64" fillId="0" borderId="0" xfId="176" applyFont="1" applyFill="1" applyBorder="1" applyAlignment="1">
      <alignment horizontal="center"/>
    </xf>
    <xf numFmtId="177" fontId="64" fillId="0" borderId="0" xfId="176" applyFont="1" applyFill="1" applyBorder="1" applyAlignment="1">
      <alignment horizontal="center" vertical="top"/>
    </xf>
    <xf numFmtId="1" fontId="32" fillId="0" borderId="0" xfId="1" applyNumberFormat="1" applyFont="1" applyFill="1" applyBorder="1" applyAlignment="1">
      <alignment horizontal="center"/>
    </xf>
    <xf numFmtId="177" fontId="16" fillId="0" borderId="0" xfId="176" applyFont="1" applyFill="1" applyBorder="1" applyAlignment="1"/>
    <xf numFmtId="0" fontId="32" fillId="0" borderId="0" xfId="176" applyNumberFormat="1" applyFont="1" applyFill="1" applyBorder="1" applyAlignment="1"/>
    <xf numFmtId="177" fontId="90" fillId="0" borderId="0" xfId="176" applyFont="1" applyFill="1" applyBorder="1" applyAlignment="1"/>
    <xf numFmtId="49" fontId="32" fillId="0" borderId="0" xfId="176" applyNumberFormat="1" applyFont="1" applyFill="1" applyBorder="1" applyAlignment="1">
      <alignment horizontal="center"/>
    </xf>
    <xf numFmtId="10" fontId="32" fillId="0" borderId="0" xfId="2" applyNumberFormat="1" applyFont="1" applyFill="1" applyBorder="1" applyAlignment="1"/>
    <xf numFmtId="0" fontId="64" fillId="0" borderId="0" xfId="176" applyNumberFormat="1" applyFont="1" applyFill="1" applyBorder="1" applyAlignment="1"/>
    <xf numFmtId="3" fontId="64" fillId="0" borderId="0" xfId="176" applyNumberFormat="1" applyFont="1" applyFill="1" applyBorder="1" applyAlignment="1"/>
    <xf numFmtId="0" fontId="64" fillId="0" borderId="0" xfId="176" applyNumberFormat="1" applyFont="1" applyFill="1" applyBorder="1"/>
    <xf numFmtId="3" fontId="32" fillId="0" borderId="10" xfId="176" applyNumberFormat="1" applyFont="1" applyFill="1" applyBorder="1" applyAlignment="1"/>
    <xf numFmtId="0" fontId="32" fillId="0" borderId="10" xfId="176" applyNumberFormat="1" applyFont="1" applyFill="1" applyBorder="1"/>
    <xf numFmtId="0" fontId="32" fillId="0" borderId="0" xfId="176" applyNumberFormat="1" applyFont="1" applyFill="1" applyBorder="1"/>
    <xf numFmtId="0" fontId="32" fillId="0" borderId="9" xfId="176" applyNumberFormat="1" applyFont="1" applyFill="1" applyBorder="1"/>
    <xf numFmtId="3" fontId="91" fillId="0" borderId="0" xfId="176" applyNumberFormat="1" applyFont="1" applyFill="1" applyBorder="1" applyAlignment="1"/>
    <xf numFmtId="0" fontId="27" fillId="0" borderId="3" xfId="176" applyNumberFormat="1" applyFont="1" applyFill="1" applyBorder="1" applyAlignment="1">
      <alignment horizontal="center" wrapText="1"/>
    </xf>
    <xf numFmtId="0" fontId="64" fillId="0" borderId="0" xfId="176" applyNumberFormat="1" applyFill="1" applyBorder="1" applyAlignment="1" applyProtection="1">
      <alignment horizontal="center"/>
      <protection locked="0"/>
    </xf>
    <xf numFmtId="0" fontId="27" fillId="0" borderId="0" xfId="176" applyNumberFormat="1" applyFont="1" applyFill="1" applyBorder="1" applyAlignment="1"/>
    <xf numFmtId="177" fontId="64" fillId="0" borderId="0" xfId="176" applyFill="1" applyBorder="1" applyAlignment="1">
      <alignment horizontal="right"/>
    </xf>
    <xf numFmtId="0" fontId="64" fillId="0" borderId="0" xfId="176" applyNumberFormat="1" applyFont="1" applyFill="1" applyBorder="1" applyAlignment="1">
      <alignment horizontal="center"/>
    </xf>
    <xf numFmtId="3" fontId="64" fillId="0" borderId="0" xfId="176" applyNumberFormat="1" applyFont="1" applyFill="1" applyBorder="1" applyAlignment="1">
      <alignment horizontal="center"/>
    </xf>
    <xf numFmtId="0" fontId="92" fillId="0" borderId="0" xfId="176" applyNumberFormat="1" applyFont="1" applyFill="1" applyBorder="1"/>
    <xf numFmtId="266" fontId="32" fillId="0" borderId="0" xfId="176" applyNumberFormat="1" applyFont="1" applyFill="1" applyBorder="1" applyAlignment="1">
      <alignment horizontal="center"/>
    </xf>
    <xf numFmtId="10" fontId="27" fillId="0" borderId="0" xfId="2" applyNumberFormat="1" applyFont="1" applyFill="1" applyBorder="1" applyAlignment="1"/>
    <xf numFmtId="3" fontId="27" fillId="0" borderId="0" xfId="176" applyNumberFormat="1" applyFont="1" applyFill="1" applyBorder="1" applyAlignment="1">
      <alignment horizontal="center"/>
    </xf>
    <xf numFmtId="3" fontId="32" fillId="0" borderId="0" xfId="176" applyNumberFormat="1" applyFont="1" applyFill="1" applyBorder="1" applyAlignment="1">
      <alignment horizontal="center"/>
    </xf>
    <xf numFmtId="227" fontId="64" fillId="0" borderId="0" xfId="176" applyNumberFormat="1" applyFill="1" applyBorder="1" applyAlignment="1"/>
    <xf numFmtId="10" fontId="0" fillId="0" borderId="0" xfId="2" applyNumberFormat="1" applyFont="1" applyFill="1" applyBorder="1" applyAlignment="1"/>
    <xf numFmtId="3" fontId="32" fillId="14" borderId="0" xfId="176" applyNumberFormat="1" applyFont="1" applyFill="1" applyBorder="1" applyAlignment="1"/>
    <xf numFmtId="3" fontId="92" fillId="0" borderId="0" xfId="176" applyNumberFormat="1" applyFont="1" applyFill="1" applyBorder="1" applyAlignment="1"/>
    <xf numFmtId="0" fontId="64" fillId="0" borderId="0" xfId="176" applyNumberFormat="1" applyFont="1" applyFill="1" applyBorder="1" applyAlignment="1">
      <alignment horizontal="fill"/>
    </xf>
    <xf numFmtId="267" fontId="27" fillId="0" borderId="0" xfId="176" applyNumberFormat="1" applyFont="1" applyFill="1" applyBorder="1" applyAlignment="1"/>
    <xf numFmtId="0" fontId="27" fillId="0" borderId="0" xfId="176" applyNumberFormat="1" applyFont="1" applyFill="1" applyBorder="1" applyAlignment="1">
      <alignment horizontal="center"/>
    </xf>
    <xf numFmtId="0" fontId="93" fillId="0" borderId="0" xfId="176" applyNumberFormat="1" applyFont="1" applyFill="1" applyBorder="1" applyAlignment="1" applyProtection="1">
      <alignment horizontal="center"/>
      <protection locked="0"/>
    </xf>
    <xf numFmtId="0" fontId="91" fillId="0" borderId="0" xfId="176" applyNumberFormat="1" applyFont="1" applyFill="1" applyBorder="1" applyAlignment="1">
      <alignment horizontal="center"/>
    </xf>
    <xf numFmtId="0" fontId="27" fillId="0" borderId="0" xfId="176" applyNumberFormat="1" applyFont="1" applyFill="1" applyBorder="1" applyAlignment="1" applyProtection="1">
      <alignment horizontal="center"/>
      <protection locked="0"/>
    </xf>
    <xf numFmtId="177" fontId="27" fillId="0" borderId="0" xfId="176" applyFont="1" applyFill="1" applyBorder="1" applyAlignment="1">
      <alignment horizontal="center"/>
    </xf>
    <xf numFmtId="0" fontId="32" fillId="0" borderId="0" xfId="176" applyNumberFormat="1" applyFont="1" applyFill="1" applyBorder="1" applyAlignment="1">
      <alignment horizontal="center"/>
    </xf>
    <xf numFmtId="3" fontId="32" fillId="0" borderId="0" xfId="176" applyNumberFormat="1" applyFont="1" applyFill="1" applyBorder="1"/>
    <xf numFmtId="49" fontId="32" fillId="0" borderId="0" xfId="176" applyNumberFormat="1" applyFont="1" applyFill="1" applyBorder="1"/>
    <xf numFmtId="0" fontId="94" fillId="0" borderId="0" xfId="176" applyNumberFormat="1" applyFont="1" applyFill="1" applyBorder="1"/>
    <xf numFmtId="0" fontId="94" fillId="0" borderId="0" xfId="176" applyNumberFormat="1" applyFont="1" applyFill="1" applyBorder="1" applyAlignment="1">
      <alignment horizontal="center"/>
    </xf>
    <xf numFmtId="0" fontId="32" fillId="0" borderId="0" xfId="176" applyNumberFormat="1" applyFont="1" applyFill="1" applyBorder="1" applyProtection="1">
      <protection locked="0"/>
    </xf>
    <xf numFmtId="0" fontId="32" fillId="0" borderId="0" xfId="176" applyNumberFormat="1" applyFont="1" applyFill="1" applyBorder="1" applyAlignment="1" applyProtection="1">
      <protection locked="0"/>
    </xf>
    <xf numFmtId="0" fontId="20" fillId="14" borderId="0" xfId="176" applyNumberFormat="1" applyFont="1" applyFill="1" applyAlignment="1">
      <alignment horizontal="right"/>
    </xf>
    <xf numFmtId="0" fontId="32" fillId="0" borderId="0" xfId="176" applyNumberFormat="1" applyFont="1" applyFill="1" applyBorder="1" applyAlignment="1" applyProtection="1">
      <alignment horizontal="left"/>
      <protection locked="0"/>
    </xf>
    <xf numFmtId="0" fontId="16" fillId="0" borderId="0" xfId="3" applyFont="1"/>
    <xf numFmtId="271" fontId="32" fillId="0" borderId="10" xfId="336" applyNumberFormat="1" applyFont="1" applyFill="1" applyBorder="1" applyAlignment="1"/>
    <xf numFmtId="272" fontId="27" fillId="0" borderId="0" xfId="176" quotePrefix="1" applyNumberFormat="1" applyFont="1" applyFill="1" applyBorder="1" applyAlignment="1">
      <alignment horizontal="center"/>
    </xf>
    <xf numFmtId="0" fontId="64" fillId="0" borderId="0" xfId="176" quotePrefix="1" applyNumberFormat="1" applyFill="1" applyBorder="1" applyAlignment="1" applyProtection="1">
      <alignment horizontal="center"/>
      <protection locked="0"/>
    </xf>
    <xf numFmtId="164" fontId="32" fillId="14" borderId="0" xfId="1" applyNumberFormat="1" applyFont="1" applyFill="1" applyBorder="1" applyAlignment="1"/>
    <xf numFmtId="164" fontId="32" fillId="14" borderId="2" xfId="1" applyNumberFormat="1" applyFont="1" applyFill="1" applyBorder="1" applyAlignment="1"/>
    <xf numFmtId="0" fontId="25" fillId="0" borderId="0" xfId="375" applyFont="1">
      <alignment vertical="top"/>
    </xf>
    <xf numFmtId="0" fontId="96" fillId="0" borderId="0" xfId="3" applyFont="1"/>
    <xf numFmtId="0" fontId="96" fillId="0" borderId="0" xfId="3" applyFont="1" applyFill="1"/>
    <xf numFmtId="0" fontId="54" fillId="0" borderId="0" xfId="375" applyFont="1">
      <alignment vertical="top"/>
    </xf>
    <xf numFmtId="0" fontId="54" fillId="0" borderId="0" xfId="376" applyFont="1" applyFill="1" applyBorder="1">
      <alignment vertical="top"/>
    </xf>
    <xf numFmtId="0" fontId="16" fillId="0" borderId="0" xfId="375" applyFont="1">
      <alignment vertical="top"/>
    </xf>
    <xf numFmtId="0" fontId="54" fillId="0" borderId="2" xfId="376" applyFont="1" applyFill="1" applyBorder="1">
      <alignment vertical="top"/>
    </xf>
    <xf numFmtId="0" fontId="16" fillId="0" borderId="0" xfId="375" applyFont="1" applyAlignment="1">
      <alignment horizontal="center" vertical="top"/>
    </xf>
    <xf numFmtId="0" fontId="54" fillId="11" borderId="18" xfId="375" applyFont="1" applyFill="1" applyBorder="1">
      <alignment vertical="top"/>
    </xf>
    <xf numFmtId="0" fontId="16" fillId="0" borderId="18" xfId="4" quotePrefix="1" applyFont="1" applyFill="1" applyBorder="1" applyAlignment="1">
      <alignment horizontal="left"/>
    </xf>
    <xf numFmtId="3" fontId="16" fillId="16" borderId="9" xfId="336" applyNumberFormat="1" applyFont="1" applyFill="1" applyBorder="1" applyAlignment="1">
      <alignment horizontal="right" vertical="top"/>
    </xf>
    <xf numFmtId="3" fontId="16" fillId="0" borderId="9" xfId="336" applyNumberFormat="1" applyFont="1" applyFill="1" applyBorder="1" applyAlignment="1">
      <alignment horizontal="right" vertical="top"/>
    </xf>
    <xf numFmtId="3" fontId="16" fillId="16" borderId="10" xfId="336" applyNumberFormat="1" applyFont="1" applyFill="1" applyBorder="1" applyAlignment="1">
      <alignment horizontal="right" vertical="top"/>
    </xf>
    <xf numFmtId="0" fontId="54" fillId="11" borderId="10" xfId="375" applyFont="1" applyFill="1" applyBorder="1">
      <alignment vertical="top"/>
    </xf>
    <xf numFmtId="0" fontId="16" fillId="0" borderId="10" xfId="4" quotePrefix="1" applyFont="1" applyFill="1" applyBorder="1" applyAlignment="1">
      <alignment horizontal="left"/>
    </xf>
    <xf numFmtId="0" fontId="16" fillId="0" borderId="10" xfId="4" applyFont="1" applyFill="1" applyBorder="1"/>
    <xf numFmtId="0" fontId="54" fillId="11" borderId="14" xfId="375" applyFont="1" applyFill="1" applyBorder="1">
      <alignment vertical="top"/>
    </xf>
    <xf numFmtId="17" fontId="16" fillId="0" borderId="14" xfId="4" quotePrefix="1" applyNumberFormat="1" applyFont="1" applyFill="1" applyBorder="1"/>
    <xf numFmtId="0" fontId="54" fillId="11" borderId="0" xfId="375" applyFont="1" applyFill="1">
      <alignment vertical="top"/>
    </xf>
    <xf numFmtId="0" fontId="54" fillId="0" borderId="0" xfId="4" applyFont="1" applyBorder="1" applyAlignment="1">
      <alignment horizontal="right"/>
    </xf>
    <xf numFmtId="227" fontId="16" fillId="0" borderId="3" xfId="375" applyNumberFormat="1" applyFont="1" applyFill="1" applyBorder="1" applyAlignment="1">
      <alignment horizontal="right" vertical="top"/>
    </xf>
    <xf numFmtId="227" fontId="16" fillId="0" borderId="17" xfId="375" applyNumberFormat="1" applyFont="1" applyFill="1" applyBorder="1" applyAlignment="1">
      <alignment horizontal="right" vertical="top"/>
    </xf>
    <xf numFmtId="3" fontId="16" fillId="16" borderId="19" xfId="336" applyNumberFormat="1" applyFont="1" applyFill="1" applyBorder="1" applyAlignment="1">
      <alignment horizontal="right" vertical="top"/>
    </xf>
    <xf numFmtId="3" fontId="16" fillId="0" borderId="19" xfId="336" applyNumberFormat="1" applyFont="1" applyFill="1" applyBorder="1" applyAlignment="1">
      <alignment horizontal="right" vertical="top"/>
    </xf>
    <xf numFmtId="3" fontId="16" fillId="16" borderId="18" xfId="336" applyNumberFormat="1" applyFont="1" applyFill="1" applyBorder="1" applyAlignment="1">
      <alignment horizontal="right" vertical="top"/>
    </xf>
    <xf numFmtId="3" fontId="16" fillId="16" borderId="15" xfId="336" applyNumberFormat="1" applyFont="1" applyFill="1" applyBorder="1" applyAlignment="1">
      <alignment horizontal="right" vertical="top"/>
    </xf>
    <xf numFmtId="3" fontId="16" fillId="0" borderId="15" xfId="336" applyNumberFormat="1" applyFont="1" applyFill="1" applyBorder="1" applyAlignment="1">
      <alignment horizontal="right" vertical="top"/>
    </xf>
    <xf numFmtId="3" fontId="16" fillId="16" borderId="14" xfId="336" applyNumberFormat="1" applyFont="1" applyFill="1" applyBorder="1" applyAlignment="1">
      <alignment horizontal="right" vertical="top"/>
    </xf>
    <xf numFmtId="0" fontId="54" fillId="0" borderId="1" xfId="4" applyFont="1" applyBorder="1" applyAlignment="1">
      <alignment horizontal="right"/>
    </xf>
    <xf numFmtId="0" fontId="54" fillId="0" borderId="0" xfId="375" applyFont="1" applyFill="1">
      <alignment vertical="top"/>
    </xf>
    <xf numFmtId="0" fontId="54" fillId="0" borderId="0" xfId="4" applyFont="1" applyFill="1" applyAlignment="1">
      <alignment horizontal="right"/>
    </xf>
    <xf numFmtId="227" fontId="16" fillId="0" borderId="0" xfId="375" applyNumberFormat="1" applyFont="1" applyFill="1" applyBorder="1" applyAlignment="1">
      <alignment horizontal="right" vertical="top"/>
    </xf>
    <xf numFmtId="0" fontId="16" fillId="0" borderId="0" xfId="375" applyFont="1" applyFill="1" applyBorder="1" applyAlignment="1">
      <alignment horizontal="right" vertical="top"/>
    </xf>
    <xf numFmtId="0" fontId="16" fillId="11" borderId="0" xfId="4" applyFont="1" applyFill="1" applyAlignment="1">
      <alignment horizontal="right"/>
    </xf>
    <xf numFmtId="37" fontId="16" fillId="11" borderId="0" xfId="4" applyNumberFormat="1" applyFont="1" applyFill="1" applyBorder="1" applyAlignment="1">
      <alignment horizontal="right"/>
    </xf>
    <xf numFmtId="37" fontId="16" fillId="0" borderId="0" xfId="4" applyNumberFormat="1" applyFont="1" applyFill="1" applyBorder="1" applyAlignment="1">
      <alignment horizontal="right"/>
    </xf>
    <xf numFmtId="0" fontId="54" fillId="11" borderId="2" xfId="375" applyFont="1" applyFill="1" applyBorder="1">
      <alignment vertical="top"/>
    </xf>
    <xf numFmtId="0" fontId="16" fillId="11" borderId="2" xfId="4" applyFont="1" applyFill="1" applyBorder="1"/>
    <xf numFmtId="3" fontId="16" fillId="11" borderId="2" xfId="4" applyNumberFormat="1" applyFont="1" applyFill="1" applyBorder="1" applyAlignment="1">
      <alignment horizontal="right"/>
    </xf>
    <xf numFmtId="0" fontId="16" fillId="11" borderId="2" xfId="4" applyFont="1" applyFill="1" applyBorder="1" applyAlignment="1">
      <alignment horizontal="right"/>
    </xf>
    <xf numFmtId="0" fontId="16" fillId="0" borderId="2" xfId="4" applyFont="1" applyFill="1" applyBorder="1" applyAlignment="1">
      <alignment horizontal="right"/>
    </xf>
    <xf numFmtId="0" fontId="16" fillId="0" borderId="10" xfId="4" quotePrefix="1" applyFont="1" applyBorder="1" applyAlignment="1">
      <alignment horizontal="left"/>
    </xf>
    <xf numFmtId="0" fontId="54" fillId="11" borderId="1" xfId="375" applyFont="1" applyFill="1" applyBorder="1">
      <alignment vertical="top"/>
    </xf>
    <xf numFmtId="227" fontId="16" fillId="11" borderId="0" xfId="375" applyNumberFormat="1" applyFont="1" applyFill="1" applyBorder="1" applyAlignment="1">
      <alignment horizontal="right" vertical="top"/>
    </xf>
    <xf numFmtId="0" fontId="16" fillId="11" borderId="0" xfId="375" applyFont="1" applyFill="1" applyBorder="1" applyAlignment="1">
      <alignment horizontal="right" vertical="top"/>
    </xf>
    <xf numFmtId="0" fontId="16" fillId="11" borderId="2" xfId="3" applyFont="1" applyFill="1" applyBorder="1" applyAlignment="1">
      <alignment horizontal="right"/>
    </xf>
    <xf numFmtId="0" fontId="16" fillId="0" borderId="2" xfId="3" applyFont="1" applyFill="1" applyBorder="1" applyAlignment="1">
      <alignment horizontal="right"/>
    </xf>
    <xf numFmtId="0" fontId="54" fillId="0" borderId="18" xfId="3" applyFont="1" applyBorder="1"/>
    <xf numFmtId="0" fontId="16" fillId="0" borderId="18" xfId="375" applyFont="1" applyBorder="1">
      <alignment vertical="top"/>
    </xf>
    <xf numFmtId="0" fontId="16" fillId="0" borderId="14" xfId="375" applyFont="1" applyBorder="1">
      <alignment vertical="top"/>
    </xf>
    <xf numFmtId="0" fontId="54" fillId="0" borderId="0" xfId="4" applyFont="1" applyAlignment="1">
      <alignment horizontal="right"/>
    </xf>
    <xf numFmtId="227" fontId="16" fillId="0" borderId="16" xfId="375" applyNumberFormat="1" applyFont="1" applyFill="1" applyBorder="1" applyAlignment="1">
      <alignment horizontal="right" vertical="top"/>
    </xf>
    <xf numFmtId="227" fontId="16" fillId="0" borderId="8" xfId="375" applyNumberFormat="1" applyFont="1" applyFill="1" applyBorder="1" applyAlignment="1">
      <alignment horizontal="right" vertical="top"/>
    </xf>
    <xf numFmtId="0" fontId="16" fillId="0" borderId="0" xfId="3" applyFont="1" applyBorder="1"/>
    <xf numFmtId="0" fontId="16" fillId="0" borderId="0" xfId="3" applyFont="1" applyFill="1"/>
    <xf numFmtId="3" fontId="16" fillId="0" borderId="10" xfId="336" applyNumberFormat="1" applyFont="1" applyFill="1" applyBorder="1" applyAlignment="1">
      <alignment horizontal="right" vertical="top"/>
    </xf>
    <xf numFmtId="3" fontId="16" fillId="0" borderId="18" xfId="336" applyNumberFormat="1" applyFont="1" applyFill="1" applyBorder="1" applyAlignment="1">
      <alignment horizontal="right" vertical="top"/>
    </xf>
    <xf numFmtId="3" fontId="16" fillId="0" borderId="14" xfId="336" applyNumberFormat="1" applyFont="1" applyFill="1" applyBorder="1" applyAlignment="1">
      <alignment horizontal="right" vertical="top"/>
    </xf>
    <xf numFmtId="271" fontId="32" fillId="0" borderId="0" xfId="336" applyNumberFormat="1" applyFont="1" applyFill="1" applyBorder="1" applyAlignment="1"/>
    <xf numFmtId="49" fontId="32" fillId="14" borderId="0" xfId="176" applyNumberFormat="1" applyFont="1" applyFill="1" applyBorder="1" applyAlignment="1">
      <alignment horizontal="right"/>
    </xf>
    <xf numFmtId="0" fontId="33" fillId="0" borderId="0" xfId="3" applyFont="1"/>
    <xf numFmtId="177" fontId="64" fillId="0" borderId="0" xfId="176" applyFont="1" applyFill="1" applyBorder="1" applyAlignment="1">
      <alignment vertical="top"/>
    </xf>
    <xf numFmtId="0" fontId="64" fillId="0" borderId="0" xfId="176" applyNumberFormat="1" applyFont="1" applyFill="1" applyBorder="1" applyAlignment="1">
      <alignment horizontal="left" vertical="top" wrapText="1"/>
    </xf>
    <xf numFmtId="271" fontId="32" fillId="14" borderId="0" xfId="336" applyNumberFormat="1" applyFont="1" applyFill="1" applyBorder="1" applyAlignment="1">
      <alignment vertical="top"/>
    </xf>
    <xf numFmtId="271" fontId="64" fillId="0" borderId="10" xfId="92" applyNumberFormat="1" applyFont="1" applyFill="1" applyBorder="1" applyAlignment="1">
      <alignment vertical="top"/>
    </xf>
    <xf numFmtId="0" fontId="89" fillId="0" borderId="0" xfId="176" applyNumberFormat="1" applyFont="1" applyFill="1" applyBorder="1" applyAlignment="1">
      <alignment horizontal="center" vertical="top"/>
    </xf>
    <xf numFmtId="0" fontId="64" fillId="0" borderId="0" xfId="177" applyNumberFormat="1" applyFill="1" applyBorder="1" applyAlignment="1">
      <alignment horizontal="center" vertical="top"/>
    </xf>
    <xf numFmtId="3" fontId="32" fillId="0" borderId="0" xfId="379" applyNumberFormat="1" applyFont="1" applyFill="1" applyBorder="1" applyAlignment="1">
      <alignment horizontal="center"/>
    </xf>
    <xf numFmtId="177" fontId="89" fillId="0" borderId="0" xfId="379" applyFont="1" applyFill="1" applyBorder="1" applyAlignment="1"/>
    <xf numFmtId="10" fontId="27" fillId="0" borderId="0" xfId="379" applyNumberFormat="1" applyFont="1" applyFill="1" applyBorder="1" applyAlignment="1"/>
    <xf numFmtId="3" fontId="32" fillId="0" borderId="0" xfId="379" applyNumberFormat="1" applyFont="1" applyFill="1" applyBorder="1" applyAlignment="1"/>
    <xf numFmtId="177" fontId="32" fillId="0" borderId="0" xfId="379" applyFont="1" applyFill="1" applyBorder="1" applyAlignment="1"/>
    <xf numFmtId="10" fontId="32" fillId="0" borderId="0" xfId="379" applyNumberFormat="1" applyFont="1" applyFill="1" applyBorder="1" applyAlignment="1"/>
    <xf numFmtId="177" fontId="32" fillId="0" borderId="0" xfId="379" applyFont="1" applyFill="1" applyBorder="1" applyAlignment="1">
      <alignment horizontal="center"/>
    </xf>
    <xf numFmtId="49" fontId="64" fillId="0" borderId="0" xfId="379" applyNumberFormat="1" applyFont="1" applyFill="1" applyBorder="1" applyAlignment="1">
      <alignment horizontal="center"/>
    </xf>
    <xf numFmtId="49" fontId="20" fillId="0" borderId="0" xfId="379" applyNumberFormat="1" applyFont="1" applyFill="1" applyBorder="1" applyAlignment="1">
      <alignment horizontal="center"/>
    </xf>
    <xf numFmtId="177" fontId="20" fillId="0" borderId="0" xfId="379" applyFont="1" applyFill="1" applyBorder="1" applyAlignment="1"/>
    <xf numFmtId="49" fontId="20" fillId="0" borderId="0" xfId="379" applyNumberFormat="1" applyFont="1" applyFill="1" applyBorder="1" applyAlignment="1">
      <alignment horizontal="left"/>
    </xf>
    <xf numFmtId="0" fontId="20" fillId="0" borderId="0" xfId="379" applyNumberFormat="1" applyFont="1" applyFill="1" applyBorder="1" applyAlignment="1">
      <alignment horizontal="right"/>
    </xf>
    <xf numFmtId="177" fontId="64" fillId="0" borderId="0" xfId="379" applyFont="1" applyFill="1" applyBorder="1" applyAlignment="1"/>
    <xf numFmtId="177" fontId="64" fillId="0" borderId="0" xfId="379" applyFont="1" applyFill="1" applyBorder="1" applyAlignment="1">
      <alignment horizontal="center"/>
    </xf>
    <xf numFmtId="177" fontId="64" fillId="0" borderId="0" xfId="379" applyFont="1" applyFill="1" applyBorder="1" applyAlignment="1">
      <alignment horizontal="center" vertical="top"/>
    </xf>
    <xf numFmtId="227" fontId="32" fillId="0" borderId="0" xfId="379" applyNumberFormat="1" applyFont="1" applyFill="1" applyBorder="1" applyAlignment="1"/>
    <xf numFmtId="177" fontId="16" fillId="0" borderId="0" xfId="379" applyFont="1" applyFill="1" applyBorder="1" applyAlignment="1"/>
    <xf numFmtId="0" fontId="32" fillId="0" borderId="0" xfId="379" applyNumberFormat="1" applyFont="1" applyFill="1" applyBorder="1" applyAlignment="1"/>
    <xf numFmtId="49" fontId="32" fillId="0" borderId="0" xfId="379" applyNumberFormat="1" applyFont="1" applyFill="1" applyBorder="1" applyAlignment="1">
      <alignment horizontal="center"/>
    </xf>
    <xf numFmtId="3" fontId="32" fillId="0" borderId="10" xfId="379" applyNumberFormat="1" applyFont="1" applyFill="1" applyBorder="1" applyAlignment="1"/>
    <xf numFmtId="271" fontId="32" fillId="14" borderId="0" xfId="336" applyNumberFormat="1" applyFont="1" applyFill="1" applyBorder="1" applyAlignment="1"/>
    <xf numFmtId="0" fontId="64" fillId="0" borderId="0" xfId="379" applyNumberFormat="1" applyFont="1" applyFill="1" applyBorder="1" applyAlignment="1"/>
    <xf numFmtId="3" fontId="64" fillId="0" borderId="0" xfId="379" applyNumberFormat="1" applyFont="1" applyFill="1" applyBorder="1" applyAlignment="1"/>
    <xf numFmtId="0" fontId="64" fillId="0" borderId="0" xfId="379" applyNumberFormat="1" applyFont="1" applyFill="1" applyBorder="1"/>
    <xf numFmtId="0" fontId="32" fillId="0" borderId="10" xfId="379" applyNumberFormat="1" applyFont="1" applyFill="1" applyBorder="1"/>
    <xf numFmtId="0" fontId="32" fillId="0" borderId="0" xfId="379" applyNumberFormat="1" applyFont="1" applyFill="1" applyBorder="1"/>
    <xf numFmtId="0" fontId="32" fillId="0" borderId="9" xfId="379" applyNumberFormat="1" applyFont="1" applyFill="1" applyBorder="1"/>
    <xf numFmtId="3" fontId="32" fillId="0" borderId="8" xfId="379" applyNumberFormat="1" applyFont="1" applyFill="1" applyBorder="1" applyAlignment="1">
      <alignment horizontal="center" wrapText="1"/>
    </xf>
    <xf numFmtId="3" fontId="32" fillId="0" borderId="3" xfId="379" applyNumberFormat="1" applyFont="1" applyFill="1" applyBorder="1" applyAlignment="1">
      <alignment horizontal="center"/>
    </xf>
    <xf numFmtId="0" fontId="32" fillId="0" borderId="8" xfId="379" applyNumberFormat="1" applyFont="1" applyFill="1" applyBorder="1" applyAlignment="1">
      <alignment horizontal="center"/>
    </xf>
    <xf numFmtId="0" fontId="32" fillId="0" borderId="3" xfId="379" applyNumberFormat="1" applyFont="1" applyFill="1" applyBorder="1" applyAlignment="1">
      <alignment horizontal="center"/>
    </xf>
    <xf numFmtId="0" fontId="32" fillId="0" borderId="3" xfId="379" applyNumberFormat="1" applyFont="1" applyFill="1" applyBorder="1"/>
    <xf numFmtId="0" fontId="32" fillId="0" borderId="16" xfId="379" applyNumberFormat="1" applyFont="1" applyFill="1" applyBorder="1"/>
    <xf numFmtId="3" fontId="91" fillId="0" borderId="0" xfId="379" applyNumberFormat="1" applyFont="1" applyFill="1" applyBorder="1" applyAlignment="1"/>
    <xf numFmtId="3" fontId="27" fillId="0" borderId="8" xfId="379" applyNumberFormat="1" applyFont="1" applyFill="1" applyBorder="1" applyAlignment="1">
      <alignment horizontal="center" wrapText="1"/>
    </xf>
    <xf numFmtId="3" fontId="27" fillId="0" borderId="3" xfId="379" applyNumberFormat="1" applyFont="1" applyFill="1" applyBorder="1" applyAlignment="1">
      <alignment horizontal="center" wrapText="1"/>
    </xf>
    <xf numFmtId="0" fontId="27" fillId="0" borderId="3" xfId="379" applyNumberFormat="1" applyFont="1" applyFill="1" applyBorder="1" applyAlignment="1">
      <alignment horizontal="center" wrapText="1"/>
    </xf>
    <xf numFmtId="177" fontId="91" fillId="0" borderId="8" xfId="379" applyFont="1" applyFill="1" applyBorder="1" applyAlignment="1">
      <alignment horizontal="center" wrapText="1"/>
    </xf>
    <xf numFmtId="177" fontId="91" fillId="0" borderId="3" xfId="379" applyFont="1" applyFill="1" applyBorder="1" applyAlignment="1">
      <alignment horizontal="center" wrapText="1"/>
    </xf>
    <xf numFmtId="177" fontId="91" fillId="0" borderId="3" xfId="379" applyFont="1" applyFill="1" applyBorder="1" applyAlignment="1"/>
    <xf numFmtId="177" fontId="91" fillId="0" borderId="16" xfId="379" applyFont="1" applyFill="1" applyBorder="1" applyAlignment="1">
      <alignment horizontal="center" wrapText="1"/>
    </xf>
    <xf numFmtId="272" fontId="27" fillId="0" borderId="0" xfId="379" applyNumberFormat="1" applyFont="1" applyFill="1" applyBorder="1" applyAlignment="1">
      <alignment horizontal="center"/>
    </xf>
    <xf numFmtId="0" fontId="27" fillId="0" borderId="0" xfId="379" applyNumberFormat="1" applyFont="1" applyFill="1" applyBorder="1" applyAlignment="1"/>
    <xf numFmtId="177" fontId="32" fillId="0" borderId="0" xfId="379" applyFont="1" applyFill="1" applyBorder="1" applyAlignment="1">
      <alignment horizontal="right"/>
    </xf>
    <xf numFmtId="0" fontId="64" fillId="0" borderId="0" xfId="379" applyNumberFormat="1" applyFont="1" applyFill="1" applyBorder="1" applyAlignment="1">
      <alignment horizontal="center"/>
    </xf>
    <xf numFmtId="3" fontId="64" fillId="0" borderId="0" xfId="379" applyNumberFormat="1" applyFont="1" applyFill="1" applyBorder="1" applyAlignment="1">
      <alignment horizontal="center"/>
    </xf>
    <xf numFmtId="0" fontId="64" fillId="0" borderId="0" xfId="379" applyNumberFormat="1" applyFont="1" applyFill="1" applyBorder="1" applyAlignment="1">
      <alignment horizontal="right"/>
    </xf>
    <xf numFmtId="266" fontId="32" fillId="0" borderId="0" xfId="379" applyNumberFormat="1" applyFont="1" applyFill="1" applyBorder="1" applyAlignment="1">
      <alignment horizontal="center"/>
    </xf>
    <xf numFmtId="3" fontId="27" fillId="0" borderId="0" xfId="379" applyNumberFormat="1" applyFont="1" applyFill="1" applyBorder="1" applyAlignment="1"/>
    <xf numFmtId="3" fontId="27" fillId="0" borderId="0" xfId="379" applyNumberFormat="1" applyFont="1" applyFill="1" applyBorder="1" applyAlignment="1">
      <alignment horizontal="center"/>
    </xf>
    <xf numFmtId="177" fontId="91" fillId="0" borderId="0" xfId="379" applyFont="1" applyFill="1" applyBorder="1" applyAlignment="1"/>
    <xf numFmtId="49" fontId="91" fillId="0" borderId="0" xfId="379" applyNumberFormat="1" applyFont="1" applyFill="1" applyBorder="1" applyAlignment="1">
      <alignment horizontal="center"/>
    </xf>
    <xf numFmtId="0" fontId="27" fillId="0" borderId="0" xfId="379" applyNumberFormat="1" applyFont="1" applyFill="1" applyBorder="1" applyAlignment="1">
      <alignment horizontal="center"/>
    </xf>
    <xf numFmtId="0" fontId="93" fillId="0" borderId="0" xfId="379" applyNumberFormat="1" applyFont="1" applyFill="1" applyBorder="1" applyAlignment="1" applyProtection="1">
      <alignment horizontal="center"/>
      <protection locked="0"/>
    </xf>
    <xf numFmtId="0" fontId="27" fillId="0" borderId="0" xfId="379" applyNumberFormat="1" applyFont="1" applyFill="1" applyBorder="1" applyAlignment="1" applyProtection="1">
      <alignment horizontal="center"/>
      <protection locked="0"/>
    </xf>
    <xf numFmtId="177" fontId="27" fillId="0" borderId="0" xfId="379" applyFont="1" applyFill="1" applyBorder="1" applyAlignment="1">
      <alignment horizontal="center"/>
    </xf>
    <xf numFmtId="0" fontId="32" fillId="0" borderId="0" xfId="379" applyNumberFormat="1" applyFont="1" applyFill="1" applyBorder="1" applyAlignment="1">
      <alignment horizontal="center"/>
    </xf>
    <xf numFmtId="3" fontId="32" fillId="0" borderId="0" xfId="379" applyNumberFormat="1" applyFont="1" applyFill="1" applyBorder="1"/>
    <xf numFmtId="49" fontId="32" fillId="0" borderId="0" xfId="379" applyNumberFormat="1" applyFont="1" applyFill="1" applyBorder="1"/>
    <xf numFmtId="0" fontId="32" fillId="0" borderId="0" xfId="379" applyNumberFormat="1" applyFont="1" applyFill="1" applyBorder="1" applyProtection="1">
      <protection locked="0"/>
    </xf>
    <xf numFmtId="0" fontId="32" fillId="0" borderId="0" xfId="379" applyNumberFormat="1" applyFont="1" applyFill="1" applyBorder="1" applyAlignment="1" applyProtection="1">
      <protection locked="0"/>
    </xf>
    <xf numFmtId="0" fontId="32" fillId="0" borderId="0" xfId="379" applyNumberFormat="1" applyFont="1" applyFill="1" applyBorder="1" applyAlignment="1" applyProtection="1">
      <alignment horizontal="left"/>
      <protection locked="0"/>
    </xf>
    <xf numFmtId="273" fontId="32" fillId="0" borderId="0" xfId="379" applyNumberFormat="1" applyFont="1" applyFill="1" applyBorder="1" applyAlignment="1"/>
    <xf numFmtId="0" fontId="32" fillId="2" borderId="0" xfId="379" applyNumberFormat="1" applyFont="1" applyFill="1" applyBorder="1"/>
    <xf numFmtId="49" fontId="32" fillId="2" borderId="0" xfId="379" applyNumberFormat="1" applyFont="1" applyFill="1" applyBorder="1" applyAlignment="1">
      <alignment horizontal="center"/>
    </xf>
    <xf numFmtId="227" fontId="32" fillId="0" borderId="0" xfId="176" applyNumberFormat="1" applyFont="1" applyFill="1" applyBorder="1" applyAlignment="1"/>
    <xf numFmtId="177" fontId="89" fillId="0" borderId="14" xfId="176" applyFont="1" applyFill="1" applyBorder="1" applyAlignment="1"/>
    <xf numFmtId="177" fontId="89" fillId="0" borderId="2" xfId="176" applyFont="1" applyFill="1" applyBorder="1" applyAlignment="1"/>
    <xf numFmtId="177" fontId="64" fillId="0" borderId="2" xfId="176" applyFill="1" applyBorder="1" applyAlignment="1"/>
    <xf numFmtId="177" fontId="64" fillId="0" borderId="15" xfId="176" applyFill="1" applyBorder="1" applyAlignment="1"/>
    <xf numFmtId="177" fontId="64" fillId="0" borderId="9" xfId="176" applyFont="1" applyFill="1" applyBorder="1" applyAlignment="1"/>
    <xf numFmtId="0" fontId="64" fillId="0" borderId="0" xfId="176" applyNumberFormat="1" applyFont="1" applyFill="1" applyBorder="1" applyAlignment="1" applyProtection="1">
      <alignment horizontal="center"/>
      <protection locked="0"/>
    </xf>
    <xf numFmtId="0" fontId="32" fillId="0" borderId="0" xfId="423" applyNumberFormat="1" applyFont="1" applyFill="1" applyBorder="1"/>
    <xf numFmtId="49" fontId="32" fillId="0" borderId="0" xfId="176" applyNumberFormat="1" applyFont="1" applyFill="1" applyBorder="1" applyAlignment="1">
      <alignment horizontal="centerContinuous"/>
    </xf>
    <xf numFmtId="49" fontId="32" fillId="2" borderId="0" xfId="176" applyNumberFormat="1" applyFont="1" applyFill="1" applyBorder="1" applyAlignment="1">
      <alignment horizontal="right"/>
    </xf>
    <xf numFmtId="164" fontId="32" fillId="0" borderId="0" xfId="1" applyNumberFormat="1" applyFont="1" applyFill="1" applyBorder="1" applyAlignment="1">
      <alignment horizontal="right"/>
    </xf>
    <xf numFmtId="177" fontId="64" fillId="0" borderId="0" xfId="176" applyFont="1" applyFill="1" applyBorder="1" applyAlignment="1">
      <alignment horizontal="right"/>
    </xf>
    <xf numFmtId="271" fontId="64" fillId="14" borderId="0" xfId="92" applyNumberFormat="1" applyFont="1" applyFill="1" applyBorder="1" applyAlignment="1">
      <alignment vertical="top"/>
    </xf>
    <xf numFmtId="271" fontId="32" fillId="14" borderId="0" xfId="92" applyNumberFormat="1" applyFont="1" applyFill="1" applyBorder="1" applyAlignment="1">
      <alignment vertical="top"/>
    </xf>
    <xf numFmtId="0" fontId="64" fillId="0" borderId="0" xfId="177" applyNumberFormat="1" applyFill="1" applyBorder="1" applyAlignment="1">
      <alignment horizontal="left" vertical="top" wrapText="1"/>
    </xf>
    <xf numFmtId="10" fontId="32" fillId="0" borderId="0" xfId="2" applyNumberFormat="1" applyFont="1" applyFill="1" applyBorder="1" applyAlignment="1">
      <alignment vertical="top"/>
    </xf>
    <xf numFmtId="177" fontId="89" fillId="0" borderId="2" xfId="379" applyFont="1" applyFill="1" applyBorder="1" applyAlignment="1">
      <alignment vertical="top"/>
    </xf>
    <xf numFmtId="177" fontId="89" fillId="0" borderId="14" xfId="379" applyFont="1" applyFill="1" applyBorder="1" applyAlignment="1">
      <alignment vertical="top"/>
    </xf>
    <xf numFmtId="3" fontId="16" fillId="0" borderId="0" xfId="375" applyNumberFormat="1" applyFont="1" applyAlignment="1">
      <alignment horizontal="center" vertical="top"/>
    </xf>
    <xf numFmtId="0" fontId="64" fillId="0" borderId="0" xfId="176" applyNumberFormat="1" applyFont="1" applyFill="1" applyBorder="1" applyAlignment="1">
      <alignment horizontal="center" vertical="top" wrapText="1"/>
    </xf>
    <xf numFmtId="0" fontId="16" fillId="0" borderId="0" xfId="3" applyFont="1" applyAlignment="1">
      <alignment horizontal="center"/>
    </xf>
    <xf numFmtId="3" fontId="32" fillId="2" borderId="0" xfId="379" applyNumberFormat="1" applyFont="1" applyFill="1" applyBorder="1" applyAlignment="1"/>
    <xf numFmtId="0" fontId="32" fillId="0" borderId="3" xfId="176" applyNumberFormat="1" applyFont="1" applyFill="1" applyBorder="1" applyAlignment="1">
      <alignment horizontal="center" wrapText="1"/>
    </xf>
    <xf numFmtId="177" fontId="64" fillId="0" borderId="2" xfId="379" applyFont="1" applyFill="1" applyBorder="1" applyAlignment="1">
      <alignment vertical="top"/>
    </xf>
    <xf numFmtId="177" fontId="64" fillId="0" borderId="15" xfId="379" applyFont="1" applyFill="1" applyBorder="1" applyAlignment="1">
      <alignment vertical="top"/>
    </xf>
    <xf numFmtId="271" fontId="32" fillId="0" borderId="0" xfId="92" applyNumberFormat="1" applyFont="1" applyFill="1" applyBorder="1" applyAlignment="1">
      <alignment vertical="top"/>
    </xf>
    <xf numFmtId="271" fontId="64" fillId="0" borderId="0" xfId="92" applyNumberFormat="1" applyFont="1" applyFill="1" applyBorder="1" applyAlignment="1">
      <alignment vertical="top"/>
    </xf>
    <xf numFmtId="0" fontId="64" fillId="0" borderId="0" xfId="177" applyNumberFormat="1" applyFont="1" applyFill="1" applyBorder="1" applyAlignment="1">
      <alignment horizontal="center" vertical="top"/>
    </xf>
    <xf numFmtId="0" fontId="64" fillId="0" borderId="0" xfId="177" applyNumberFormat="1" applyFont="1" applyFill="1" applyBorder="1" applyAlignment="1">
      <alignment horizontal="left" vertical="top" wrapText="1"/>
    </xf>
    <xf numFmtId="177" fontId="64" fillId="0" borderId="0" xfId="379" applyFont="1" applyFill="1" applyBorder="1" applyAlignment="1">
      <alignment vertical="top"/>
    </xf>
    <xf numFmtId="177" fontId="64" fillId="0" borderId="9" xfId="379" applyFont="1" applyFill="1" applyBorder="1" applyAlignment="1">
      <alignment vertical="top"/>
    </xf>
    <xf numFmtId="0" fontId="32" fillId="0" borderId="8" xfId="379" applyNumberFormat="1" applyFont="1" applyFill="1" applyBorder="1" applyAlignment="1">
      <alignment horizontal="center" wrapText="1"/>
    </xf>
    <xf numFmtId="0" fontId="64" fillId="0" borderId="0" xfId="379" applyNumberFormat="1" applyFont="1" applyFill="1" applyBorder="1" applyAlignment="1" applyProtection="1">
      <alignment horizontal="center"/>
      <protection locked="0"/>
    </xf>
    <xf numFmtId="177" fontId="20" fillId="0" borderId="0" xfId="379" applyFont="1" applyFill="1" applyBorder="1" applyAlignment="1">
      <alignment horizontal="right"/>
    </xf>
    <xf numFmtId="177" fontId="64" fillId="0" borderId="0" xfId="379" applyFont="1" applyFill="1" applyBorder="1" applyAlignment="1">
      <alignment horizontal="right"/>
    </xf>
    <xf numFmtId="49" fontId="64" fillId="0" borderId="0" xfId="379" applyNumberFormat="1" applyFont="1" applyFill="1" applyBorder="1" applyAlignment="1">
      <alignment horizontal="left"/>
    </xf>
    <xf numFmtId="10" fontId="114" fillId="0" borderId="0" xfId="2" applyNumberFormat="1" applyFont="1" applyFill="1" applyBorder="1" applyAlignment="1"/>
    <xf numFmtId="3" fontId="32" fillId="0" borderId="1" xfId="176" applyNumberFormat="1" applyFont="1" applyFill="1" applyBorder="1" applyAlignment="1"/>
    <xf numFmtId="177" fontId="64" fillId="2" borderId="0" xfId="379" applyFont="1" applyFill="1" applyBorder="1" applyAlignment="1"/>
    <xf numFmtId="0" fontId="64" fillId="0" borderId="0" xfId="379" applyNumberFormat="1" applyFont="1" applyFill="1" applyBorder="1" applyAlignment="1">
      <alignment vertical="top"/>
    </xf>
    <xf numFmtId="0" fontId="64" fillId="0" borderId="0" xfId="379" applyNumberFormat="1" applyFont="1" applyFill="1" applyBorder="1" applyAlignment="1">
      <alignment horizontal="center" vertical="top"/>
    </xf>
    <xf numFmtId="49" fontId="32" fillId="0" borderId="0" xfId="379" applyNumberFormat="1" applyFont="1" applyFill="1" applyBorder="1" applyAlignment="1">
      <alignment horizontal="center" vertical="top"/>
    </xf>
    <xf numFmtId="0" fontId="91" fillId="0" borderId="0" xfId="379" applyNumberFormat="1" applyFont="1" applyFill="1" applyBorder="1" applyAlignment="1">
      <alignment horizontal="center" vertical="top"/>
    </xf>
    <xf numFmtId="3" fontId="64" fillId="0" borderId="0" xfId="379" applyNumberFormat="1" applyFont="1" applyFill="1" applyBorder="1" applyAlignment="1">
      <alignment vertical="top"/>
    </xf>
    <xf numFmtId="267" fontId="27" fillId="0" borderId="0" xfId="379" applyNumberFormat="1" applyFont="1" applyFill="1" applyBorder="1" applyAlignment="1">
      <alignment vertical="top"/>
    </xf>
    <xf numFmtId="3" fontId="32" fillId="0" borderId="0" xfId="379" applyNumberFormat="1" applyFont="1" applyFill="1" applyBorder="1" applyAlignment="1">
      <alignment vertical="top"/>
    </xf>
    <xf numFmtId="3" fontId="64" fillId="0" borderId="0" xfId="379" applyNumberFormat="1" applyFont="1" applyFill="1" applyBorder="1" applyAlignment="1">
      <alignment horizontal="center" vertical="top"/>
    </xf>
    <xf numFmtId="0" fontId="64" fillId="0" borderId="0" xfId="379" applyNumberFormat="1" applyFont="1" applyFill="1" applyBorder="1" applyAlignment="1">
      <alignment horizontal="fill" vertical="top"/>
    </xf>
    <xf numFmtId="227" fontId="64" fillId="0" borderId="0" xfId="379" applyNumberFormat="1" applyFont="1" applyFill="1" applyBorder="1" applyAlignment="1">
      <alignment vertical="top"/>
    </xf>
    <xf numFmtId="177" fontId="89" fillId="0" borderId="0" xfId="379" applyFont="1" applyFill="1" applyBorder="1" applyAlignment="1">
      <alignment vertical="top"/>
    </xf>
    <xf numFmtId="0" fontId="96" fillId="39" borderId="0" xfId="3" applyFont="1" applyFill="1"/>
    <xf numFmtId="0" fontId="16" fillId="39" borderId="0" xfId="375" applyFont="1" applyFill="1">
      <alignment vertical="top"/>
    </xf>
    <xf numFmtId="3" fontId="16" fillId="39" borderId="0" xfId="375" applyNumberFormat="1" applyFont="1" applyFill="1" applyAlignment="1">
      <alignment horizontal="center" vertical="top"/>
    </xf>
    <xf numFmtId="0" fontId="54" fillId="39" borderId="0" xfId="4" applyFont="1" applyFill="1" applyBorder="1" applyAlignment="1">
      <alignment horizontal="right"/>
    </xf>
    <xf numFmtId="0" fontId="54" fillId="39" borderId="0" xfId="4" applyFont="1" applyFill="1" applyAlignment="1">
      <alignment horizontal="right"/>
    </xf>
    <xf numFmtId="227" fontId="16" fillId="39" borderId="0" xfId="375" applyNumberFormat="1" applyFont="1" applyFill="1" applyBorder="1" applyAlignment="1">
      <alignment horizontal="right" vertical="top"/>
    </xf>
    <xf numFmtId="0" fontId="16" fillId="39" borderId="0" xfId="375" applyFont="1" applyFill="1" applyBorder="1" applyAlignment="1">
      <alignment horizontal="right" vertical="top"/>
    </xf>
    <xf numFmtId="0" fontId="16" fillId="39" borderId="0" xfId="4" applyFont="1" applyFill="1" applyAlignment="1">
      <alignment horizontal="right"/>
    </xf>
    <xf numFmtId="37" fontId="16" fillId="39" borderId="0" xfId="4" applyNumberFormat="1" applyFont="1" applyFill="1" applyBorder="1" applyAlignment="1">
      <alignment horizontal="right"/>
    </xf>
    <xf numFmtId="0" fontId="16" fillId="39" borderId="2" xfId="4" applyFont="1" applyFill="1" applyBorder="1"/>
    <xf numFmtId="3" fontId="16" fillId="39" borderId="2" xfId="4" applyNumberFormat="1" applyFont="1" applyFill="1" applyBorder="1" applyAlignment="1">
      <alignment horizontal="right"/>
    </xf>
    <xf numFmtId="0" fontId="16" fillId="39" borderId="2" xfId="4" applyFont="1" applyFill="1" applyBorder="1" applyAlignment="1">
      <alignment horizontal="right"/>
    </xf>
    <xf numFmtId="0" fontId="16" fillId="39" borderId="2" xfId="3" applyFont="1" applyFill="1" applyBorder="1" applyAlignment="1">
      <alignment horizontal="right"/>
    </xf>
    <xf numFmtId="0" fontId="25" fillId="39" borderId="0" xfId="375" applyFont="1" applyFill="1">
      <alignment vertical="top"/>
    </xf>
    <xf numFmtId="0" fontId="54" fillId="39" borderId="0" xfId="375" applyFont="1" applyFill="1">
      <alignment vertical="top"/>
    </xf>
    <xf numFmtId="0" fontId="54" fillId="39" borderId="0" xfId="376" applyFont="1" applyFill="1" applyBorder="1">
      <alignment vertical="top"/>
    </xf>
    <xf numFmtId="0" fontId="54" fillId="39" borderId="2" xfId="376" applyFont="1" applyFill="1" applyBorder="1">
      <alignment vertical="top"/>
    </xf>
    <xf numFmtId="0" fontId="116" fillId="0" borderId="0" xfId="433" applyAlignment="1">
      <alignment horizontal="center"/>
    </xf>
    <xf numFmtId="0" fontId="117" fillId="0" borderId="0" xfId="433" applyFont="1"/>
    <xf numFmtId="0" fontId="116" fillId="0" borderId="0" xfId="433"/>
    <xf numFmtId="0" fontId="118" fillId="0" borderId="0" xfId="433" applyFont="1"/>
    <xf numFmtId="0" fontId="116" fillId="2" borderId="0" xfId="433" applyFill="1" applyAlignment="1"/>
    <xf numFmtId="0" fontId="116" fillId="2" borderId="0" xfId="433" applyFill="1"/>
    <xf numFmtId="0" fontId="116" fillId="0" borderId="0" xfId="433" applyFill="1"/>
    <xf numFmtId="0" fontId="116" fillId="2" borderId="0" xfId="433" applyFill="1" applyAlignment="1">
      <alignment horizontal="center"/>
    </xf>
    <xf numFmtId="0" fontId="119" fillId="0" borderId="0" xfId="433" quotePrefix="1" applyFont="1" applyAlignment="1">
      <alignment horizontal="center"/>
    </xf>
    <xf numFmtId="0" fontId="119" fillId="0" borderId="0" xfId="433" applyFont="1"/>
    <xf numFmtId="0" fontId="119" fillId="0" borderId="0" xfId="433" applyFont="1" applyAlignment="1">
      <alignment horizontal="center"/>
    </xf>
    <xf numFmtId="0" fontId="119" fillId="0" borderId="0" xfId="433" applyFont="1" applyBorder="1" applyAlignment="1">
      <alignment horizontal="center"/>
    </xf>
    <xf numFmtId="0" fontId="119" fillId="0" borderId="2" xfId="433" applyFont="1" applyBorder="1" applyAlignment="1">
      <alignment horizontal="center"/>
    </xf>
    <xf numFmtId="41" fontId="116" fillId="2" borderId="0" xfId="433" applyNumberFormat="1" applyFill="1"/>
    <xf numFmtId="41" fontId="116" fillId="0" borderId="1" xfId="433" applyNumberFormat="1" applyFill="1" applyBorder="1"/>
    <xf numFmtId="0" fontId="116" fillId="0" borderId="0" xfId="433" applyFill="1" applyAlignment="1">
      <alignment horizontal="center"/>
    </xf>
    <xf numFmtId="41" fontId="116" fillId="0" borderId="1" xfId="433" applyNumberFormat="1" applyBorder="1"/>
    <xf numFmtId="41" fontId="116" fillId="0" borderId="0" xfId="433" applyNumberFormat="1"/>
    <xf numFmtId="0" fontId="116" fillId="0" borderId="0" xfId="433" applyBorder="1" applyAlignment="1">
      <alignment horizontal="center"/>
    </xf>
    <xf numFmtId="0" fontId="116" fillId="0" borderId="2" xfId="433" applyBorder="1" applyAlignment="1">
      <alignment horizontal="center"/>
    </xf>
    <xf numFmtId="0" fontId="116" fillId="0" borderId="0" xfId="433" applyAlignment="1">
      <alignment horizontal="center" vertical="top"/>
    </xf>
    <xf numFmtId="0" fontId="116" fillId="0" borderId="0" xfId="433" quotePrefix="1" applyAlignment="1">
      <alignment horizontal="center"/>
    </xf>
    <xf numFmtId="41" fontId="116" fillId="0" borderId="0" xfId="433" applyNumberFormat="1" applyBorder="1"/>
    <xf numFmtId="0" fontId="116" fillId="0" borderId="0" xfId="433" applyBorder="1"/>
    <xf numFmtId="0" fontId="16" fillId="39" borderId="0" xfId="3" applyFont="1" applyFill="1"/>
    <xf numFmtId="0" fontId="16" fillId="39" borderId="2" xfId="3" applyFont="1" applyFill="1" applyBorder="1" applyAlignment="1">
      <alignment horizontal="center"/>
    </xf>
    <xf numFmtId="0" fontId="63" fillId="39" borderId="0" xfId="375" applyFont="1" applyFill="1">
      <alignment vertical="top"/>
    </xf>
    <xf numFmtId="0" fontId="16" fillId="39" borderId="0" xfId="3" applyFont="1" applyFill="1" applyBorder="1"/>
    <xf numFmtId="0" fontId="16" fillId="39" borderId="2" xfId="3" applyFont="1" applyFill="1" applyBorder="1"/>
    <xf numFmtId="0" fontId="16" fillId="11" borderId="0" xfId="3" applyFont="1" applyFill="1"/>
    <xf numFmtId="164" fontId="33" fillId="0" borderId="0" xfId="1" applyNumberFormat="1" applyFont="1"/>
    <xf numFmtId="0" fontId="16" fillId="0" borderId="2" xfId="3" applyFont="1" applyFill="1" applyBorder="1" applyAlignment="1">
      <alignment horizontal="center"/>
    </xf>
    <xf numFmtId="0" fontId="63" fillId="0" borderId="0" xfId="375" applyFont="1">
      <alignment vertical="top"/>
    </xf>
    <xf numFmtId="0" fontId="16" fillId="0" borderId="2" xfId="3" applyFont="1" applyBorder="1"/>
    <xf numFmtId="0" fontId="121" fillId="15" borderId="0" xfId="4" applyFont="1" applyFill="1" applyAlignment="1"/>
    <xf numFmtId="1" fontId="122" fillId="15" borderId="0" xfId="374" applyNumberFormat="1" applyFont="1" applyFill="1" applyAlignment="1">
      <alignment horizontal="center" wrapText="1"/>
    </xf>
    <xf numFmtId="227" fontId="122" fillId="15" borderId="0" xfId="374" applyNumberFormat="1" applyFont="1" applyFill="1" applyAlignment="1">
      <alignment horizontal="center" wrapText="1"/>
    </xf>
    <xf numFmtId="3" fontId="122" fillId="15" borderId="0" xfId="374" applyNumberFormat="1" applyFont="1" applyFill="1" applyAlignment="1">
      <alignment horizontal="center" wrapText="1"/>
    </xf>
    <xf numFmtId="0" fontId="121" fillId="15" borderId="0" xfId="4" applyFont="1" applyFill="1" applyBorder="1" applyAlignment="1"/>
    <xf numFmtId="1" fontId="122" fillId="15" borderId="0" xfId="374" applyNumberFormat="1" applyFont="1" applyFill="1" applyBorder="1" applyAlignment="1">
      <alignment horizontal="center" wrapText="1"/>
    </xf>
    <xf numFmtId="227" fontId="122" fillId="15" borderId="0" xfId="374" applyNumberFormat="1" applyFont="1" applyFill="1" applyBorder="1" applyAlignment="1">
      <alignment horizontal="center" wrapText="1"/>
    </xf>
    <xf numFmtId="0" fontId="124" fillId="0" borderId="0" xfId="0" applyFont="1"/>
    <xf numFmtId="164" fontId="0" fillId="0" borderId="0" xfId="1" applyNumberFormat="1" applyFont="1"/>
    <xf numFmtId="164" fontId="0" fillId="0" borderId="0" xfId="0" applyNumberFormat="1"/>
    <xf numFmtId="0" fontId="0" fillId="0" borderId="0" xfId="0" applyAlignment="1">
      <alignment horizontal="left"/>
    </xf>
    <xf numFmtId="0" fontId="0" fillId="0" borderId="0" xfId="0" applyAlignment="1">
      <alignment horizontal="center"/>
    </xf>
    <xf numFmtId="0" fontId="0" fillId="0" borderId="0" xfId="0" applyFill="1"/>
    <xf numFmtId="0" fontId="16" fillId="0" borderId="0" xfId="0" applyFont="1"/>
    <xf numFmtId="0" fontId="0" fillId="0" borderId="0" xfId="0" applyFill="1" applyBorder="1"/>
    <xf numFmtId="0" fontId="16" fillId="0" borderId="0" xfId="0" applyFont="1" applyFill="1"/>
    <xf numFmtId="0" fontId="54" fillId="0" borderId="0" xfId="0" applyFont="1"/>
    <xf numFmtId="0" fontId="16" fillId="0" borderId="0" xfId="428"/>
    <xf numFmtId="0" fontId="123" fillId="0" borderId="0" xfId="428" applyFont="1"/>
    <xf numFmtId="0" fontId="16" fillId="0" borderId="0" xfId="428" applyBorder="1"/>
    <xf numFmtId="0" fontId="123" fillId="0" borderId="0" xfId="428" applyFont="1" applyBorder="1"/>
    <xf numFmtId="0" fontId="16" fillId="0" borderId="0" xfId="428" applyFill="1"/>
    <xf numFmtId="10" fontId="16" fillId="0" borderId="0" xfId="2" applyNumberFormat="1"/>
    <xf numFmtId="164" fontId="16" fillId="0" borderId="0" xfId="1" applyNumberFormat="1"/>
    <xf numFmtId="164" fontId="16" fillId="0" borderId="0" xfId="1" applyNumberFormat="1" applyFill="1"/>
    <xf numFmtId="10" fontId="16" fillId="0" borderId="2" xfId="2" applyNumberFormat="1" applyBorder="1"/>
    <xf numFmtId="266" fontId="16" fillId="0" borderId="0" xfId="2" quotePrefix="1" applyNumberFormat="1" applyFont="1"/>
    <xf numFmtId="0" fontId="126" fillId="0" borderId="0" xfId="428" applyFont="1"/>
    <xf numFmtId="274" fontId="16" fillId="0" borderId="0" xfId="2" applyNumberFormat="1" applyBorder="1"/>
    <xf numFmtId="9" fontId="16" fillId="0" borderId="13" xfId="2" applyBorder="1"/>
    <xf numFmtId="275" fontId="16" fillId="0" borderId="0" xfId="2" applyNumberFormat="1" applyProtection="1">
      <protection locked="0"/>
    </xf>
    <xf numFmtId="275" fontId="16" fillId="0" borderId="0" xfId="2" applyNumberFormat="1" applyBorder="1" applyProtection="1">
      <protection locked="0"/>
    </xf>
    <xf numFmtId="0" fontId="16" fillId="0" borderId="0" xfId="428" applyFill="1" applyBorder="1"/>
    <xf numFmtId="275" fontId="16" fillId="0" borderId="30" xfId="2" applyNumberFormat="1" applyBorder="1"/>
    <xf numFmtId="274" fontId="16" fillId="0" borderId="30" xfId="2" applyNumberFormat="1" applyBorder="1"/>
    <xf numFmtId="41" fontId="16" fillId="0" borderId="0" xfId="424"/>
    <xf numFmtId="266" fontId="16" fillId="0" borderId="0" xfId="428" applyNumberFormat="1"/>
    <xf numFmtId="250" fontId="0" fillId="0" borderId="0" xfId="2" applyNumberFormat="1" applyFont="1"/>
    <xf numFmtId="266" fontId="0" fillId="0" borderId="0" xfId="2" applyNumberFormat="1" applyFont="1"/>
    <xf numFmtId="10" fontId="0" fillId="0" borderId="0" xfId="2" applyNumberFormat="1" applyFont="1"/>
    <xf numFmtId="274" fontId="127" fillId="0" borderId="0" xfId="2" applyNumberFormat="1" applyFont="1" applyFill="1"/>
    <xf numFmtId="164" fontId="0" fillId="0" borderId="0" xfId="1" applyNumberFormat="1" applyFont="1" applyBorder="1"/>
    <xf numFmtId="10" fontId="0" fillId="0" borderId="0" xfId="2" applyNumberFormat="1" applyFont="1" applyBorder="1"/>
    <xf numFmtId="274" fontId="0" fillId="0" borderId="0" xfId="2" applyNumberFormat="1" applyFont="1" applyFill="1" applyBorder="1"/>
    <xf numFmtId="10" fontId="0" fillId="0" borderId="0" xfId="2" applyNumberFormat="1" applyFont="1" applyFill="1" applyBorder="1"/>
    <xf numFmtId="274" fontId="16" fillId="0" borderId="0" xfId="428" applyNumberFormat="1"/>
    <xf numFmtId="274" fontId="24" fillId="0" borderId="0" xfId="2" applyNumberFormat="1" applyFont="1" applyFill="1"/>
    <xf numFmtId="274" fontId="16" fillId="0" borderId="0" xfId="2" applyNumberFormat="1" applyFont="1" applyFill="1" applyBorder="1"/>
    <xf numFmtId="164" fontId="0" fillId="0" borderId="0" xfId="1" applyNumberFormat="1" applyFont="1" applyFill="1" applyBorder="1"/>
    <xf numFmtId="0" fontId="16" fillId="0" borderId="0" xfId="456" applyFont="1" applyAlignment="1">
      <alignment horizontal="left"/>
    </xf>
    <xf numFmtId="0" fontId="16" fillId="0" borderId="0" xfId="456" quotePrefix="1" applyFont="1" applyAlignment="1">
      <alignment horizontal="left"/>
    </xf>
    <xf numFmtId="164" fontId="16" fillId="0" borderId="0" xfId="1" applyNumberFormat="1" applyFont="1" applyFill="1" applyBorder="1"/>
    <xf numFmtId="164" fontId="0" fillId="0" borderId="0" xfId="1" applyNumberFormat="1" applyFont="1" applyBorder="1" applyProtection="1">
      <protection locked="0"/>
    </xf>
    <xf numFmtId="274" fontId="0" fillId="0" borderId="0" xfId="2" applyNumberFormat="1" applyFont="1" applyFill="1" applyBorder="1" applyProtection="1">
      <protection locked="0"/>
    </xf>
    <xf numFmtId="164" fontId="16" fillId="0" borderId="2" xfId="1" applyNumberFormat="1" applyFont="1" applyFill="1" applyBorder="1"/>
    <xf numFmtId="164" fontId="0" fillId="0" borderId="2" xfId="1" applyNumberFormat="1" applyFont="1" applyBorder="1"/>
    <xf numFmtId="10" fontId="0" fillId="0" borderId="2" xfId="2" applyNumberFormat="1" applyFont="1" applyBorder="1"/>
    <xf numFmtId="10" fontId="0" fillId="8" borderId="30" xfId="2" applyNumberFormat="1" applyFont="1" applyFill="1" applyBorder="1"/>
    <xf numFmtId="266" fontId="16" fillId="0" borderId="0" xfId="428" applyNumberFormat="1" applyFill="1"/>
    <xf numFmtId="0" fontId="16" fillId="0" borderId="0" xfId="428" applyFont="1" applyBorder="1" applyAlignment="1">
      <alignment horizontal="center"/>
    </xf>
    <xf numFmtId="0" fontId="54" fillId="0" borderId="0" xfId="457" applyFont="1"/>
    <xf numFmtId="0" fontId="16" fillId="0" borderId="0" xfId="457" applyFont="1"/>
    <xf numFmtId="0" fontId="54" fillId="0" borderId="0" xfId="457" quotePrefix="1" applyFont="1" applyAlignment="1">
      <alignment horizontal="left"/>
    </xf>
    <xf numFmtId="0" fontId="16" fillId="0" borderId="2" xfId="457" applyFont="1" applyBorder="1" applyAlignment="1">
      <alignment horizontal="center" wrapText="1"/>
    </xf>
    <xf numFmtId="0" fontId="16" fillId="0" borderId="2" xfId="457" applyFont="1" applyBorder="1" applyAlignment="1">
      <alignment horizontal="center"/>
    </xf>
    <xf numFmtId="0" fontId="16" fillId="0" borderId="0" xfId="457" applyFont="1" applyBorder="1" applyAlignment="1">
      <alignment horizontal="center" wrapText="1"/>
    </xf>
    <xf numFmtId="278" fontId="16" fillId="0" borderId="0" xfId="457" applyNumberFormat="1" applyFont="1"/>
    <xf numFmtId="37" fontId="16" fillId="0" borderId="0" xfId="457" applyNumberFormat="1" applyFont="1"/>
    <xf numFmtId="38" fontId="16" fillId="0" borderId="0" xfId="457" applyNumberFormat="1" applyFont="1"/>
    <xf numFmtId="164" fontId="16" fillId="0" borderId="0" xfId="457" applyNumberFormat="1" applyFont="1"/>
    <xf numFmtId="37" fontId="16" fillId="0" borderId="30" xfId="457" applyNumberFormat="1" applyFont="1" applyBorder="1"/>
    <xf numFmtId="164" fontId="16" fillId="0" borderId="0" xfId="457" applyNumberFormat="1" applyFont="1" applyBorder="1"/>
    <xf numFmtId="164" fontId="16" fillId="0" borderId="30" xfId="457" applyNumberFormat="1" applyFont="1" applyBorder="1"/>
    <xf numFmtId="177" fontId="115" fillId="0" borderId="0" xfId="178" applyFont="1" applyAlignment="1"/>
    <xf numFmtId="177" fontId="64" fillId="0" borderId="0" xfId="458" applyFill="1" applyBorder="1" applyAlignment="1"/>
    <xf numFmtId="177" fontId="128" fillId="0" borderId="0" xfId="177" applyFont="1" applyFill="1" applyBorder="1" applyAlignment="1"/>
    <xf numFmtId="177" fontId="64" fillId="0" borderId="0" xfId="177" applyFill="1" applyBorder="1" applyAlignment="1"/>
    <xf numFmtId="177" fontId="64" fillId="0" borderId="0" xfId="177" applyFill="1" applyBorder="1" applyAlignment="1">
      <alignment horizontal="centerContinuous"/>
    </xf>
    <xf numFmtId="3" fontId="64" fillId="0" borderId="0" xfId="458" applyNumberFormat="1" applyFill="1" applyBorder="1" applyAlignment="1">
      <alignment horizontal="center"/>
    </xf>
    <xf numFmtId="49" fontId="64" fillId="0" borderId="0" xfId="458" applyNumberFormat="1" applyFill="1" applyBorder="1" applyAlignment="1">
      <alignment horizontal="center"/>
    </xf>
    <xf numFmtId="4" fontId="64" fillId="0" borderId="0" xfId="177" applyNumberFormat="1" applyFill="1" applyBorder="1" applyAlignment="1"/>
    <xf numFmtId="177" fontId="64" fillId="0" borderId="0" xfId="177" applyFill="1" applyBorder="1" applyAlignment="1">
      <alignment horizontal="right"/>
    </xf>
    <xf numFmtId="4" fontId="64" fillId="0" borderId="10" xfId="177" applyNumberFormat="1" applyFill="1" applyBorder="1" applyAlignment="1"/>
    <xf numFmtId="227" fontId="64" fillId="0" borderId="10" xfId="177" applyNumberFormat="1" applyFill="1" applyBorder="1" applyAlignment="1"/>
    <xf numFmtId="271" fontId="129" fillId="40" borderId="9" xfId="336" applyNumberFormat="1" applyFont="1" applyFill="1" applyBorder="1" applyAlignment="1"/>
    <xf numFmtId="177" fontId="64" fillId="0" borderId="29" xfId="177" applyFill="1" applyBorder="1" applyAlignment="1"/>
    <xf numFmtId="177" fontId="64" fillId="0" borderId="1" xfId="176" applyFill="1" applyBorder="1" applyAlignment="1"/>
    <xf numFmtId="0" fontId="94" fillId="0" borderId="1" xfId="176" applyNumberFormat="1" applyFont="1" applyFill="1" applyBorder="1"/>
    <xf numFmtId="3" fontId="64" fillId="0" borderId="0" xfId="176" applyNumberFormat="1" applyFill="1" applyBorder="1" applyAlignment="1">
      <alignment horizontal="center"/>
    </xf>
    <xf numFmtId="49" fontId="64" fillId="0" borderId="0" xfId="176" applyNumberFormat="1" applyFill="1" applyBorder="1" applyAlignment="1">
      <alignment horizontal="center"/>
    </xf>
    <xf numFmtId="177" fontId="64" fillId="40" borderId="0" xfId="176" applyFill="1" applyBorder="1" applyAlignment="1"/>
    <xf numFmtId="177" fontId="64" fillId="0" borderId="0" xfId="176" applyFill="1" applyBorder="1" applyAlignment="1">
      <alignment vertical="top" wrapText="1"/>
    </xf>
    <xf numFmtId="177" fontId="64" fillId="0" borderId="29" xfId="176" applyFill="1" applyBorder="1" applyAlignment="1"/>
    <xf numFmtId="0" fontId="131" fillId="0" borderId="0" xfId="433" applyFont="1"/>
    <xf numFmtId="177" fontId="27" fillId="0" borderId="0" xfId="176" applyFont="1" applyAlignment="1"/>
    <xf numFmtId="177" fontId="32" fillId="0" borderId="0" xfId="176" applyFont="1" applyAlignment="1"/>
    <xf numFmtId="177" fontId="27" fillId="0" borderId="0" xfId="176" quotePrefix="1" applyFont="1" applyAlignment="1">
      <alignment horizontal="left"/>
    </xf>
    <xf numFmtId="177" fontId="32" fillId="0" borderId="0" xfId="176" quotePrefix="1" applyFont="1" applyAlignment="1">
      <alignment horizontal="left"/>
    </xf>
    <xf numFmtId="271" fontId="32" fillId="0" borderId="0" xfId="343" applyNumberFormat="1" applyFont="1" applyAlignment="1"/>
    <xf numFmtId="177" fontId="32" fillId="0" borderId="0" xfId="176" applyFont="1" applyFill="1" applyAlignment="1"/>
    <xf numFmtId="271" fontId="32" fillId="0" borderId="30" xfId="343" applyNumberFormat="1" applyFont="1" applyBorder="1" applyAlignment="1"/>
    <xf numFmtId="177" fontId="132" fillId="0" borderId="0" xfId="176" applyFont="1" applyAlignment="1"/>
    <xf numFmtId="177" fontId="133" fillId="0" borderId="0" xfId="379" applyFont="1" applyFill="1" applyBorder="1" applyAlignment="1"/>
    <xf numFmtId="177" fontId="133" fillId="0" borderId="0" xfId="176" applyFont="1" applyFill="1" applyBorder="1" applyAlignment="1"/>
    <xf numFmtId="0" fontId="123" fillId="0" borderId="0" xfId="375" applyFont="1" applyAlignment="1">
      <alignment vertical="top"/>
    </xf>
    <xf numFmtId="227" fontId="16" fillId="11" borderId="2" xfId="3" applyNumberFormat="1" applyFont="1" applyFill="1" applyBorder="1" applyAlignment="1">
      <alignment horizontal="right"/>
    </xf>
    <xf numFmtId="0" fontId="135" fillId="0" borderId="0" xfId="433" applyFont="1"/>
    <xf numFmtId="0" fontId="1" fillId="0" borderId="0" xfId="482" applyFont="1" applyAlignment="1"/>
    <xf numFmtId="0" fontId="1" fillId="0" borderId="0" xfId="482" applyAlignment="1"/>
    <xf numFmtId="0" fontId="130" fillId="0" borderId="0" xfId="482" applyFont="1" applyAlignment="1"/>
    <xf numFmtId="0" fontId="1" fillId="0" borderId="0" xfId="464" applyAlignment="1"/>
    <xf numFmtId="0" fontId="1" fillId="0" borderId="0" xfId="464" applyFont="1" applyAlignment="1"/>
    <xf numFmtId="0" fontId="130" fillId="0" borderId="0" xfId="464" applyFont="1" applyAlignment="1"/>
    <xf numFmtId="227" fontId="64" fillId="0" borderId="0" xfId="177" applyNumberFormat="1" applyFill="1" applyBorder="1" applyAlignment="1"/>
    <xf numFmtId="43" fontId="123" fillId="0" borderId="0" xfId="1" applyFont="1"/>
    <xf numFmtId="266" fontId="0" fillId="0" borderId="0" xfId="0" applyNumberFormat="1" applyFill="1" applyBorder="1"/>
    <xf numFmtId="164" fontId="0" fillId="0" borderId="0" xfId="0" applyNumberFormat="1" applyBorder="1"/>
    <xf numFmtId="0" fontId="0" fillId="0" borderId="0" xfId="0" applyBorder="1" applyProtection="1">
      <protection locked="0"/>
    </xf>
    <xf numFmtId="37" fontId="0" fillId="0" borderId="1" xfId="0" applyNumberFormat="1" applyBorder="1"/>
    <xf numFmtId="5" fontId="0" fillId="0" borderId="0" xfId="0" applyNumberFormat="1" applyFill="1"/>
    <xf numFmtId="37" fontId="0" fillId="0" borderId="0" xfId="0" applyNumberFormat="1"/>
    <xf numFmtId="37" fontId="0" fillId="0" borderId="0" xfId="0" applyNumberFormat="1" applyFill="1"/>
    <xf numFmtId="274" fontId="0" fillId="0" borderId="0" xfId="0" applyNumberFormat="1" applyBorder="1"/>
    <xf numFmtId="0" fontId="124" fillId="0" borderId="0" xfId="0" applyFont="1" applyBorder="1"/>
    <xf numFmtId="0" fontId="0" fillId="0" borderId="0" xfId="0" applyBorder="1" applyAlignment="1">
      <alignment horizontal="right"/>
    </xf>
    <xf numFmtId="0" fontId="0" fillId="0" borderId="0" xfId="0" applyFont="1" applyFill="1" applyBorder="1"/>
    <xf numFmtId="10" fontId="0" fillId="0" borderId="0" xfId="0" applyNumberFormat="1" applyFill="1" applyBorder="1" applyProtection="1">
      <protection locked="0"/>
    </xf>
    <xf numFmtId="275" fontId="0" fillId="0" borderId="0" xfId="0" applyNumberFormat="1" applyProtection="1">
      <protection locked="0"/>
    </xf>
    <xf numFmtId="10" fontId="0" fillId="0" borderId="0" xfId="0" applyNumberFormat="1" applyBorder="1" applyProtection="1">
      <protection locked="0"/>
    </xf>
    <xf numFmtId="266" fontId="0" fillId="0" borderId="0" xfId="0" applyNumberFormat="1" applyBorder="1"/>
    <xf numFmtId="266" fontId="0" fillId="0" borderId="0" xfId="0" applyNumberFormat="1" applyBorder="1" applyAlignment="1">
      <alignment horizontal="center" wrapText="1"/>
    </xf>
    <xf numFmtId="0" fontId="0" fillId="0" borderId="0" xfId="0" applyBorder="1" applyAlignment="1">
      <alignment horizontal="center" wrapText="1"/>
    </xf>
    <xf numFmtId="0" fontId="0" fillId="0" borderId="0" xfId="0" applyBorder="1"/>
    <xf numFmtId="0" fontId="125" fillId="0" borderId="0" xfId="0" applyFont="1" applyBorder="1" applyAlignment="1">
      <alignment horizontal="center"/>
    </xf>
    <xf numFmtId="0" fontId="0" fillId="0" borderId="0" xfId="0" applyBorder="1" applyAlignment="1">
      <alignment horizontal="center"/>
    </xf>
    <xf numFmtId="0" fontId="0" fillId="0" borderId="0" xfId="0" quotePrefix="1" applyAlignment="1">
      <alignment horizontal="left"/>
    </xf>
    <xf numFmtId="6" fontId="116" fillId="2" borderId="0" xfId="433" applyNumberFormat="1" applyFill="1"/>
    <xf numFmtId="49" fontId="134" fillId="0" borderId="0" xfId="464" applyNumberFormat="1" applyFont="1" applyFill="1" applyBorder="1"/>
    <xf numFmtId="6" fontId="1" fillId="0" borderId="30" xfId="1" quotePrefix="1" applyNumberFormat="1" applyFont="1" applyFill="1" applyBorder="1"/>
    <xf numFmtId="41" fontId="16" fillId="2" borderId="0" xfId="1" quotePrefix="1" applyNumberFormat="1" applyFont="1" applyFill="1" applyBorder="1"/>
    <xf numFmtId="266" fontId="125" fillId="0" borderId="0" xfId="0" applyNumberFormat="1" applyFont="1" applyAlignment="1">
      <alignment horizontal="center" wrapText="1"/>
    </xf>
    <xf numFmtId="0" fontId="125" fillId="0" borderId="0" xfId="0" applyFont="1" applyAlignment="1">
      <alignment horizontal="center" wrapText="1"/>
    </xf>
    <xf numFmtId="0" fontId="125" fillId="0" borderId="0" xfId="0" quotePrefix="1" applyFont="1" applyAlignment="1">
      <alignment horizontal="center" wrapText="1"/>
    </xf>
    <xf numFmtId="266" fontId="0" fillId="0" borderId="0" xfId="0" applyNumberFormat="1"/>
    <xf numFmtId="37" fontId="0" fillId="8" borderId="0" xfId="0" applyNumberFormat="1" applyFill="1"/>
    <xf numFmtId="265" fontId="0" fillId="0" borderId="0" xfId="0" applyNumberFormat="1"/>
    <xf numFmtId="0" fontId="16" fillId="0" borderId="0" xfId="465"/>
    <xf numFmtId="177" fontId="64" fillId="0" borderId="0" xfId="176" applyFill="1" applyBorder="1" applyAlignment="1"/>
    <xf numFmtId="177" fontId="89" fillId="0" borderId="0" xfId="176" applyFont="1" applyFill="1" applyBorder="1" applyAlignment="1"/>
    <xf numFmtId="10" fontId="27" fillId="0" borderId="0" xfId="176" applyNumberFormat="1" applyFont="1" applyFill="1" applyBorder="1" applyAlignment="1"/>
    <xf numFmtId="3" fontId="32" fillId="0" borderId="0" xfId="176" applyNumberFormat="1" applyFont="1" applyFill="1" applyBorder="1" applyAlignment="1"/>
    <xf numFmtId="177" fontId="32" fillId="0" borderId="0" xfId="176" applyFont="1" applyFill="1" applyBorder="1" applyAlignment="1"/>
    <xf numFmtId="10" fontId="32" fillId="0" borderId="0" xfId="176" applyNumberFormat="1" applyFont="1" applyFill="1" applyBorder="1" applyAlignment="1"/>
    <xf numFmtId="177" fontId="32" fillId="0" borderId="0" xfId="176" applyFont="1" applyFill="1" applyBorder="1" applyAlignment="1">
      <alignment horizontal="center"/>
    </xf>
    <xf numFmtId="49" fontId="64" fillId="0" borderId="0" xfId="176" applyNumberFormat="1" applyFont="1" applyFill="1" applyBorder="1" applyAlignment="1">
      <alignment horizontal="center"/>
    </xf>
    <xf numFmtId="177" fontId="64" fillId="0" borderId="0" xfId="176" applyFont="1" applyFill="1" applyBorder="1" applyAlignment="1"/>
    <xf numFmtId="0" fontId="32" fillId="0" borderId="0" xfId="176" applyNumberFormat="1" applyFont="1" applyFill="1" applyBorder="1" applyAlignment="1"/>
    <xf numFmtId="177" fontId="90" fillId="0" borderId="0" xfId="176" applyFont="1" applyFill="1" applyBorder="1" applyAlignment="1"/>
    <xf numFmtId="49" fontId="32" fillId="0" borderId="0" xfId="176" applyNumberFormat="1" applyFont="1" applyFill="1" applyBorder="1" applyAlignment="1">
      <alignment horizontal="center"/>
    </xf>
    <xf numFmtId="10" fontId="32" fillId="0" borderId="0" xfId="2" applyNumberFormat="1" applyFont="1" applyFill="1" applyBorder="1" applyAlignment="1"/>
    <xf numFmtId="3" fontId="64" fillId="0" borderId="0" xfId="176" applyNumberFormat="1" applyFont="1" applyFill="1" applyBorder="1" applyAlignment="1"/>
    <xf numFmtId="0" fontId="64" fillId="0" borderId="0" xfId="176" applyNumberFormat="1" applyFont="1" applyFill="1" applyBorder="1"/>
    <xf numFmtId="3" fontId="32" fillId="0" borderId="10" xfId="176" applyNumberFormat="1" applyFont="1" applyFill="1" applyBorder="1" applyAlignment="1"/>
    <xf numFmtId="0" fontId="32" fillId="0" borderId="10" xfId="176" applyNumberFormat="1" applyFont="1" applyFill="1" applyBorder="1"/>
    <xf numFmtId="0" fontId="32" fillId="0" borderId="0" xfId="176" applyNumberFormat="1" applyFont="1" applyFill="1" applyBorder="1"/>
    <xf numFmtId="3" fontId="32" fillId="0" borderId="8" xfId="176" applyNumberFormat="1" applyFont="1" applyFill="1" applyBorder="1" applyAlignment="1">
      <alignment horizontal="center" wrapText="1"/>
    </xf>
    <xf numFmtId="3" fontId="32" fillId="0" borderId="3" xfId="176" applyNumberFormat="1" applyFont="1" applyFill="1" applyBorder="1" applyAlignment="1">
      <alignment horizontal="center"/>
    </xf>
    <xf numFmtId="0" fontId="32" fillId="0" borderId="8" xfId="176" applyNumberFormat="1" applyFont="1" applyFill="1" applyBorder="1" applyAlignment="1">
      <alignment horizontal="center"/>
    </xf>
    <xf numFmtId="0" fontId="32" fillId="0" borderId="3" xfId="176" applyNumberFormat="1" applyFont="1" applyFill="1" applyBorder="1" applyAlignment="1">
      <alignment horizontal="center"/>
    </xf>
    <xf numFmtId="0" fontId="32" fillId="0" borderId="3" xfId="176" applyNumberFormat="1" applyFont="1" applyFill="1" applyBorder="1"/>
    <xf numFmtId="3" fontId="91" fillId="0" borderId="0" xfId="176" applyNumberFormat="1" applyFont="1" applyFill="1" applyBorder="1" applyAlignment="1"/>
    <xf numFmtId="0" fontId="64" fillId="0" borderId="0" xfId="176" applyNumberFormat="1" applyFill="1" applyBorder="1" applyAlignment="1" applyProtection="1">
      <alignment horizontal="center"/>
      <protection locked="0"/>
    </xf>
    <xf numFmtId="0" fontId="27" fillId="0" borderId="0" xfId="176" applyNumberFormat="1" applyFont="1" applyFill="1" applyBorder="1" applyAlignment="1"/>
    <xf numFmtId="0" fontId="64" fillId="0" borderId="0" xfId="176" applyNumberFormat="1" applyFont="1" applyFill="1" applyBorder="1" applyAlignment="1">
      <alignment horizontal="center"/>
    </xf>
    <xf numFmtId="3" fontId="64" fillId="0" borderId="0" xfId="176" applyNumberFormat="1" applyFont="1" applyFill="1" applyBorder="1" applyAlignment="1">
      <alignment horizontal="center"/>
    </xf>
    <xf numFmtId="266" fontId="32" fillId="0" borderId="0" xfId="176" applyNumberFormat="1" applyFont="1" applyFill="1" applyBorder="1" applyAlignment="1">
      <alignment horizontal="center"/>
    </xf>
    <xf numFmtId="10" fontId="27" fillId="0" borderId="0" xfId="2" applyNumberFormat="1" applyFont="1" applyFill="1" applyBorder="1" applyAlignment="1"/>
    <xf numFmtId="3" fontId="27" fillId="0" borderId="0" xfId="176" applyNumberFormat="1" applyFont="1" applyFill="1" applyBorder="1" applyAlignment="1"/>
    <xf numFmtId="3" fontId="27" fillId="0" borderId="0" xfId="176" applyNumberFormat="1" applyFont="1" applyFill="1" applyBorder="1" applyAlignment="1">
      <alignment horizontal="center"/>
    </xf>
    <xf numFmtId="49" fontId="91" fillId="0" borderId="0" xfId="176" applyNumberFormat="1" applyFont="1" applyFill="1" applyBorder="1" applyAlignment="1">
      <alignment horizontal="center"/>
    </xf>
    <xf numFmtId="3" fontId="32" fillId="0" borderId="0" xfId="176" applyNumberFormat="1" applyFont="1" applyFill="1" applyBorder="1" applyAlignment="1">
      <alignment horizontal="center"/>
    </xf>
    <xf numFmtId="227" fontId="64" fillId="0" borderId="0" xfId="176" applyNumberFormat="1" applyFill="1" applyBorder="1" applyAlignment="1"/>
    <xf numFmtId="3" fontId="92" fillId="0" borderId="0" xfId="176" applyNumberFormat="1" applyFont="1" applyFill="1" applyBorder="1" applyAlignment="1"/>
    <xf numFmtId="0" fontId="64" fillId="0" borderId="0" xfId="176" applyNumberFormat="1" applyFont="1" applyFill="1" applyBorder="1" applyAlignment="1">
      <alignment horizontal="fill"/>
    </xf>
    <xf numFmtId="267" fontId="27" fillId="0" borderId="0" xfId="176" applyNumberFormat="1" applyFont="1" applyFill="1" applyBorder="1" applyAlignment="1"/>
    <xf numFmtId="0" fontId="27" fillId="0" borderId="0" xfId="176" applyNumberFormat="1" applyFont="1" applyFill="1" applyBorder="1" applyAlignment="1">
      <alignment horizontal="center"/>
    </xf>
    <xf numFmtId="0" fontId="93" fillId="0" borderId="0" xfId="176" applyNumberFormat="1" applyFont="1" applyFill="1" applyBorder="1" applyAlignment="1" applyProtection="1">
      <alignment horizontal="center"/>
      <protection locked="0"/>
    </xf>
    <xf numFmtId="0" fontId="91" fillId="0" borderId="0" xfId="176" applyNumberFormat="1" applyFont="1" applyFill="1" applyBorder="1" applyAlignment="1">
      <alignment horizontal="center"/>
    </xf>
    <xf numFmtId="0" fontId="27" fillId="0" borderId="0" xfId="176" applyNumberFormat="1" applyFont="1" applyFill="1" applyBorder="1" applyAlignment="1" applyProtection="1">
      <alignment horizontal="center"/>
      <protection locked="0"/>
    </xf>
    <xf numFmtId="177" fontId="27" fillId="0" borderId="0" xfId="176" applyFont="1" applyFill="1" applyBorder="1" applyAlignment="1">
      <alignment horizontal="center"/>
    </xf>
    <xf numFmtId="0" fontId="32" fillId="0" borderId="0" xfId="176" applyNumberFormat="1" applyFont="1" applyFill="1" applyBorder="1" applyAlignment="1">
      <alignment horizontal="center"/>
    </xf>
    <xf numFmtId="3" fontId="32" fillId="0" borderId="0" xfId="176" applyNumberFormat="1" applyFont="1" applyFill="1" applyBorder="1"/>
    <xf numFmtId="0" fontId="94" fillId="0" borderId="0" xfId="176" applyNumberFormat="1" applyFont="1" applyFill="1" applyBorder="1"/>
    <xf numFmtId="0" fontId="94" fillId="0" borderId="0" xfId="176" applyNumberFormat="1" applyFont="1" applyFill="1" applyBorder="1" applyAlignment="1">
      <alignment horizontal="center"/>
    </xf>
    <xf numFmtId="0" fontId="32" fillId="0" borderId="0" xfId="176" applyNumberFormat="1" applyFont="1" applyFill="1" applyBorder="1" applyProtection="1">
      <protection locked="0"/>
    </xf>
    <xf numFmtId="0" fontId="32" fillId="0" borderId="0" xfId="176" applyNumberFormat="1" applyFont="1" applyFill="1" applyBorder="1" applyAlignment="1" applyProtection="1">
      <protection locked="0"/>
    </xf>
    <xf numFmtId="164" fontId="16" fillId="0" borderId="0" xfId="1" applyNumberFormat="1" applyFont="1"/>
    <xf numFmtId="164" fontId="16" fillId="0" borderId="0" xfId="1" applyNumberFormat="1"/>
    <xf numFmtId="271" fontId="32" fillId="0" borderId="10" xfId="336" applyNumberFormat="1" applyFont="1" applyFill="1" applyBorder="1" applyAlignment="1"/>
    <xf numFmtId="0" fontId="32" fillId="0" borderId="3" xfId="176" quotePrefix="1" applyNumberFormat="1" applyFont="1" applyFill="1" applyBorder="1" applyAlignment="1">
      <alignment horizontal="center"/>
    </xf>
    <xf numFmtId="164" fontId="32" fillId="0" borderId="0" xfId="1" applyNumberFormat="1" applyFont="1" applyFill="1" applyBorder="1" applyAlignment="1"/>
    <xf numFmtId="10" fontId="91" fillId="0" borderId="0" xfId="2" applyNumberFormat="1" applyFont="1" applyFill="1" applyBorder="1" applyAlignment="1"/>
    <xf numFmtId="3" fontId="95" fillId="0" borderId="0" xfId="176" applyNumberFormat="1" applyFont="1" applyFill="1" applyBorder="1" applyAlignment="1"/>
    <xf numFmtId="41" fontId="32" fillId="0" borderId="0" xfId="176" applyNumberFormat="1" applyFont="1" applyFill="1" applyBorder="1" applyAlignment="1"/>
    <xf numFmtId="0" fontId="16" fillId="0" borderId="0" xfId="3" applyBorder="1"/>
    <xf numFmtId="177" fontId="32" fillId="0" borderId="0" xfId="177" applyFont="1" applyFill="1" applyBorder="1" applyAlignment="1"/>
    <xf numFmtId="3" fontId="32" fillId="0" borderId="0" xfId="177" applyNumberFormat="1" applyFont="1" applyFill="1" applyBorder="1" applyAlignment="1"/>
    <xf numFmtId="0" fontId="64" fillId="0" borderId="0" xfId="177" applyNumberFormat="1" applyFont="1" applyFill="1" applyBorder="1"/>
    <xf numFmtId="3" fontId="64" fillId="0" borderId="0" xfId="177" applyNumberFormat="1" applyFont="1" applyFill="1" applyBorder="1" applyAlignment="1"/>
    <xf numFmtId="0" fontId="64" fillId="0" borderId="0" xfId="177" applyNumberFormat="1" applyFont="1" applyFill="1" applyBorder="1" applyAlignment="1"/>
    <xf numFmtId="177" fontId="64" fillId="0" borderId="0" xfId="177" applyFont="1" applyFill="1" applyBorder="1" applyAlignment="1"/>
    <xf numFmtId="177" fontId="32" fillId="0" borderId="0" xfId="177" applyFont="1" applyFill="1" applyBorder="1" applyAlignment="1">
      <alignment horizontal="centerContinuous"/>
    </xf>
    <xf numFmtId="4" fontId="32" fillId="0" borderId="0" xfId="177" applyNumberFormat="1" applyFont="1" applyFill="1" applyBorder="1" applyAlignment="1">
      <alignment horizontal="centerContinuous"/>
    </xf>
    <xf numFmtId="3" fontId="32" fillId="0" borderId="0" xfId="177" applyNumberFormat="1" applyFont="1" applyFill="1" applyBorder="1" applyAlignment="1">
      <alignment horizontal="centerContinuous"/>
    </xf>
    <xf numFmtId="0" fontId="64" fillId="0" borderId="0" xfId="177" applyNumberFormat="1" applyFont="1" applyFill="1" applyBorder="1" applyAlignment="1">
      <alignment horizontal="centerContinuous"/>
    </xf>
    <xf numFmtId="3" fontId="64" fillId="0" borderId="0" xfId="177" applyNumberFormat="1" applyFont="1" applyFill="1" applyBorder="1" applyAlignment="1">
      <alignment horizontal="centerContinuous"/>
    </xf>
    <xf numFmtId="177" fontId="64" fillId="0" borderId="0" xfId="177" applyFont="1" applyFill="1" applyBorder="1" applyAlignment="1">
      <alignment horizontal="centerContinuous"/>
    </xf>
    <xf numFmtId="0" fontId="91" fillId="0" borderId="0" xfId="177" applyNumberFormat="1" applyFont="1" applyFill="1" applyBorder="1" applyAlignment="1" applyProtection="1">
      <alignment horizontal="centerContinuous"/>
      <protection locked="0"/>
    </xf>
    <xf numFmtId="0" fontId="32" fillId="0" borderId="0" xfId="177" applyNumberFormat="1" applyFont="1" applyFill="1" applyBorder="1" applyAlignment="1">
      <alignment horizontal="centerContinuous"/>
    </xf>
    <xf numFmtId="0" fontId="32" fillId="0" borderId="0" xfId="459" applyNumberFormat="1" applyFont="1" applyFill="1" applyBorder="1" applyAlignment="1" applyProtection="1">
      <protection locked="0"/>
    </xf>
    <xf numFmtId="0" fontId="32" fillId="0" borderId="0" xfId="459" applyNumberFormat="1" applyFont="1" applyFill="1" applyBorder="1" applyAlignment="1" applyProtection="1">
      <alignment horizontal="center"/>
      <protection locked="0"/>
    </xf>
    <xf numFmtId="3" fontId="32" fillId="0" borderId="0" xfId="459" applyNumberFormat="1" applyFont="1" applyFill="1" applyBorder="1" applyAlignment="1"/>
    <xf numFmtId="0" fontId="32" fillId="0" borderId="0" xfId="459" applyNumberFormat="1" applyFont="1" applyFill="1" applyBorder="1" applyAlignment="1">
      <alignment horizontal="center"/>
    </xf>
    <xf numFmtId="3" fontId="32" fillId="0" borderId="0" xfId="459" applyNumberFormat="1" applyFont="1" applyFill="1" applyBorder="1" applyAlignment="1">
      <alignment horizontal="center"/>
    </xf>
    <xf numFmtId="0" fontId="32" fillId="0" borderId="0" xfId="458" applyNumberFormat="1" applyFont="1" applyFill="1" applyBorder="1" applyAlignment="1">
      <alignment horizontal="center"/>
    </xf>
    <xf numFmtId="49" fontId="32" fillId="0" borderId="0" xfId="458" applyNumberFormat="1" applyFont="1" applyFill="1" applyBorder="1" applyAlignment="1">
      <alignment horizontal="center"/>
    </xf>
    <xf numFmtId="3" fontId="27" fillId="0" borderId="0" xfId="458" applyNumberFormat="1" applyFont="1" applyFill="1" applyBorder="1" applyAlignment="1">
      <alignment horizontal="center"/>
    </xf>
    <xf numFmtId="3" fontId="32" fillId="0" borderId="0" xfId="458" applyNumberFormat="1" applyFont="1" applyFill="1" applyBorder="1" applyAlignment="1"/>
    <xf numFmtId="177" fontId="27" fillId="0" borderId="0" xfId="458" applyFont="1" applyFill="1" applyBorder="1" applyAlignment="1">
      <alignment horizontal="center"/>
    </xf>
    <xf numFmtId="0" fontId="27" fillId="0" borderId="0" xfId="458" applyNumberFormat="1" applyFont="1" applyFill="1" applyBorder="1" applyAlignment="1" applyProtection="1">
      <alignment horizontal="center"/>
      <protection locked="0"/>
    </xf>
    <xf numFmtId="0" fontId="32" fillId="0" borderId="0" xfId="458" applyNumberFormat="1" applyFont="1" applyFill="1" applyBorder="1" applyAlignment="1"/>
    <xf numFmtId="3" fontId="32" fillId="0" borderId="0" xfId="458" applyNumberFormat="1" applyFont="1" applyFill="1" applyBorder="1" applyAlignment="1">
      <alignment horizontal="center"/>
    </xf>
    <xf numFmtId="3" fontId="32" fillId="40" borderId="0" xfId="458" applyNumberFormat="1" applyFont="1" applyFill="1" applyBorder="1" applyAlignment="1"/>
    <xf numFmtId="177" fontId="64" fillId="0" borderId="0" xfId="458" quotePrefix="1" applyFont="1" applyFill="1" applyBorder="1" applyAlignment="1">
      <alignment horizontal="left"/>
    </xf>
    <xf numFmtId="10" fontId="32" fillId="0" borderId="0" xfId="458" applyNumberFormat="1" applyFont="1" applyFill="1" applyBorder="1" applyAlignment="1"/>
    <xf numFmtId="10" fontId="64" fillId="0" borderId="0" xfId="2" applyNumberFormat="1" applyFont="1" applyFill="1" applyBorder="1" applyAlignment="1"/>
    <xf numFmtId="177" fontId="32" fillId="0" borderId="0" xfId="458" applyFont="1" applyFill="1" applyBorder="1" applyAlignment="1">
      <alignment horizontal="center"/>
    </xf>
    <xf numFmtId="49" fontId="91" fillId="0" borderId="0" xfId="458" applyNumberFormat="1" applyFont="1" applyFill="1" applyBorder="1" applyAlignment="1">
      <alignment horizontal="center"/>
    </xf>
    <xf numFmtId="0" fontId="27" fillId="0" borderId="0" xfId="458" applyNumberFormat="1" applyFont="1" applyFill="1" applyBorder="1" applyAlignment="1"/>
    <xf numFmtId="3" fontId="27" fillId="0" borderId="0" xfId="458" applyNumberFormat="1" applyFont="1" applyFill="1" applyBorder="1" applyAlignment="1"/>
    <xf numFmtId="49" fontId="64" fillId="0" borderId="0" xfId="458" applyNumberFormat="1" applyFont="1" applyFill="1" applyBorder="1" applyAlignment="1">
      <alignment horizontal="center"/>
    </xf>
    <xf numFmtId="266" fontId="32" fillId="0" borderId="0" xfId="458" applyNumberFormat="1" applyFont="1" applyFill="1" applyBorder="1" applyAlignment="1">
      <alignment horizontal="center"/>
    </xf>
    <xf numFmtId="0" fontId="32" fillId="0" borderId="0" xfId="177" applyNumberFormat="1" applyFont="1" applyFill="1" applyBorder="1" applyAlignment="1"/>
    <xf numFmtId="4" fontId="32" fillId="0" borderId="0" xfId="177" applyNumberFormat="1" applyFont="1" applyFill="1" applyBorder="1" applyAlignment="1"/>
    <xf numFmtId="271" fontId="64" fillId="0" borderId="0" xfId="336" applyNumberFormat="1" applyFont="1" applyFill="1" applyBorder="1" applyAlignment="1"/>
    <xf numFmtId="0" fontId="64" fillId="40" borderId="0" xfId="336" applyNumberFormat="1" applyFont="1" applyFill="1" applyBorder="1" applyAlignment="1">
      <alignment horizontal="center"/>
    </xf>
    <xf numFmtId="177" fontId="32" fillId="0" borderId="0" xfId="177" applyFont="1" applyFill="1" applyBorder="1" applyAlignment="1">
      <alignment horizontal="right"/>
    </xf>
    <xf numFmtId="10" fontId="64" fillId="40" borderId="0" xfId="2" applyNumberFormat="1" applyFont="1" applyFill="1" applyBorder="1" applyAlignment="1"/>
    <xf numFmtId="0" fontId="32" fillId="0" borderId="0" xfId="177" applyNumberFormat="1" applyFont="1" applyFill="1" applyBorder="1"/>
    <xf numFmtId="271" fontId="64" fillId="40" borderId="0" xfId="336" applyNumberFormat="1" applyFont="1" applyFill="1" applyBorder="1" applyAlignment="1"/>
    <xf numFmtId="272" fontId="32" fillId="0" borderId="0" xfId="177" applyNumberFormat="1" applyFont="1" applyFill="1" applyBorder="1" applyAlignment="1">
      <alignment horizontal="center"/>
    </xf>
    <xf numFmtId="0" fontId="32" fillId="0" borderId="0" xfId="177" quotePrefix="1" applyNumberFormat="1" applyFont="1" applyFill="1" applyBorder="1" applyAlignment="1">
      <alignment horizontal="center"/>
    </xf>
    <xf numFmtId="3" fontId="64" fillId="0" borderId="0" xfId="177" applyNumberFormat="1" applyFont="1" applyFill="1" applyBorder="1" applyAlignment="1">
      <alignment horizontal="center"/>
    </xf>
    <xf numFmtId="0" fontId="64" fillId="0" borderId="0" xfId="177" applyNumberFormat="1" applyFont="1" applyFill="1" applyBorder="1" applyAlignment="1">
      <alignment horizontal="center"/>
    </xf>
    <xf numFmtId="177" fontId="64" fillId="0" borderId="3" xfId="177" applyFont="1" applyFill="1" applyBorder="1" applyAlignment="1">
      <alignment horizontal="center" vertical="top" wrapText="1"/>
    </xf>
    <xf numFmtId="177" fontId="64" fillId="0" borderId="3" xfId="177" applyFont="1" applyFill="1" applyBorder="1" applyAlignment="1">
      <alignment horizontal="center" vertical="top"/>
    </xf>
    <xf numFmtId="0" fontId="32" fillId="0" borderId="3" xfId="177" applyNumberFormat="1" applyFont="1" applyFill="1" applyBorder="1" applyAlignment="1">
      <alignment horizontal="center" vertical="top" wrapText="1"/>
    </xf>
    <xf numFmtId="4" fontId="64" fillId="0" borderId="8" xfId="177" applyNumberFormat="1" applyFont="1" applyFill="1" applyBorder="1" applyAlignment="1">
      <alignment horizontal="center" vertical="top" wrapText="1"/>
    </xf>
    <xf numFmtId="177" fontId="64" fillId="0" borderId="8" xfId="177" applyFont="1" applyFill="1" applyBorder="1" applyAlignment="1">
      <alignment horizontal="center" vertical="top" wrapText="1"/>
    </xf>
    <xf numFmtId="3" fontId="32" fillId="0" borderId="8" xfId="177" applyNumberFormat="1" applyFont="1" applyFill="1" applyBorder="1" applyAlignment="1">
      <alignment horizontal="center" vertical="top" wrapText="1"/>
    </xf>
    <xf numFmtId="3" fontId="32" fillId="0" borderId="3" xfId="177" applyNumberFormat="1" applyFont="1" applyFill="1" applyBorder="1" applyAlignment="1">
      <alignment horizontal="center" vertical="top" wrapText="1"/>
    </xf>
    <xf numFmtId="0" fontId="64" fillId="0" borderId="0" xfId="177" applyNumberFormat="1" applyFont="1" applyFill="1" applyBorder="1" applyAlignment="1">
      <alignment vertical="top"/>
    </xf>
    <xf numFmtId="177" fontId="64" fillId="0" borderId="0" xfId="177" applyFont="1" applyFill="1" applyBorder="1" applyAlignment="1">
      <alignment vertical="top"/>
    </xf>
    <xf numFmtId="0" fontId="32" fillId="0" borderId="16" xfId="177" applyNumberFormat="1" applyFont="1" applyFill="1" applyBorder="1" applyAlignment="1">
      <alignment horizontal="center" vertical="top" wrapText="1"/>
    </xf>
    <xf numFmtId="0" fontId="32" fillId="0" borderId="3" xfId="177" applyNumberFormat="1" applyFont="1" applyFill="1" applyBorder="1"/>
    <xf numFmtId="0" fontId="32" fillId="0" borderId="3" xfId="177" applyNumberFormat="1" applyFont="1" applyFill="1" applyBorder="1" applyAlignment="1">
      <alignment horizontal="center"/>
    </xf>
    <xf numFmtId="4" fontId="32" fillId="0" borderId="8" xfId="177" applyNumberFormat="1" applyFont="1" applyFill="1" applyBorder="1" applyAlignment="1">
      <alignment horizontal="center"/>
    </xf>
    <xf numFmtId="0" fontId="32" fillId="0" borderId="8" xfId="177" applyNumberFormat="1" applyFont="1" applyFill="1" applyBorder="1" applyAlignment="1">
      <alignment horizontal="center"/>
    </xf>
    <xf numFmtId="3" fontId="32" fillId="0" borderId="3" xfId="177" applyNumberFormat="1" applyFont="1" applyFill="1" applyBorder="1" applyAlignment="1">
      <alignment horizontal="center"/>
    </xf>
    <xf numFmtId="3" fontId="32" fillId="0" borderId="8" xfId="177" applyNumberFormat="1" applyFont="1" applyFill="1" applyBorder="1" applyAlignment="1">
      <alignment horizontal="center" wrapText="1"/>
    </xf>
    <xf numFmtId="0" fontId="32" fillId="0" borderId="16" xfId="177" applyNumberFormat="1" applyFont="1" applyFill="1" applyBorder="1" applyAlignment="1">
      <alignment horizontal="center"/>
    </xf>
    <xf numFmtId="0" fontId="32" fillId="0" borderId="19" xfId="177" applyNumberFormat="1" applyFont="1" applyFill="1" applyBorder="1"/>
    <xf numFmtId="4" fontId="32" fillId="0" borderId="10" xfId="177" applyNumberFormat="1" applyFont="1" applyFill="1" applyBorder="1"/>
    <xf numFmtId="0" fontId="32" fillId="0" borderId="10" xfId="177" applyNumberFormat="1" applyFont="1" applyFill="1" applyBorder="1"/>
    <xf numFmtId="3" fontId="32" fillId="0" borderId="10" xfId="177" applyNumberFormat="1" applyFont="1" applyFill="1" applyBorder="1" applyAlignment="1"/>
    <xf numFmtId="0" fontId="32" fillId="0" borderId="9" xfId="177" applyNumberFormat="1" applyFont="1" applyFill="1" applyBorder="1"/>
    <xf numFmtId="0" fontId="64" fillId="0" borderId="9" xfId="1" applyNumberFormat="1" applyFont="1" applyFill="1" applyBorder="1" applyAlignment="1">
      <alignment horizontal="center"/>
    </xf>
    <xf numFmtId="10" fontId="64" fillId="0" borderId="10" xfId="2" applyNumberFormat="1" applyFont="1" applyFill="1" applyBorder="1" applyAlignment="1"/>
    <xf numFmtId="177" fontId="89" fillId="0" borderId="0" xfId="177" applyFont="1" applyFill="1" applyBorder="1" applyAlignment="1"/>
    <xf numFmtId="271" fontId="64" fillId="40" borderId="9" xfId="336" applyNumberFormat="1" applyFont="1" applyFill="1" applyBorder="1" applyAlignment="1"/>
    <xf numFmtId="177" fontId="89" fillId="0" borderId="15" xfId="177" applyFont="1" applyFill="1" applyBorder="1" applyAlignment="1">
      <alignment horizontal="center"/>
    </xf>
    <xf numFmtId="177" fontId="89" fillId="0" borderId="2" xfId="177" applyFont="1" applyFill="1" applyBorder="1" applyAlignment="1"/>
    <xf numFmtId="4" fontId="89" fillId="0" borderId="14" xfId="177" applyNumberFormat="1" applyFont="1" applyFill="1" applyBorder="1" applyAlignment="1"/>
    <xf numFmtId="177" fontId="89" fillId="0" borderId="14" xfId="177" applyFont="1" applyFill="1" applyBorder="1" applyAlignment="1"/>
    <xf numFmtId="177" fontId="89" fillId="0" borderId="15" xfId="177" applyFont="1" applyFill="1" applyBorder="1" applyAlignment="1"/>
    <xf numFmtId="177" fontId="32" fillId="0" borderId="0" xfId="177" applyFont="1" applyFill="1" applyBorder="1" applyAlignment="1">
      <alignment horizontal="center"/>
    </xf>
    <xf numFmtId="4" fontId="89" fillId="0" borderId="0" xfId="177" applyNumberFormat="1" applyFont="1" applyFill="1" applyBorder="1" applyAlignment="1"/>
    <xf numFmtId="227" fontId="32" fillId="0" borderId="0" xfId="177" applyNumberFormat="1" applyFont="1" applyFill="1" applyBorder="1" applyAlignment="1"/>
    <xf numFmtId="177" fontId="64" fillId="0" borderId="0" xfId="177" applyFont="1" applyFill="1" applyBorder="1" applyAlignment="1">
      <alignment vertical="top" wrapText="1"/>
    </xf>
    <xf numFmtId="0" fontId="1" fillId="0" borderId="0" xfId="464" applyBorder="1"/>
    <xf numFmtId="0" fontId="136" fillId="0" borderId="0" xfId="464" applyFont="1" applyFill="1" applyBorder="1" applyAlignment="1">
      <alignment horizontal="left"/>
    </xf>
    <xf numFmtId="0" fontId="136" fillId="0" borderId="0" xfId="464" applyFont="1" applyFill="1" applyBorder="1"/>
    <xf numFmtId="0" fontId="1" fillId="0" borderId="0" xfId="464" applyFill="1" applyBorder="1"/>
    <xf numFmtId="9" fontId="1" fillId="0" borderId="0" xfId="464" quotePrefix="1" applyNumberFormat="1" applyFill="1" applyBorder="1" applyAlignment="1">
      <alignment horizontal="right"/>
    </xf>
    <xf numFmtId="266" fontId="1" fillId="0" borderId="0" xfId="2" applyNumberFormat="1" applyFont="1" applyFill="1" applyBorder="1"/>
    <xf numFmtId="0" fontId="1" fillId="0" borderId="2" xfId="464" quotePrefix="1" applyFill="1" applyBorder="1" applyAlignment="1">
      <alignment horizontal="right"/>
    </xf>
    <xf numFmtId="279" fontId="16" fillId="0" borderId="2" xfId="1" applyNumberFormat="1" applyFont="1" applyFill="1" applyBorder="1" applyAlignment="1">
      <alignment horizontal="right"/>
    </xf>
    <xf numFmtId="49" fontId="16" fillId="0" borderId="2" xfId="464" quotePrefix="1" applyNumberFormat="1" applyFont="1" applyFill="1" applyBorder="1" applyAlignment="1">
      <alignment horizontal="right"/>
    </xf>
    <xf numFmtId="271" fontId="32" fillId="0" borderId="0" xfId="336" applyNumberFormat="1" applyFont="1" applyFill="1" applyBorder="1" applyAlignment="1"/>
    <xf numFmtId="0" fontId="32" fillId="0" borderId="3" xfId="176" applyNumberFormat="1" applyFont="1" applyFill="1" applyBorder="1" applyAlignment="1">
      <alignment horizontal="center" vertical="top" wrapText="1"/>
    </xf>
    <xf numFmtId="3" fontId="32" fillId="0" borderId="3" xfId="176" applyNumberFormat="1" applyFont="1" applyFill="1" applyBorder="1" applyAlignment="1">
      <alignment horizontal="center" vertical="top" wrapText="1"/>
    </xf>
    <xf numFmtId="3" fontId="32" fillId="0" borderId="8" xfId="176" applyNumberFormat="1" applyFont="1" applyFill="1" applyBorder="1" applyAlignment="1">
      <alignment horizontal="center" vertical="top" wrapText="1"/>
    </xf>
    <xf numFmtId="177" fontId="27" fillId="0" borderId="0" xfId="177" applyFont="1" applyFill="1" applyBorder="1" applyAlignment="1">
      <alignment horizontal="center"/>
    </xf>
    <xf numFmtId="3" fontId="91" fillId="0" borderId="0" xfId="177" applyNumberFormat="1" applyFont="1" applyFill="1" applyBorder="1" applyAlignment="1">
      <alignment horizontal="center"/>
    </xf>
    <xf numFmtId="177" fontId="91" fillId="0" borderId="0" xfId="177" applyFont="1" applyFill="1" applyBorder="1" applyAlignment="1">
      <alignment horizontal="center"/>
    </xf>
    <xf numFmtId="271" fontId="64" fillId="0" borderId="1" xfId="336" applyNumberFormat="1" applyFont="1" applyFill="1" applyBorder="1" applyAlignment="1"/>
    <xf numFmtId="164" fontId="64" fillId="0" borderId="0" xfId="1" applyNumberFormat="1" applyFont="1" applyFill="1" applyBorder="1" applyAlignment="1"/>
    <xf numFmtId="10" fontId="89" fillId="0" borderId="10" xfId="2" applyNumberFormat="1" applyFont="1" applyFill="1" applyBorder="1" applyAlignment="1"/>
    <xf numFmtId="0" fontId="16" fillId="0" borderId="0" xfId="464" applyFont="1" applyFill="1" applyBorder="1"/>
    <xf numFmtId="0" fontId="124" fillId="0" borderId="0" xfId="464" applyFont="1" applyFill="1" applyBorder="1"/>
    <xf numFmtId="49" fontId="1" fillId="0" borderId="0" xfId="464" applyNumberFormat="1" applyFill="1" applyBorder="1"/>
    <xf numFmtId="0" fontId="1" fillId="0" borderId="0" xfId="464" applyFont="1" applyFill="1" applyBorder="1"/>
    <xf numFmtId="0" fontId="1" fillId="0" borderId="0" xfId="464" quotePrefix="1" applyFont="1" applyFill="1" applyBorder="1" applyAlignment="1">
      <alignment horizontal="right"/>
    </xf>
    <xf numFmtId="49" fontId="1" fillId="0" borderId="0" xfId="464" applyNumberFormat="1" applyFont="1" applyBorder="1"/>
    <xf numFmtId="49" fontId="1" fillId="0" borderId="0" xfId="464" applyNumberFormat="1" applyFill="1" applyBorder="1" applyAlignment="1">
      <alignment horizontal="right"/>
    </xf>
    <xf numFmtId="231" fontId="1" fillId="0" borderId="0" xfId="464" applyNumberFormat="1" applyFill="1" applyBorder="1" applyAlignment="1">
      <alignment horizontal="right"/>
    </xf>
    <xf numFmtId="277" fontId="1" fillId="0" borderId="0" xfId="464" applyNumberFormat="1" applyFill="1" applyBorder="1" applyAlignment="1">
      <alignment horizontal="right"/>
    </xf>
    <xf numFmtId="231" fontId="1" fillId="0" borderId="0" xfId="464" applyNumberFormat="1" applyFill="1" applyBorder="1" applyAlignment="1">
      <alignment horizontal="left"/>
    </xf>
    <xf numFmtId="43" fontId="136" fillId="0" borderId="0" xfId="1" applyFont="1" applyFill="1" applyBorder="1"/>
    <xf numFmtId="49" fontId="136" fillId="0" borderId="0" xfId="464" applyNumberFormat="1" applyFont="1" applyFill="1" applyBorder="1"/>
    <xf numFmtId="49" fontId="137" fillId="0" borderId="0" xfId="464" applyNumberFormat="1" applyFont="1" applyFill="1" applyBorder="1" applyAlignment="1">
      <alignment horizontal="right"/>
    </xf>
    <xf numFmtId="49" fontId="16" fillId="0" borderId="0" xfId="464" applyNumberFormat="1" applyFont="1" applyBorder="1"/>
    <xf numFmtId="271" fontId="126" fillId="0" borderId="0" xfId="336" applyNumberFormat="1" applyFont="1" applyFill="1" applyBorder="1" applyAlignment="1"/>
    <xf numFmtId="177" fontId="64" fillId="0" borderId="0" xfId="176" applyFont="1" applyFill="1" applyBorder="1" applyAlignment="1">
      <alignment wrapText="1"/>
    </xf>
    <xf numFmtId="250" fontId="64" fillId="0" borderId="0" xfId="2" applyNumberFormat="1" applyFont="1" applyFill="1" applyBorder="1" applyAlignment="1"/>
    <xf numFmtId="177" fontId="64" fillId="0" borderId="0" xfId="176" applyFont="1" applyFill="1" applyBorder="1" applyAlignment="1">
      <alignment vertical="top" wrapText="1"/>
    </xf>
    <xf numFmtId="177" fontId="89" fillId="0" borderId="10" xfId="176" applyFont="1" applyFill="1" applyBorder="1" applyAlignment="1"/>
    <xf numFmtId="177" fontId="64" fillId="0" borderId="10" xfId="176" applyFont="1" applyFill="1" applyBorder="1" applyAlignment="1"/>
    <xf numFmtId="271" fontId="32" fillId="40" borderId="0" xfId="336" applyNumberFormat="1" applyFont="1" applyFill="1" applyBorder="1" applyAlignment="1"/>
    <xf numFmtId="10" fontId="32" fillId="0" borderId="10" xfId="2" applyNumberFormat="1" applyFont="1" applyFill="1" applyBorder="1" applyAlignment="1"/>
    <xf numFmtId="177" fontId="89" fillId="40" borderId="0" xfId="176" applyFont="1" applyFill="1" applyBorder="1" applyAlignment="1"/>
    <xf numFmtId="177" fontId="64" fillId="40" borderId="0" xfId="176" applyFont="1" applyFill="1" applyBorder="1" applyAlignment="1"/>
    <xf numFmtId="0" fontId="32" fillId="40" borderId="0" xfId="1" applyNumberFormat="1" applyFont="1" applyFill="1" applyBorder="1" applyAlignment="1"/>
    <xf numFmtId="177" fontId="64" fillId="0" borderId="18" xfId="176" applyFont="1" applyFill="1" applyBorder="1" applyAlignment="1"/>
    <xf numFmtId="3" fontId="64" fillId="0" borderId="18" xfId="176" applyNumberFormat="1" applyFont="1" applyFill="1" applyBorder="1" applyAlignment="1"/>
    <xf numFmtId="0" fontId="64" fillId="0" borderId="18" xfId="176" applyNumberFormat="1" applyFont="1" applyFill="1" applyBorder="1"/>
    <xf numFmtId="0" fontId="32" fillId="0" borderId="8" xfId="176" quotePrefix="1" applyNumberFormat="1" applyFont="1" applyFill="1" applyBorder="1" applyAlignment="1">
      <alignment horizontal="center"/>
    </xf>
    <xf numFmtId="3" fontId="64" fillId="0" borderId="0" xfId="176" applyNumberFormat="1" applyFont="1" applyFill="1" applyBorder="1" applyAlignment="1">
      <alignment vertical="top"/>
    </xf>
    <xf numFmtId="177" fontId="64" fillId="0" borderId="8" xfId="176" applyFont="1" applyFill="1" applyBorder="1" applyAlignment="1">
      <alignment horizontal="center" vertical="top" wrapText="1"/>
    </xf>
    <xf numFmtId="177" fontId="64" fillId="0" borderId="17" xfId="176" applyFont="1" applyFill="1" applyBorder="1" applyAlignment="1">
      <alignment horizontal="center" vertical="top" wrapText="1"/>
    </xf>
    <xf numFmtId="177" fontId="64" fillId="0" borderId="3" xfId="176" applyFont="1" applyFill="1" applyBorder="1" applyAlignment="1">
      <alignment horizontal="center" vertical="top" wrapText="1"/>
    </xf>
    <xf numFmtId="272" fontId="32" fillId="0" borderId="0" xfId="176" quotePrefix="1" applyNumberFormat="1" applyFont="1" applyFill="1" applyBorder="1" applyAlignment="1">
      <alignment horizontal="center"/>
    </xf>
    <xf numFmtId="272" fontId="32" fillId="41" borderId="0" xfId="176" quotePrefix="1" applyNumberFormat="1" applyFont="1" applyFill="1" applyBorder="1" applyAlignment="1">
      <alignment horizontal="center"/>
    </xf>
    <xf numFmtId="272" fontId="32" fillId="41" borderId="0" xfId="177" applyNumberFormat="1" applyFont="1" applyFill="1" applyBorder="1" applyAlignment="1">
      <alignment horizontal="center"/>
    </xf>
    <xf numFmtId="10" fontId="32" fillId="40" borderId="0" xfId="2" applyNumberFormat="1" applyFont="1" applyFill="1" applyBorder="1" applyAlignment="1">
      <alignment horizontal="center"/>
    </xf>
    <xf numFmtId="177" fontId="32" fillId="0" borderId="3" xfId="177" applyFont="1" applyFill="1" applyBorder="1" applyAlignment="1">
      <alignment horizontal="center"/>
    </xf>
    <xf numFmtId="164" fontId="32" fillId="40" borderId="0" xfId="1" applyNumberFormat="1" applyFont="1" applyFill="1" applyBorder="1" applyAlignment="1"/>
    <xf numFmtId="164" fontId="32" fillId="40" borderId="2" xfId="1" applyNumberFormat="1" applyFont="1" applyFill="1" applyBorder="1" applyAlignment="1"/>
    <xf numFmtId="177" fontId="64" fillId="0" borderId="1" xfId="176" applyFont="1" applyFill="1" applyBorder="1" applyAlignment="1"/>
    <xf numFmtId="0" fontId="64" fillId="0" borderId="1" xfId="176" applyNumberFormat="1" applyFont="1" applyFill="1" applyBorder="1"/>
    <xf numFmtId="0" fontId="32" fillId="0" borderId="1" xfId="176" applyNumberFormat="1" applyFont="1" applyFill="1" applyBorder="1" applyAlignment="1" applyProtection="1">
      <alignment horizontal="right"/>
      <protection locked="0"/>
    </xf>
    <xf numFmtId="0" fontId="32" fillId="0" borderId="1" xfId="176" applyNumberFormat="1" applyFont="1" applyFill="1" applyBorder="1"/>
    <xf numFmtId="0" fontId="32" fillId="0" borderId="1" xfId="176" applyNumberFormat="1" applyFont="1" applyFill="1" applyBorder="1" applyProtection="1">
      <protection locked="0"/>
    </xf>
    <xf numFmtId="0" fontId="32" fillId="0" borderId="1" xfId="176" applyNumberFormat="1" applyFont="1" applyFill="1" applyBorder="1" applyAlignment="1" applyProtection="1">
      <protection locked="0"/>
    </xf>
    <xf numFmtId="0" fontId="32" fillId="0" borderId="1" xfId="176" applyNumberFormat="1" applyFont="1" applyFill="1" applyBorder="1" applyAlignment="1" applyProtection="1">
      <alignment horizontal="left"/>
      <protection locked="0"/>
    </xf>
    <xf numFmtId="177" fontId="89" fillId="0" borderId="29" xfId="177" applyFont="1" applyFill="1" applyBorder="1" applyAlignment="1"/>
    <xf numFmtId="4" fontId="89" fillId="0" borderId="29" xfId="177" applyNumberFormat="1" applyFont="1" applyFill="1" applyBorder="1" applyAlignment="1"/>
    <xf numFmtId="44" fontId="32" fillId="0" borderId="10" xfId="336" applyNumberFormat="1" applyFont="1" applyFill="1" applyBorder="1" applyAlignment="1"/>
    <xf numFmtId="271" fontId="32" fillId="14" borderId="0" xfId="336" applyNumberFormat="1" applyFont="1" applyFill="1" applyBorder="1" applyAlignment="1"/>
    <xf numFmtId="271" fontId="32" fillId="0" borderId="11" xfId="336" applyNumberFormat="1" applyFont="1" applyFill="1" applyBorder="1" applyAlignment="1"/>
    <xf numFmtId="177" fontId="64" fillId="0" borderId="29" xfId="176" applyFont="1" applyFill="1" applyBorder="1" applyAlignment="1"/>
    <xf numFmtId="177" fontId="89" fillId="0" borderId="29" xfId="176" applyFont="1" applyFill="1" applyBorder="1" applyAlignment="1"/>
    <xf numFmtId="177" fontId="64" fillId="0" borderId="0" xfId="176" applyFont="1" applyFill="1" applyBorder="1" applyAlignment="1">
      <alignment horizontal="left" wrapText="1"/>
    </xf>
    <xf numFmtId="177" fontId="64" fillId="0" borderId="0" xfId="176" applyFill="1" applyBorder="1" applyAlignment="1">
      <alignment horizontal="left" vertical="top" wrapText="1"/>
    </xf>
    <xf numFmtId="177" fontId="64" fillId="0" borderId="0" xfId="176" applyFont="1" applyFill="1" applyBorder="1" applyAlignment="1">
      <alignment horizontal="left" vertical="top" wrapText="1"/>
    </xf>
    <xf numFmtId="0" fontId="32" fillId="0" borderId="8" xfId="177" applyNumberFormat="1" applyFont="1" applyFill="1" applyBorder="1" applyAlignment="1">
      <alignment horizontal="center" vertical="top" wrapText="1"/>
    </xf>
    <xf numFmtId="271" fontId="64" fillId="40" borderId="10" xfId="336" applyNumberFormat="1" applyFont="1" applyFill="1" applyBorder="1" applyAlignment="1"/>
    <xf numFmtId="10" fontId="32" fillId="0" borderId="0" xfId="2" applyNumberFormat="1" applyFont="1" applyFill="1" applyBorder="1" applyAlignment="1">
      <alignment horizontal="centerContinuous"/>
    </xf>
    <xf numFmtId="0" fontId="32" fillId="0" borderId="1" xfId="176" applyNumberFormat="1" applyFont="1" applyFill="1" applyBorder="1" applyAlignment="1"/>
    <xf numFmtId="271" fontId="32" fillId="0" borderId="1" xfId="336" applyNumberFormat="1" applyFont="1" applyFill="1" applyBorder="1" applyAlignment="1"/>
    <xf numFmtId="10" fontId="32" fillId="0" borderId="1" xfId="2" applyNumberFormat="1" applyFont="1" applyFill="1" applyBorder="1" applyAlignment="1"/>
    <xf numFmtId="177" fontId="27" fillId="0" borderId="3" xfId="177" applyFont="1" applyFill="1" applyBorder="1" applyAlignment="1">
      <alignment horizontal="center"/>
    </xf>
    <xf numFmtId="177" fontId="32" fillId="0" borderId="0" xfId="177" applyNumberFormat="1" applyFont="1" applyFill="1" applyBorder="1" applyAlignment="1"/>
    <xf numFmtId="6" fontId="1" fillId="0" borderId="0" xfId="1" quotePrefix="1" applyNumberFormat="1" applyFont="1" applyFill="1" applyBorder="1"/>
    <xf numFmtId="49" fontId="20" fillId="0" borderId="0" xfId="178" applyNumberFormat="1" applyFont="1" applyAlignment="1">
      <alignment horizontal="center"/>
    </xf>
    <xf numFmtId="177" fontId="20" fillId="0" borderId="0" xfId="178" applyFont="1" applyAlignment="1">
      <alignment horizontal="center"/>
    </xf>
    <xf numFmtId="0" fontId="20" fillId="0" borderId="0" xfId="0" applyFont="1"/>
    <xf numFmtId="0" fontId="20" fillId="0" borderId="0" xfId="0" applyFont="1" applyAlignment="1">
      <alignment horizontal="right"/>
    </xf>
    <xf numFmtId="0" fontId="20" fillId="14" borderId="0" xfId="0" applyFont="1" applyFill="1"/>
    <xf numFmtId="0" fontId="20" fillId="14" borderId="0" xfId="0" applyNumberFormat="1" applyFont="1" applyFill="1" applyAlignment="1">
      <alignment horizontal="right"/>
    </xf>
    <xf numFmtId="0" fontId="20" fillId="0" borderId="7" xfId="178" applyNumberFormat="1" applyFont="1" applyBorder="1" applyAlignment="1" applyProtection="1">
      <alignment horizontal="center"/>
      <protection locked="0"/>
    </xf>
    <xf numFmtId="42" fontId="20" fillId="0" borderId="0" xfId="0" applyNumberFormat="1" applyFont="1"/>
    <xf numFmtId="0" fontId="20" fillId="0" borderId="7" xfId="178" applyNumberFormat="1" applyFont="1" applyBorder="1" applyAlignment="1" applyProtection="1">
      <alignment horizontal="centerContinuous"/>
      <protection locked="0"/>
    </xf>
    <xf numFmtId="265" fontId="20" fillId="0" borderId="0" xfId="0" applyNumberFormat="1" applyFont="1" applyAlignment="1"/>
    <xf numFmtId="3" fontId="20" fillId="0" borderId="0" xfId="0" applyNumberFormat="1" applyFont="1" applyAlignment="1"/>
    <xf numFmtId="3" fontId="20" fillId="0" borderId="7" xfId="0" applyNumberFormat="1" applyFont="1" applyBorder="1" applyAlignment="1"/>
    <xf numFmtId="3" fontId="20" fillId="14" borderId="7" xfId="178" applyNumberFormat="1" applyFont="1" applyFill="1" applyBorder="1"/>
    <xf numFmtId="264" fontId="20" fillId="0" borderId="0" xfId="0" applyNumberFormat="1" applyFont="1"/>
    <xf numFmtId="270" fontId="20" fillId="0" borderId="0" xfId="0" applyNumberFormat="1" applyFont="1" applyAlignment="1"/>
    <xf numFmtId="267" fontId="20" fillId="0" borderId="0" xfId="0" applyNumberFormat="1" applyFont="1" applyAlignment="1"/>
    <xf numFmtId="3" fontId="20" fillId="14" borderId="7" xfId="178" applyNumberFormat="1" applyFont="1" applyFill="1" applyBorder="1" applyAlignment="1"/>
    <xf numFmtId="266" fontId="20" fillId="0" borderId="0" xfId="0" applyNumberFormat="1" applyFont="1" applyAlignment="1">
      <alignment horizontal="center"/>
    </xf>
    <xf numFmtId="3" fontId="20" fillId="0" borderId="0" xfId="1" applyNumberFormat="1" applyFont="1" applyAlignment="1"/>
    <xf numFmtId="267" fontId="20" fillId="0" borderId="0" xfId="0" applyNumberFormat="1" applyFont="1" applyFill="1" applyAlignment="1">
      <alignment horizontal="right"/>
    </xf>
    <xf numFmtId="267" fontId="20" fillId="0" borderId="0" xfId="0" applyNumberFormat="1" applyFont="1" applyFill="1" applyAlignment="1"/>
    <xf numFmtId="3" fontId="20" fillId="0" borderId="0" xfId="0" applyNumberFormat="1" applyFont="1" applyFill="1" applyAlignment="1"/>
    <xf numFmtId="0" fontId="20" fillId="0" borderId="0" xfId="0" applyNumberFormat="1" applyFont="1"/>
    <xf numFmtId="177" fontId="20" fillId="0" borderId="7" xfId="178" applyFont="1" applyBorder="1" applyAlignment="1"/>
    <xf numFmtId="3" fontId="20" fillId="0" borderId="13" xfId="0" applyNumberFormat="1" applyFont="1" applyBorder="1" applyAlignment="1"/>
    <xf numFmtId="3" fontId="20" fillId="0" borderId="0" xfId="0" applyNumberFormat="1" applyFont="1" applyBorder="1" applyAlignment="1"/>
    <xf numFmtId="0" fontId="20" fillId="0" borderId="0" xfId="0" applyFont="1" applyAlignment="1"/>
    <xf numFmtId="265" fontId="20" fillId="0" borderId="0" xfId="0" applyNumberFormat="1" applyFont="1" applyFill="1" applyAlignment="1">
      <alignment horizontal="right"/>
    </xf>
    <xf numFmtId="10" fontId="20" fillId="0" borderId="0" xfId="0" applyNumberFormat="1" applyFont="1" applyFill="1" applyAlignment="1">
      <alignment horizontal="right"/>
    </xf>
    <xf numFmtId="231" fontId="20" fillId="0" borderId="0" xfId="0" applyNumberFormat="1" applyFont="1" applyFill="1" applyAlignment="1">
      <alignment horizontal="right"/>
    </xf>
    <xf numFmtId="3" fontId="20" fillId="0" borderId="0" xfId="0" applyNumberFormat="1" applyFont="1" applyFill="1" applyAlignment="1">
      <alignment horizontal="right"/>
    </xf>
    <xf numFmtId="265" fontId="20" fillId="0" borderId="0" xfId="0" applyNumberFormat="1" applyFont="1" applyAlignment="1">
      <alignment horizontal="center"/>
    </xf>
    <xf numFmtId="0" fontId="20" fillId="0" borderId="0" xfId="0" applyNumberFormat="1" applyFont="1" applyAlignment="1">
      <alignment horizontal="center"/>
    </xf>
    <xf numFmtId="0" fontId="20" fillId="0" borderId="0" xfId="0" applyNumberFormat="1" applyFont="1" applyAlignment="1"/>
    <xf numFmtId="3" fontId="84" fillId="0" borderId="0" xfId="0" applyNumberFormat="1" applyFont="1" applyBorder="1" applyAlignment="1"/>
    <xf numFmtId="3" fontId="84" fillId="0" borderId="0" xfId="0" applyNumberFormat="1" applyFont="1" applyAlignment="1"/>
    <xf numFmtId="0" fontId="84" fillId="0" borderId="0" xfId="0" applyFont="1" applyAlignment="1"/>
    <xf numFmtId="3" fontId="20" fillId="14" borderId="0" xfId="0" applyNumberFormat="1" applyFont="1" applyFill="1" applyBorder="1" applyAlignment="1"/>
    <xf numFmtId="0" fontId="84" fillId="0" borderId="0" xfId="0" applyNumberFormat="1" applyFont="1"/>
    <xf numFmtId="0" fontId="84" fillId="0" borderId="0" xfId="0" applyNumberFormat="1" applyFont="1" applyFill="1"/>
    <xf numFmtId="3" fontId="20" fillId="14" borderId="7" xfId="0" applyNumberFormat="1" applyFont="1" applyFill="1" applyBorder="1" applyAlignment="1"/>
    <xf numFmtId="177" fontId="20" fillId="0" borderId="0" xfId="178" applyFont="1" applyAlignment="1">
      <alignment horizontal="right"/>
    </xf>
    <xf numFmtId="0" fontId="20" fillId="0" borderId="7" xfId="178" applyNumberFormat="1" applyFont="1" applyFill="1" applyBorder="1" applyProtection="1">
      <protection locked="0"/>
    </xf>
    <xf numFmtId="0" fontId="20" fillId="0" borderId="7" xfId="178" applyNumberFormat="1" applyFont="1" applyFill="1" applyBorder="1"/>
    <xf numFmtId="267" fontId="20" fillId="0" borderId="0" xfId="0" applyNumberFormat="1" applyFont="1" applyFill="1"/>
    <xf numFmtId="265" fontId="20" fillId="0" borderId="0" xfId="0" applyNumberFormat="1" applyFont="1" applyFill="1"/>
    <xf numFmtId="3" fontId="20" fillId="0" borderId="7" xfId="178" applyNumberFormat="1" applyFont="1" applyBorder="1" applyAlignment="1"/>
    <xf numFmtId="3" fontId="20" fillId="0" borderId="7" xfId="178" applyNumberFormat="1" applyFont="1" applyBorder="1" applyAlignment="1">
      <alignment horizontal="center"/>
    </xf>
    <xf numFmtId="4" fontId="20" fillId="0" borderId="0" xfId="0" applyNumberFormat="1" applyFont="1" applyAlignment="1"/>
    <xf numFmtId="3" fontId="20" fillId="0" borderId="0" xfId="0" applyNumberFormat="1" applyFont="1" applyBorder="1" applyAlignment="1">
      <alignment horizontal="center"/>
    </xf>
    <xf numFmtId="0" fontId="20" fillId="0" borderId="7" xfId="0" applyNumberFormat="1" applyFont="1" applyBorder="1" applyAlignment="1">
      <alignment horizontal="center"/>
    </xf>
    <xf numFmtId="0" fontId="20" fillId="0" borderId="7" xfId="178" applyNumberFormat="1" applyFont="1" applyBorder="1" applyAlignment="1"/>
    <xf numFmtId="3" fontId="20" fillId="14" borderId="7" xfId="178" applyNumberFormat="1" applyFont="1" applyFill="1" applyBorder="1" applyAlignment="1">
      <alignment horizontal="center"/>
    </xf>
    <xf numFmtId="231" fontId="20" fillId="0" borderId="0" xfId="0" applyNumberFormat="1" applyFont="1" applyAlignment="1"/>
    <xf numFmtId="231" fontId="20" fillId="0" borderId="7" xfId="178" applyNumberFormat="1" applyFont="1" applyBorder="1" applyAlignment="1"/>
    <xf numFmtId="0" fontId="20" fillId="0" borderId="7" xfId="178" applyNumberFormat="1" applyFont="1" applyBorder="1"/>
    <xf numFmtId="38" fontId="20" fillId="14" borderId="7" xfId="178" applyNumberFormat="1" applyFont="1" applyFill="1" applyBorder="1" applyProtection="1">
      <protection locked="0"/>
    </xf>
    <xf numFmtId="0" fontId="20" fillId="0" borderId="0" xfId="0" applyNumberFormat="1" applyFont="1" applyBorder="1" applyAlignment="1"/>
    <xf numFmtId="0" fontId="20" fillId="0" borderId="0" xfId="0" applyNumberFormat="1" applyFont="1" applyBorder="1"/>
    <xf numFmtId="0" fontId="20" fillId="0" borderId="7" xfId="0" applyNumberFormat="1" applyFont="1" applyBorder="1" applyAlignment="1"/>
    <xf numFmtId="0" fontId="20" fillId="0" borderId="7" xfId="0" applyNumberFormat="1" applyFont="1" applyBorder="1"/>
    <xf numFmtId="227" fontId="20" fillId="14" borderId="7" xfId="0" applyNumberFormat="1" applyFont="1" applyFill="1" applyBorder="1" applyAlignment="1" applyProtection="1">
      <protection locked="0"/>
    </xf>
    <xf numFmtId="3" fontId="84" fillId="0" borderId="0" xfId="0" applyNumberFormat="1" applyFont="1" applyFill="1" applyAlignment="1" applyProtection="1">
      <alignment horizontal="right"/>
      <protection locked="0"/>
    </xf>
    <xf numFmtId="227" fontId="20" fillId="0" borderId="0" xfId="178" applyNumberFormat="1" applyFont="1" applyAlignment="1" applyProtection="1">
      <alignment horizontal="right"/>
      <protection locked="0"/>
    </xf>
    <xf numFmtId="0" fontId="20" fillId="0" borderId="0" xfId="0" applyFont="1" applyAlignment="1">
      <alignment vertical="top" wrapText="1"/>
    </xf>
    <xf numFmtId="10" fontId="20" fillId="14" borderId="0" xfId="178" applyNumberFormat="1" applyFont="1" applyFill="1" applyProtection="1">
      <protection locked="0"/>
    </xf>
    <xf numFmtId="0" fontId="20" fillId="0" borderId="0" xfId="0" applyFont="1" applyFill="1"/>
    <xf numFmtId="0" fontId="20" fillId="0" borderId="0" xfId="0" applyFont="1" applyFill="1" applyAlignment="1">
      <alignment horizontal="center" vertical="top" wrapText="1"/>
    </xf>
    <xf numFmtId="0" fontId="20" fillId="0" borderId="0" xfId="0" applyFont="1" applyAlignment="1">
      <alignment horizontal="center" vertical="top" wrapText="1"/>
    </xf>
    <xf numFmtId="0" fontId="84" fillId="0" borderId="0" xfId="0" applyFont="1" applyAlignment="1">
      <alignment vertical="top" wrapText="1"/>
    </xf>
    <xf numFmtId="0" fontId="84" fillId="0" borderId="0" xfId="0" applyFont="1" applyFill="1" applyAlignment="1">
      <alignment vertical="top" wrapText="1"/>
    </xf>
    <xf numFmtId="0" fontId="20" fillId="0" borderId="0" xfId="0" applyFont="1" applyAlignment="1">
      <alignment horizontal="center"/>
    </xf>
    <xf numFmtId="0" fontId="20" fillId="0" borderId="0" xfId="0" applyNumberFormat="1" applyFont="1" applyFill="1"/>
    <xf numFmtId="0" fontId="54" fillId="0" borderId="19" xfId="3" applyFont="1" applyBorder="1"/>
    <xf numFmtId="0" fontId="16" fillId="0" borderId="1" xfId="3" applyBorder="1"/>
    <xf numFmtId="0" fontId="16" fillId="0" borderId="31" xfId="3" applyBorder="1"/>
    <xf numFmtId="0" fontId="16" fillId="0" borderId="0" xfId="501"/>
    <xf numFmtId="0" fontId="16" fillId="0" borderId="0" xfId="501" applyFill="1"/>
    <xf numFmtId="0" fontId="125" fillId="0" borderId="9" xfId="3" quotePrefix="1" applyFont="1" applyBorder="1" applyAlignment="1">
      <alignment horizontal="left"/>
    </xf>
    <xf numFmtId="0" fontId="16" fillId="0" borderId="11" xfId="3" applyBorder="1"/>
    <xf numFmtId="272" fontId="16" fillId="0" borderId="9" xfId="1" quotePrefix="1" applyNumberFormat="1" applyBorder="1" applyAlignment="1">
      <alignment horizontal="center"/>
    </xf>
    <xf numFmtId="0" fontId="16" fillId="0" borderId="0" xfId="3" quotePrefix="1" applyFont="1" applyBorder="1" applyAlignment="1">
      <alignment horizontal="left"/>
    </xf>
    <xf numFmtId="271" fontId="0" fillId="0" borderId="0" xfId="336" applyNumberFormat="1" applyFont="1" applyFill="1" applyBorder="1"/>
    <xf numFmtId="0" fontId="54" fillId="0" borderId="0" xfId="3" quotePrefix="1" applyFont="1" applyBorder="1" applyAlignment="1">
      <alignment horizontal="left"/>
    </xf>
    <xf numFmtId="0" fontId="16" fillId="0" borderId="0" xfId="3"/>
    <xf numFmtId="0" fontId="125" fillId="0" borderId="0" xfId="3" applyFont="1" applyBorder="1"/>
    <xf numFmtId="0" fontId="16" fillId="0" borderId="0" xfId="3" applyFill="1" applyBorder="1"/>
    <xf numFmtId="0" fontId="16" fillId="0" borderId="0" xfId="3" quotePrefix="1" applyBorder="1" applyAlignment="1">
      <alignment horizontal="left"/>
    </xf>
    <xf numFmtId="0" fontId="16" fillId="0" borderId="0" xfId="3" quotePrefix="1" applyFill="1" applyBorder="1" applyAlignment="1">
      <alignment horizontal="left"/>
    </xf>
    <xf numFmtId="0" fontId="54" fillId="0" borderId="0" xfId="3" quotePrefix="1" applyFont="1" applyFill="1" applyBorder="1" applyAlignment="1">
      <alignment horizontal="left"/>
    </xf>
    <xf numFmtId="0" fontId="16" fillId="0" borderId="11" xfId="3" applyFill="1" applyBorder="1"/>
    <xf numFmtId="0" fontId="16" fillId="0" borderId="0" xfId="3" quotePrefix="1" applyBorder="1" applyAlignment="1">
      <alignment horizontal="left" indent="1"/>
    </xf>
    <xf numFmtId="164" fontId="0" fillId="0" borderId="2" xfId="1" applyNumberFormat="1" applyFont="1" applyFill="1" applyBorder="1"/>
    <xf numFmtId="0" fontId="54" fillId="0" borderId="0" xfId="3" applyFont="1" applyBorder="1"/>
    <xf numFmtId="271" fontId="16" fillId="0" borderId="0" xfId="336" applyNumberFormat="1" applyFont="1" applyFill="1" applyBorder="1"/>
    <xf numFmtId="272" fontId="16" fillId="0" borderId="9" xfId="1" quotePrefix="1" applyNumberFormat="1" applyBorder="1" applyAlignment="1">
      <alignment horizontal="center" vertical="center"/>
    </xf>
    <xf numFmtId="0" fontId="16" fillId="0" borderId="0" xfId="3" quotePrefix="1" applyBorder="1" applyAlignment="1">
      <alignment horizontal="left" wrapText="1"/>
    </xf>
    <xf numFmtId="271" fontId="0" fillId="0" borderId="0" xfId="336" applyNumberFormat="1" applyFont="1" applyFill="1" applyBorder="1" applyAlignment="1">
      <alignment vertical="center"/>
    </xf>
    <xf numFmtId="0" fontId="54" fillId="0" borderId="0" xfId="3" applyFont="1" applyBorder="1" applyAlignment="1">
      <alignment vertical="center"/>
    </xf>
    <xf numFmtId="164" fontId="16" fillId="0" borderId="0" xfId="3" applyNumberFormat="1" applyBorder="1"/>
    <xf numFmtId="0" fontId="16" fillId="0" borderId="15" xfId="3" applyBorder="1"/>
    <xf numFmtId="0" fontId="16" fillId="0" borderId="2" xfId="3" applyBorder="1"/>
    <xf numFmtId="0" fontId="16" fillId="0" borderId="32" xfId="3" applyBorder="1"/>
    <xf numFmtId="0" fontId="16" fillId="0" borderId="19" xfId="3" applyBorder="1"/>
    <xf numFmtId="0" fontId="16" fillId="0" borderId="9" xfId="3" applyBorder="1"/>
    <xf numFmtId="271" fontId="16" fillId="0" borderId="0" xfId="336" applyNumberFormat="1" applyFont="1" applyBorder="1"/>
    <xf numFmtId="271" fontId="16" fillId="0" borderId="30" xfId="336" applyNumberFormat="1" applyFont="1" applyBorder="1"/>
    <xf numFmtId="43" fontId="16" fillId="0" borderId="0" xfId="1" applyFill="1"/>
    <xf numFmtId="0" fontId="126" fillId="0" borderId="0" xfId="501" applyFont="1"/>
    <xf numFmtId="0" fontId="125" fillId="0" borderId="0" xfId="428" applyFont="1"/>
    <xf numFmtId="0" fontId="16" fillId="0" borderId="0" xfId="428" applyAlignment="1">
      <alignment horizontal="center" wrapText="1"/>
    </xf>
    <xf numFmtId="0" fontId="16" fillId="0" borderId="0" xfId="457" quotePrefix="1" applyFont="1" applyBorder="1" applyAlignment="1">
      <alignment horizontal="center" wrapText="1"/>
    </xf>
    <xf numFmtId="280" fontId="16" fillId="0" borderId="0" xfId="428" quotePrefix="1" applyNumberFormat="1" applyAlignment="1">
      <alignment horizontal="left"/>
    </xf>
    <xf numFmtId="164" fontId="16" fillId="0" borderId="0" xfId="428" applyNumberFormat="1" applyFill="1"/>
    <xf numFmtId="164" fontId="16" fillId="0" borderId="0" xfId="1" applyNumberFormat="1" applyFont="1" applyFill="1"/>
    <xf numFmtId="0" fontId="16" fillId="0" borderId="0" xfId="457" applyFont="1" applyFill="1"/>
    <xf numFmtId="0" fontId="16" fillId="0" borderId="0" xfId="428" quotePrefix="1" applyAlignment="1">
      <alignment horizontal="left"/>
    </xf>
    <xf numFmtId="164" fontId="16" fillId="40" borderId="0" xfId="457" applyNumberFormat="1" applyFont="1" applyFill="1" applyBorder="1"/>
    <xf numFmtId="0" fontId="124" fillId="0" borderId="0" xfId="428" applyFont="1" applyBorder="1"/>
    <xf numFmtId="14" fontId="124" fillId="0" borderId="0" xfId="428" applyNumberFormat="1" applyFont="1" applyBorder="1" applyAlignment="1">
      <alignment horizontal="center"/>
    </xf>
    <xf numFmtId="0" fontId="125" fillId="0" borderId="0" xfId="428" applyFont="1" applyBorder="1" applyAlignment="1">
      <alignment horizontal="center"/>
    </xf>
    <xf numFmtId="164" fontId="54" fillId="0" borderId="0" xfId="1" applyNumberFormat="1" applyFont="1"/>
    <xf numFmtId="0" fontId="123" fillId="0" borderId="0" xfId="428" applyFont="1" applyFill="1"/>
    <xf numFmtId="164" fontId="0" fillId="0" borderId="0" xfId="1" applyNumberFormat="1" applyFont="1" applyFill="1"/>
    <xf numFmtId="164" fontId="54" fillId="0" borderId="0" xfId="1" applyNumberFormat="1" applyFont="1" applyFill="1"/>
    <xf numFmtId="164" fontId="54" fillId="40" borderId="0" xfId="1" applyNumberFormat="1" applyFont="1" applyFill="1"/>
    <xf numFmtId="10" fontId="20" fillId="0" borderId="0" xfId="2" applyNumberFormat="1" applyFont="1" applyAlignment="1"/>
    <xf numFmtId="0" fontId="18" fillId="0" borderId="0" xfId="428" applyFont="1" applyAlignment="1"/>
    <xf numFmtId="164" fontId="16" fillId="0" borderId="0" xfId="428" applyNumberFormat="1"/>
    <xf numFmtId="0" fontId="138" fillId="0" borderId="0" xfId="0" applyFont="1"/>
    <xf numFmtId="0" fontId="18" fillId="0" borderId="0" xfId="0" applyFont="1"/>
    <xf numFmtId="0" fontId="18" fillId="0" borderId="0" xfId="428" applyFont="1" applyFill="1" applyAlignment="1"/>
    <xf numFmtId="3" fontId="20" fillId="0" borderId="0" xfId="178" applyNumberFormat="1" applyFont="1" applyAlignment="1" applyProtection="1">
      <alignment horizontal="center"/>
      <protection locked="0"/>
    </xf>
    <xf numFmtId="177" fontId="20" fillId="0" borderId="0" xfId="0" applyNumberFormat="1" applyFont="1"/>
    <xf numFmtId="177" fontId="139" fillId="0" borderId="0" xfId="379" applyFont="1" applyFill="1" applyBorder="1" applyAlignment="1"/>
    <xf numFmtId="9" fontId="139" fillId="0" borderId="0" xfId="2" applyFont="1" applyFill="1" applyBorder="1" applyAlignment="1"/>
    <xf numFmtId="9" fontId="132" fillId="0" borderId="0" xfId="2" applyFont="1" applyFill="1" applyBorder="1" applyAlignment="1"/>
    <xf numFmtId="43" fontId="132" fillId="0" borderId="0" xfId="1" applyFont="1" applyFill="1" applyBorder="1" applyAlignment="1"/>
    <xf numFmtId="43" fontId="64" fillId="0" borderId="0" xfId="1" applyFont="1" applyFill="1" applyBorder="1" applyAlignment="1"/>
    <xf numFmtId="43" fontId="32" fillId="0" borderId="0" xfId="1" applyFont="1" applyFill="1" applyBorder="1" applyAlignment="1"/>
    <xf numFmtId="41" fontId="131" fillId="0" borderId="0" xfId="433" applyNumberFormat="1" applyFont="1"/>
    <xf numFmtId="44" fontId="20" fillId="0" borderId="0" xfId="0" applyNumberFormat="1" applyFont="1"/>
    <xf numFmtId="272" fontId="16" fillId="0" borderId="0" xfId="502" applyNumberFormat="1"/>
    <xf numFmtId="37" fontId="16" fillId="0" borderId="0" xfId="502" applyNumberFormat="1"/>
    <xf numFmtId="37" fontId="123" fillId="0" borderId="0" xfId="502" applyNumberFormat="1" applyFont="1"/>
    <xf numFmtId="0" fontId="54" fillId="0" borderId="0" xfId="503" quotePrefix="1" applyFont="1" applyAlignment="1">
      <alignment horizontal="left"/>
    </xf>
    <xf numFmtId="164" fontId="54" fillId="0" borderId="30" xfId="457" applyNumberFormat="1" applyFont="1" applyBorder="1"/>
    <xf numFmtId="0" fontId="0" fillId="0" borderId="0" xfId="0" applyFill="1" applyProtection="1">
      <protection locked="0"/>
    </xf>
    <xf numFmtId="0" fontId="54" fillId="0" borderId="0" xfId="428" applyFont="1" applyAlignment="1">
      <alignment horizontal="left"/>
    </xf>
    <xf numFmtId="0" fontId="54" fillId="0" borderId="0" xfId="428" applyFont="1"/>
    <xf numFmtId="0" fontId="54" fillId="0" borderId="0" xfId="504" applyFont="1"/>
    <xf numFmtId="0" fontId="16" fillId="0" borderId="0" xfId="504"/>
    <xf numFmtId="0" fontId="54" fillId="0" borderId="0" xfId="504" quotePrefix="1" applyFont="1" applyAlignment="1">
      <alignment horizontal="left"/>
    </xf>
    <xf numFmtId="0" fontId="16" fillId="0" borderId="0" xfId="504" quotePrefix="1" applyFont="1" applyAlignment="1">
      <alignment horizontal="left"/>
    </xf>
    <xf numFmtId="0" fontId="16" fillId="0" borderId="0" xfId="504" applyFont="1"/>
    <xf numFmtId="271" fontId="16" fillId="0" borderId="0" xfId="336" applyNumberFormat="1"/>
    <xf numFmtId="271" fontId="16" fillId="0" borderId="2" xfId="336" applyNumberFormat="1" applyBorder="1"/>
    <xf numFmtId="271" fontId="16" fillId="0" borderId="0" xfId="336" applyNumberFormat="1" applyFont="1"/>
    <xf numFmtId="271" fontId="16" fillId="0" borderId="0" xfId="504" applyNumberFormat="1"/>
    <xf numFmtId="0" fontId="16" fillId="0" borderId="0" xfId="504" quotePrefix="1" applyAlignment="1">
      <alignment horizontal="left"/>
    </xf>
    <xf numFmtId="276" fontId="16" fillId="0" borderId="30" xfId="2" applyNumberFormat="1" applyBorder="1"/>
    <xf numFmtId="274" fontId="16" fillId="0" borderId="0" xfId="504" applyNumberFormat="1"/>
    <xf numFmtId="227" fontId="132" fillId="0" borderId="0" xfId="176" applyNumberFormat="1" applyFont="1" applyFill="1" applyAlignment="1"/>
    <xf numFmtId="272" fontId="54" fillId="0" borderId="0" xfId="502" applyNumberFormat="1" applyFont="1"/>
    <xf numFmtId="0" fontId="125" fillId="0" borderId="0" xfId="0" applyFont="1" applyAlignment="1">
      <alignment horizontal="center"/>
    </xf>
    <xf numFmtId="231" fontId="0" fillId="0" borderId="0" xfId="0" applyNumberFormat="1" applyFill="1"/>
    <xf numFmtId="49" fontId="0" fillId="0" borderId="0" xfId="0" applyNumberFormat="1" applyAlignment="1">
      <alignment horizontal="center"/>
    </xf>
    <xf numFmtId="0" fontId="130" fillId="0" borderId="0" xfId="0" applyFont="1" applyAlignment="1">
      <alignment horizontal="center"/>
    </xf>
    <xf numFmtId="0" fontId="0" fillId="0" borderId="2" xfId="0" applyBorder="1" applyAlignment="1">
      <alignment horizontal="center"/>
    </xf>
    <xf numFmtId="0" fontId="0" fillId="0" borderId="2" xfId="0" applyBorder="1"/>
    <xf numFmtId="164" fontId="0" fillId="40" borderId="0" xfId="0" applyNumberFormat="1" applyFill="1"/>
    <xf numFmtId="272" fontId="126" fillId="0" borderId="0" xfId="502" applyNumberFormat="1" applyFont="1"/>
    <xf numFmtId="3" fontId="32" fillId="0" borderId="0" xfId="176" applyNumberFormat="1" applyFont="1" applyFill="1" applyBorder="1" applyAlignment="1">
      <alignment horizontal="center" wrapText="1"/>
    </xf>
    <xf numFmtId="8" fontId="0" fillId="0" borderId="0" xfId="0" applyNumberFormat="1"/>
    <xf numFmtId="177" fontId="64" fillId="0" borderId="0" xfId="379" applyFill="1" applyBorder="1" applyAlignment="1"/>
    <xf numFmtId="177" fontId="90" fillId="0" borderId="0" xfId="379" applyFont="1" applyFill="1" applyBorder="1" applyAlignment="1"/>
    <xf numFmtId="0" fontId="64" fillId="0" borderId="0" xfId="379" applyNumberFormat="1" applyFill="1" applyBorder="1" applyAlignment="1" applyProtection="1">
      <alignment horizontal="center"/>
      <protection locked="0"/>
    </xf>
    <xf numFmtId="177" fontId="32" fillId="0" borderId="7" xfId="379" applyFont="1" applyFill="1" applyBorder="1" applyAlignment="1"/>
    <xf numFmtId="177" fontId="139" fillId="0" borderId="0" xfId="176" applyFont="1" applyFill="1" applyBorder="1" applyAlignment="1"/>
    <xf numFmtId="3" fontId="0" fillId="0" borderId="0" xfId="0" applyNumberFormat="1" applyFont="1" applyFill="1" applyBorder="1" applyAlignment="1">
      <alignment horizontal="center"/>
    </xf>
    <xf numFmtId="0" fontId="0" fillId="0" borderId="0" xfId="0" applyFill="1" applyBorder="1" applyAlignment="1"/>
    <xf numFmtId="0" fontId="32" fillId="0" borderId="0" xfId="0" applyNumberFormat="1" applyFont="1" applyFill="1" applyBorder="1" applyAlignment="1"/>
    <xf numFmtId="3" fontId="32" fillId="0" borderId="0" xfId="0" applyNumberFormat="1" applyFont="1" applyFill="1" applyBorder="1" applyAlignment="1">
      <alignment horizontal="center"/>
    </xf>
    <xf numFmtId="0" fontId="139" fillId="0" borderId="0" xfId="0" applyFont="1" applyFill="1" applyBorder="1" applyAlignment="1"/>
    <xf numFmtId="3" fontId="0" fillId="0" borderId="0" xfId="0" applyNumberFormat="1" applyFill="1" applyBorder="1" applyAlignment="1">
      <alignment horizontal="center"/>
    </xf>
    <xf numFmtId="0" fontId="27" fillId="0" borderId="0" xfId="0" applyNumberFormat="1" applyFont="1" applyFill="1" applyBorder="1" applyAlignment="1"/>
    <xf numFmtId="49" fontId="0" fillId="0" borderId="0" xfId="0" applyNumberFormat="1" applyFont="1" applyFill="1" applyBorder="1" applyAlignment="1">
      <alignment horizontal="center"/>
    </xf>
    <xf numFmtId="0" fontId="0" fillId="0" borderId="0" xfId="0" applyFont="1" applyFill="1" applyBorder="1" applyAlignment="1"/>
    <xf numFmtId="0" fontId="32" fillId="0" borderId="0" xfId="0" applyFont="1" applyFill="1" applyBorder="1" applyAlignment="1">
      <alignment horizontal="center"/>
    </xf>
    <xf numFmtId="49" fontId="0" fillId="0" borderId="0" xfId="0" applyNumberFormat="1" applyFill="1" applyBorder="1" applyAlignment="1">
      <alignment horizontal="center"/>
    </xf>
    <xf numFmtId="49" fontId="91" fillId="0" borderId="0" xfId="0" applyNumberFormat="1" applyFont="1" applyFill="1" applyBorder="1" applyAlignment="1">
      <alignment horizontal="center"/>
    </xf>
    <xf numFmtId="0" fontId="91" fillId="0" borderId="0" xfId="0" applyFont="1" applyFill="1" applyBorder="1" applyAlignment="1"/>
    <xf numFmtId="3" fontId="27" fillId="0" borderId="0" xfId="0" applyNumberFormat="1" applyFont="1" applyFill="1" applyBorder="1" applyAlignment="1">
      <alignment horizontal="center"/>
    </xf>
    <xf numFmtId="0" fontId="90" fillId="0" borderId="0" xfId="0" applyFont="1" applyFill="1" applyBorder="1" applyAlignment="1"/>
    <xf numFmtId="3" fontId="32" fillId="0" borderId="0" xfId="0" applyNumberFormat="1" applyFont="1" applyFill="1" applyBorder="1" applyAlignment="1"/>
    <xf numFmtId="266" fontId="32" fillId="0" borderId="0" xfId="0" applyNumberFormat="1" applyFont="1" applyFill="1" applyBorder="1" applyAlignment="1">
      <alignment horizontal="center"/>
    </xf>
    <xf numFmtId="0" fontId="27" fillId="0" borderId="0" xfId="0" applyNumberFormat="1" applyFont="1" applyFill="1" applyBorder="1" applyAlignment="1" applyProtection="1">
      <alignment horizontal="center"/>
      <protection locked="0"/>
    </xf>
    <xf numFmtId="10" fontId="27" fillId="0" borderId="0" xfId="0" applyNumberFormat="1" applyFont="1" applyFill="1" applyBorder="1" applyAlignment="1"/>
    <xf numFmtId="10" fontId="32" fillId="0" borderId="0" xfId="0" applyNumberFormat="1" applyFont="1" applyFill="1" applyBorder="1" applyAlignment="1"/>
    <xf numFmtId="164" fontId="32" fillId="2" borderId="0" xfId="1" applyNumberFormat="1" applyFont="1" applyFill="1" applyBorder="1" applyAlignment="1"/>
    <xf numFmtId="0" fontId="32" fillId="0" borderId="0" xfId="0" applyFont="1" applyFill="1" applyBorder="1" applyAlignment="1"/>
    <xf numFmtId="0" fontId="27" fillId="0" borderId="0" xfId="0" applyNumberFormat="1" applyFont="1" applyFill="1" applyBorder="1" applyAlignment="1">
      <alignment horizontal="left"/>
    </xf>
    <xf numFmtId="0" fontId="91" fillId="0" borderId="16" xfId="0" applyFont="1" applyFill="1" applyBorder="1" applyAlignment="1">
      <alignment horizontal="center" wrapText="1"/>
    </xf>
    <xf numFmtId="0" fontId="91" fillId="0" borderId="3" xfId="0" applyFont="1" applyFill="1" applyBorder="1" applyAlignment="1"/>
    <xf numFmtId="0" fontId="91" fillId="0" borderId="3" xfId="0" applyFont="1" applyFill="1" applyBorder="1" applyAlignment="1">
      <alignment horizontal="center" wrapText="1"/>
    </xf>
    <xf numFmtId="0" fontId="27" fillId="0" borderId="3" xfId="0" applyNumberFormat="1" applyFont="1" applyFill="1" applyBorder="1" applyAlignment="1">
      <alignment horizontal="center" wrapText="1"/>
    </xf>
    <xf numFmtId="0" fontId="91" fillId="0" borderId="17" xfId="0" applyFont="1" applyFill="1" applyBorder="1" applyAlignment="1">
      <alignment horizontal="center" wrapText="1"/>
    </xf>
    <xf numFmtId="0" fontId="91" fillId="0" borderId="8" xfId="0" applyFont="1" applyFill="1" applyBorder="1" applyAlignment="1">
      <alignment horizontal="center" wrapText="1"/>
    </xf>
    <xf numFmtId="3" fontId="27" fillId="0" borderId="8" xfId="0" applyNumberFormat="1" applyFont="1" applyFill="1" applyBorder="1" applyAlignment="1">
      <alignment horizontal="center" wrapText="1"/>
    </xf>
    <xf numFmtId="3" fontId="27" fillId="0" borderId="3" xfId="0" applyNumberFormat="1" applyFont="1" applyFill="1" applyBorder="1" applyAlignment="1">
      <alignment horizontal="center" wrapText="1"/>
    </xf>
    <xf numFmtId="3" fontId="91" fillId="0" borderId="0" xfId="0" applyNumberFormat="1" applyFont="1" applyFill="1" applyBorder="1" applyAlignment="1"/>
    <xf numFmtId="0" fontId="0" fillId="0" borderId="0" xfId="0" applyNumberFormat="1" applyFont="1" applyFill="1" applyBorder="1"/>
    <xf numFmtId="3" fontId="0" fillId="0" borderId="0" xfId="0" applyNumberFormat="1" applyFont="1" applyFill="1" applyBorder="1" applyAlignment="1"/>
    <xf numFmtId="0" fontId="0" fillId="0" borderId="0" xfId="0" applyNumberFormat="1" applyFont="1" applyFill="1" applyBorder="1" applyAlignment="1"/>
    <xf numFmtId="0" fontId="32" fillId="0" borderId="16" xfId="0" applyNumberFormat="1" applyFont="1" applyFill="1" applyBorder="1"/>
    <xf numFmtId="0" fontId="32" fillId="0" borderId="3" xfId="0" applyNumberFormat="1" applyFont="1" applyFill="1" applyBorder="1"/>
    <xf numFmtId="0" fontId="32" fillId="0" borderId="3" xfId="0" quotePrefix="1" applyNumberFormat="1" applyFont="1" applyFill="1" applyBorder="1" applyAlignment="1">
      <alignment horizontal="center"/>
    </xf>
    <xf numFmtId="0" fontId="32" fillId="0" borderId="3" xfId="0" applyNumberFormat="1" applyFont="1" applyFill="1" applyBorder="1" applyAlignment="1">
      <alignment horizontal="center"/>
    </xf>
    <xf numFmtId="0" fontId="32" fillId="0" borderId="8" xfId="0" quotePrefix="1" applyNumberFormat="1" applyFont="1" applyFill="1" applyBorder="1" applyAlignment="1">
      <alignment horizontal="center"/>
    </xf>
    <xf numFmtId="0" fontId="32" fillId="0" borderId="8" xfId="0" applyNumberFormat="1" applyFont="1" applyFill="1" applyBorder="1" applyAlignment="1">
      <alignment horizontal="center"/>
    </xf>
    <xf numFmtId="0" fontId="32" fillId="0" borderId="8" xfId="0" applyNumberFormat="1" applyFont="1" applyFill="1" applyBorder="1" applyAlignment="1">
      <alignment horizontal="center" wrapText="1"/>
    </xf>
    <xf numFmtId="3" fontId="32" fillId="0" borderId="3" xfId="0" applyNumberFormat="1" applyFont="1" applyFill="1" applyBorder="1" applyAlignment="1">
      <alignment horizontal="center"/>
    </xf>
    <xf numFmtId="3" fontId="32" fillId="0" borderId="8" xfId="0" applyNumberFormat="1" applyFont="1" applyFill="1" applyBorder="1" applyAlignment="1">
      <alignment horizontal="center" wrapText="1"/>
    </xf>
    <xf numFmtId="0" fontId="89" fillId="0" borderId="0" xfId="0" applyFont="1" applyFill="1" applyBorder="1" applyAlignment="1"/>
    <xf numFmtId="0" fontId="32" fillId="0" borderId="7" xfId="0" applyFont="1" applyFill="1" applyBorder="1" applyAlignment="1"/>
    <xf numFmtId="0" fontId="64" fillId="0" borderId="0" xfId="0" applyFont="1" applyFill="1" applyBorder="1" applyAlignment="1">
      <alignment horizontal="center" vertical="top"/>
    </xf>
    <xf numFmtId="0" fontId="64" fillId="0" borderId="0" xfId="0" applyFont="1" applyFill="1" applyBorder="1" applyAlignment="1"/>
    <xf numFmtId="0" fontId="64" fillId="0" borderId="0" xfId="0" applyFont="1" applyFill="1" applyBorder="1" applyAlignment="1">
      <alignment horizontal="center"/>
    </xf>
    <xf numFmtId="0" fontId="133" fillId="0" borderId="0" xfId="0" applyFont="1" applyFill="1" applyBorder="1" applyAlignment="1"/>
    <xf numFmtId="0" fontId="64" fillId="0" borderId="0" xfId="0" applyFont="1" applyFill="1" applyBorder="1" applyAlignment="1">
      <alignment horizontal="left" vertical="top"/>
    </xf>
    <xf numFmtId="0" fontId="20" fillId="0" borderId="0" xfId="0" applyNumberFormat="1" applyFont="1" applyAlignment="1">
      <alignment horizontal="left" wrapText="1"/>
    </xf>
    <xf numFmtId="49" fontId="20" fillId="0" borderId="0" xfId="178" applyNumberFormat="1" applyFont="1" applyAlignment="1">
      <alignment horizontal="center"/>
    </xf>
    <xf numFmtId="177" fontId="20" fillId="0" borderId="0" xfId="178" applyFont="1" applyAlignment="1">
      <alignment horizontal="center"/>
    </xf>
    <xf numFmtId="49" fontId="20" fillId="0" borderId="0" xfId="178" applyNumberFormat="1" applyFont="1" applyAlignment="1" applyProtection="1">
      <alignment horizontal="center"/>
      <protection locked="0"/>
    </xf>
    <xf numFmtId="0" fontId="20" fillId="0" borderId="0" xfId="178" applyNumberFormat="1" applyFont="1" applyFill="1" applyAlignment="1" applyProtection="1">
      <alignment vertical="top" wrapText="1"/>
      <protection locked="0"/>
    </xf>
    <xf numFmtId="0" fontId="86" fillId="0" borderId="0" xfId="178" applyNumberFormat="1" applyFont="1" applyFill="1" applyAlignment="1" applyProtection="1">
      <alignment vertical="top" wrapText="1"/>
      <protection locked="0"/>
    </xf>
    <xf numFmtId="0" fontId="20" fillId="0" borderId="0" xfId="178" applyNumberFormat="1" applyFont="1" applyFill="1" applyAlignment="1">
      <alignment vertical="top" wrapText="1"/>
    </xf>
    <xf numFmtId="0" fontId="20" fillId="0" borderId="0" xfId="178" quotePrefix="1" applyNumberFormat="1" applyFont="1" applyFill="1" applyAlignment="1">
      <alignment horizontal="left" vertical="top" wrapText="1"/>
    </xf>
    <xf numFmtId="0" fontId="20" fillId="0" borderId="0" xfId="0" applyNumberFormat="1" applyFont="1" applyFill="1" applyAlignment="1">
      <alignment vertical="top" wrapText="1"/>
    </xf>
    <xf numFmtId="0" fontId="20" fillId="0" borderId="0" xfId="0" quotePrefix="1" applyNumberFormat="1" applyFont="1" applyFill="1" applyAlignment="1">
      <alignment horizontal="left" vertical="top" wrapText="1"/>
    </xf>
    <xf numFmtId="177" fontId="64" fillId="0" borderId="0" xfId="379" applyFont="1" applyFill="1" applyBorder="1" applyAlignment="1">
      <alignment horizontal="left"/>
    </xf>
    <xf numFmtId="177" fontId="64" fillId="0" borderId="0" xfId="176" applyFont="1" applyFill="1" applyBorder="1" applyAlignment="1">
      <alignment horizontal="left" vertical="top" wrapText="1"/>
    </xf>
    <xf numFmtId="177" fontId="64" fillId="0" borderId="0" xfId="379" applyFont="1" applyFill="1" applyBorder="1" applyAlignment="1">
      <alignment horizontal="left" vertical="top" wrapText="1"/>
    </xf>
    <xf numFmtId="177" fontId="64" fillId="0" borderId="0" xfId="379" applyFont="1" applyFill="1" applyBorder="1" applyAlignment="1">
      <alignment horizontal="left" wrapText="1"/>
    </xf>
    <xf numFmtId="0" fontId="64" fillId="0" borderId="0" xfId="0" applyFont="1" applyFill="1" applyBorder="1" applyAlignment="1">
      <alignment horizontal="left" vertical="top"/>
    </xf>
    <xf numFmtId="0" fontId="0" fillId="0" borderId="0" xfId="0" applyAlignment="1">
      <alignment horizontal="left" vertical="top"/>
    </xf>
    <xf numFmtId="0" fontId="116" fillId="0" borderId="0" xfId="433" applyAlignment="1">
      <alignment vertical="top" wrapText="1"/>
    </xf>
    <xf numFmtId="0" fontId="116" fillId="0" borderId="0" xfId="433" applyAlignment="1">
      <alignment horizontal="left" vertical="top" wrapText="1"/>
    </xf>
    <xf numFmtId="177" fontId="27" fillId="0" borderId="3" xfId="177" applyFont="1" applyFill="1" applyBorder="1" applyAlignment="1">
      <alignment horizontal="center"/>
    </xf>
    <xf numFmtId="3" fontId="91" fillId="0" borderId="3" xfId="177" applyNumberFormat="1" applyFont="1" applyFill="1" applyBorder="1" applyAlignment="1">
      <alignment horizontal="center"/>
    </xf>
    <xf numFmtId="177" fontId="91" fillId="0" borderId="3" xfId="177" applyFont="1" applyFill="1" applyBorder="1" applyAlignment="1">
      <alignment horizontal="center"/>
    </xf>
  </cellXfs>
  <cellStyles count="505">
    <cellStyle name="¢ Currency [1]" xfId="6"/>
    <cellStyle name="¢ Currency [2]" xfId="7"/>
    <cellStyle name="¢ Currency [3]" xfId="8"/>
    <cellStyle name="£ Currency [0]" xfId="9"/>
    <cellStyle name="£ Currency [1]" xfId="10"/>
    <cellStyle name="£ Currency [2]" xfId="11"/>
    <cellStyle name="=C:\WINNT35\SYSTEM32\COMMAND.COM" xfId="5"/>
    <cellStyle name="20% - Accent1 2" xfId="380"/>
    <cellStyle name="20% - Accent2 2" xfId="381"/>
    <cellStyle name="20% - Accent3 2" xfId="382"/>
    <cellStyle name="20% - Accent4 2" xfId="383"/>
    <cellStyle name="20% - Accent5 2" xfId="384"/>
    <cellStyle name="20% - Accent6 2" xfId="385"/>
    <cellStyle name="40% - Accent1 2" xfId="386"/>
    <cellStyle name="40% - Accent2 2" xfId="387"/>
    <cellStyle name="40% - Accent3 2" xfId="388"/>
    <cellStyle name="40% - Accent4 2" xfId="389"/>
    <cellStyle name="40% - Accent5 2" xfId="390"/>
    <cellStyle name="40% - Accent6 2" xfId="391"/>
    <cellStyle name="60% - Accent1 2" xfId="392"/>
    <cellStyle name="60% - Accent2 2" xfId="393"/>
    <cellStyle name="60% - Accent3 2" xfId="394"/>
    <cellStyle name="60% - Accent4 2" xfId="395"/>
    <cellStyle name="60% - Accent5 2" xfId="396"/>
    <cellStyle name="60% - Accent6 2" xfId="397"/>
    <cellStyle name="Accent1 2" xfId="398"/>
    <cellStyle name="Accent2 2" xfId="399"/>
    <cellStyle name="Accent3 2" xfId="400"/>
    <cellStyle name="Accent4 2" xfId="401"/>
    <cellStyle name="Accent5 2" xfId="402"/>
    <cellStyle name="Accent6 2" xfId="403"/>
    <cellStyle name="Bad 2" xfId="404"/>
    <cellStyle name="Basic" xfId="12"/>
    <cellStyle name="black" xfId="13"/>
    <cellStyle name="blu" xfId="14"/>
    <cellStyle name="bot" xfId="15"/>
    <cellStyle name="Bullet" xfId="16"/>
    <cellStyle name="Bullet [0]" xfId="17"/>
    <cellStyle name="Bullet [2]" xfId="18"/>
    <cellStyle name="Bullet [4]" xfId="19"/>
    <cellStyle name="c" xfId="20"/>
    <cellStyle name="c," xfId="21"/>
    <cellStyle name="c_HardInc " xfId="22"/>
    <cellStyle name="c_HardInc _ITC Great Plains Formula 1-12-09a" xfId="23"/>
    <cellStyle name="C00A" xfId="24"/>
    <cellStyle name="C00B" xfId="25"/>
    <cellStyle name="C00L" xfId="26"/>
    <cellStyle name="C01A" xfId="27"/>
    <cellStyle name="C01B" xfId="28"/>
    <cellStyle name="C01H" xfId="29"/>
    <cellStyle name="C01L" xfId="30"/>
    <cellStyle name="C02A" xfId="31"/>
    <cellStyle name="C02B" xfId="32"/>
    <cellStyle name="C02H" xfId="33"/>
    <cellStyle name="C02L" xfId="34"/>
    <cellStyle name="C03A" xfId="35"/>
    <cellStyle name="C03B" xfId="36"/>
    <cellStyle name="C03H" xfId="37"/>
    <cellStyle name="C03L" xfId="38"/>
    <cellStyle name="C04A" xfId="39"/>
    <cellStyle name="C04B" xfId="40"/>
    <cellStyle name="C04H" xfId="41"/>
    <cellStyle name="C04L" xfId="42"/>
    <cellStyle name="C05A" xfId="43"/>
    <cellStyle name="C05B" xfId="44"/>
    <cellStyle name="C05H" xfId="45"/>
    <cellStyle name="C05L" xfId="46"/>
    <cellStyle name="C06A" xfId="47"/>
    <cellStyle name="C06B" xfId="48"/>
    <cellStyle name="C06H" xfId="49"/>
    <cellStyle name="C06L" xfId="50"/>
    <cellStyle name="C07A" xfId="51"/>
    <cellStyle name="C07B" xfId="52"/>
    <cellStyle name="C07H" xfId="53"/>
    <cellStyle name="C07L" xfId="54"/>
    <cellStyle name="c1" xfId="55"/>
    <cellStyle name="c1," xfId="56"/>
    <cellStyle name="c2" xfId="57"/>
    <cellStyle name="c2," xfId="58"/>
    <cellStyle name="c3" xfId="59"/>
    <cellStyle name="Calculation 2" xfId="405"/>
    <cellStyle name="cas" xfId="60"/>
    <cellStyle name="Centered Heading" xfId="61"/>
    <cellStyle name="Check Cell 2" xfId="406"/>
    <cellStyle name="Comma" xfId="1" builtinId="3"/>
    <cellStyle name="Comma  - Style1" xfId="62"/>
    <cellStyle name="Comma  - Style2" xfId="63"/>
    <cellStyle name="Comma  - Style3" xfId="64"/>
    <cellStyle name="Comma  - Style4" xfId="65"/>
    <cellStyle name="Comma  - Style5" xfId="66"/>
    <cellStyle name="Comma  - Style6" xfId="67"/>
    <cellStyle name="Comma  - Style7" xfId="68"/>
    <cellStyle name="Comma  - Style8" xfId="69"/>
    <cellStyle name="Comma [0] 2" xfId="424"/>
    <cellStyle name="Comma [1]" xfId="70"/>
    <cellStyle name="Comma [2]" xfId="71"/>
    <cellStyle name="Comma [3]" xfId="72"/>
    <cellStyle name="Comma 0.0" xfId="73"/>
    <cellStyle name="Comma 0.00" xfId="74"/>
    <cellStyle name="Comma 0.000" xfId="75"/>
    <cellStyle name="Comma 0.0000" xfId="76"/>
    <cellStyle name="Comma 10" xfId="327"/>
    <cellStyle name="Comma 11" xfId="324"/>
    <cellStyle name="Comma 12" xfId="328"/>
    <cellStyle name="Comma 13" xfId="329"/>
    <cellStyle name="Comma 14" xfId="330"/>
    <cellStyle name="Comma 15" xfId="323"/>
    <cellStyle name="Comma 16" xfId="331"/>
    <cellStyle name="Comma 17" xfId="332"/>
    <cellStyle name="Comma 18" xfId="431"/>
    <cellStyle name="Comma 18 2" xfId="440"/>
    <cellStyle name="Comma 18 2 2" xfId="446"/>
    <cellStyle name="Comma 18 2 2 2" xfId="452"/>
    <cellStyle name="Comma 18 2 2 3" xfId="498"/>
    <cellStyle name="Comma 18 2 3" xfId="492"/>
    <cellStyle name="Comma 18 3" xfId="486"/>
    <cellStyle name="Comma 19" xfId="434"/>
    <cellStyle name="Comma 2" xfId="77"/>
    <cellStyle name="Comma 2 2" xfId="78"/>
    <cellStyle name="Comma 2 3" xfId="425"/>
    <cellStyle name="Comma 20" xfId="438"/>
    <cellStyle name="Comma 20 2" xfId="443"/>
    <cellStyle name="Comma 20 2 2" xfId="449"/>
    <cellStyle name="Comma 20 2 3" xfId="495"/>
    <cellStyle name="Comma 20 3" xfId="490"/>
    <cellStyle name="Comma 3" xfId="79"/>
    <cellStyle name="Comma 3 2" xfId="80"/>
    <cellStyle name="Comma 4" xfId="81"/>
    <cellStyle name="Comma 5" xfId="333"/>
    <cellStyle name="Comma 6" xfId="326"/>
    <cellStyle name="Comma 7" xfId="325"/>
    <cellStyle name="Comma 8" xfId="334"/>
    <cellStyle name="Comma 9" xfId="335"/>
    <cellStyle name="Comma Input" xfId="82"/>
    <cellStyle name="Comma0" xfId="83"/>
    <cellStyle name="Company Name" xfId="84"/>
    <cellStyle name="Currency [1]" xfId="85"/>
    <cellStyle name="Currency [2]" xfId="86"/>
    <cellStyle name="Currency [3]" xfId="87"/>
    <cellStyle name="Currency 0.0" xfId="88"/>
    <cellStyle name="Currency 0.00" xfId="89"/>
    <cellStyle name="Currency 0.000" xfId="90"/>
    <cellStyle name="Currency 0.0000" xfId="91"/>
    <cellStyle name="Currency 10" xfId="336"/>
    <cellStyle name="Currency 11" xfId="337"/>
    <cellStyle name="Currency 12" xfId="338"/>
    <cellStyle name="Currency 13" xfId="339"/>
    <cellStyle name="Currency 14" xfId="340"/>
    <cellStyle name="Currency 15" xfId="341"/>
    <cellStyle name="Currency 16" xfId="342"/>
    <cellStyle name="Currency 17" xfId="407"/>
    <cellStyle name="Currency 18" xfId="500"/>
    <cellStyle name="Currency 2" xfId="92"/>
    <cellStyle name="Currency 2 2" xfId="93"/>
    <cellStyle name="Currency 2 3" xfId="426"/>
    <cellStyle name="Currency 3" xfId="94"/>
    <cellStyle name="Currency 3 2" xfId="95"/>
    <cellStyle name="Currency 4" xfId="343"/>
    <cellStyle name="Currency 5" xfId="344"/>
    <cellStyle name="Currency 6" xfId="345"/>
    <cellStyle name="Currency 7" xfId="346"/>
    <cellStyle name="Currency 8" xfId="347"/>
    <cellStyle name="Currency 9" xfId="348"/>
    <cellStyle name="Currency Input" xfId="96"/>
    <cellStyle name="Currency0" xfId="97"/>
    <cellStyle name="d" xfId="98"/>
    <cellStyle name="d," xfId="99"/>
    <cellStyle name="d1" xfId="100"/>
    <cellStyle name="d1," xfId="101"/>
    <cellStyle name="d2" xfId="102"/>
    <cellStyle name="d2," xfId="103"/>
    <cellStyle name="d3" xfId="104"/>
    <cellStyle name="Dash" xfId="105"/>
    <cellStyle name="Date" xfId="106"/>
    <cellStyle name="Date [Abbreviated]" xfId="107"/>
    <cellStyle name="Date [Long Europe]" xfId="108"/>
    <cellStyle name="Date [Long U.S.]" xfId="109"/>
    <cellStyle name="Date [Short Europe]" xfId="110"/>
    <cellStyle name="Date [Short U.S.]" xfId="111"/>
    <cellStyle name="Date_ITCM 2010 Template" xfId="112"/>
    <cellStyle name="Define$0" xfId="113"/>
    <cellStyle name="Define$1" xfId="114"/>
    <cellStyle name="Define$2" xfId="115"/>
    <cellStyle name="Define0" xfId="116"/>
    <cellStyle name="Define1" xfId="117"/>
    <cellStyle name="Define1x" xfId="118"/>
    <cellStyle name="Define2" xfId="119"/>
    <cellStyle name="Define2x" xfId="120"/>
    <cellStyle name="Dollar" xfId="121"/>
    <cellStyle name="e" xfId="122"/>
    <cellStyle name="e1" xfId="123"/>
    <cellStyle name="e2" xfId="124"/>
    <cellStyle name="Euro" xfId="125"/>
    <cellStyle name="Explanatory Text 2" xfId="408"/>
    <cellStyle name="Fixed" xfId="126"/>
    <cellStyle name="FOOTER - Style1" xfId="127"/>
    <cellStyle name="g" xfId="128"/>
    <cellStyle name="general" xfId="129"/>
    <cellStyle name="General [C]" xfId="130"/>
    <cellStyle name="General [R]" xfId="131"/>
    <cellStyle name="Good 2" xfId="409"/>
    <cellStyle name="Green" xfId="132"/>
    <cellStyle name="grey" xfId="133"/>
    <cellStyle name="Header1" xfId="134"/>
    <cellStyle name="Header2" xfId="135"/>
    <cellStyle name="Heading" xfId="136"/>
    <cellStyle name="Heading 1 2" xfId="410"/>
    <cellStyle name="Heading 2 2" xfId="411"/>
    <cellStyle name="Heading 3 2" xfId="412"/>
    <cellStyle name="Heading 4 2" xfId="413"/>
    <cellStyle name="Heading 5" xfId="466"/>
    <cellStyle name="Heading No Underline" xfId="137"/>
    <cellStyle name="Heading With Underline" xfId="138"/>
    <cellStyle name="Heading1" xfId="139"/>
    <cellStyle name="Heading1 2" xfId="467"/>
    <cellStyle name="Heading2" xfId="140"/>
    <cellStyle name="Headline" xfId="141"/>
    <cellStyle name="Highlight" xfId="142"/>
    <cellStyle name="Hyperlink 2" xfId="143"/>
    <cellStyle name="in" xfId="144"/>
    <cellStyle name="Indented [0]" xfId="145"/>
    <cellStyle name="Indented [2]" xfId="146"/>
    <cellStyle name="Indented [4]" xfId="147"/>
    <cellStyle name="Indented [6]" xfId="148"/>
    <cellStyle name="Input [yellow]" xfId="149"/>
    <cellStyle name="Input 2" xfId="414"/>
    <cellStyle name="Input$0" xfId="150"/>
    <cellStyle name="Input$1" xfId="151"/>
    <cellStyle name="Input$2" xfId="152"/>
    <cellStyle name="Input0" xfId="153"/>
    <cellStyle name="Input1" xfId="154"/>
    <cellStyle name="Input1x" xfId="155"/>
    <cellStyle name="Input2" xfId="156"/>
    <cellStyle name="Input2x" xfId="157"/>
    <cellStyle name="lborder" xfId="158"/>
    <cellStyle name="LeftSubtitle" xfId="159"/>
    <cellStyle name="Linked Cell 2" xfId="415"/>
    <cellStyle name="m" xfId="160"/>
    <cellStyle name="m1" xfId="161"/>
    <cellStyle name="m2" xfId="162"/>
    <cellStyle name="m3" xfId="163"/>
    <cellStyle name="Multiple" xfId="164"/>
    <cellStyle name="Negative" xfId="165"/>
    <cellStyle name="Neutral 2" xfId="416"/>
    <cellStyle name="no dec" xfId="166"/>
    <cellStyle name="Normal" xfId="0" builtinId="0"/>
    <cellStyle name="Normal - Style1" xfId="167"/>
    <cellStyle name="Normal 10" xfId="349"/>
    <cellStyle name="Normal 10 2" xfId="470"/>
    <cellStyle name="Normal 11" xfId="350"/>
    <cellStyle name="Normal 11 2" xfId="471"/>
    <cellStyle name="Normal 12" xfId="351"/>
    <cellStyle name="Normal 12 2" xfId="472"/>
    <cellStyle name="Normal 13" xfId="352"/>
    <cellStyle name="Normal 13 2" xfId="473"/>
    <cellStyle name="Normal 14" xfId="353"/>
    <cellStyle name="Normal 14 2" xfId="474"/>
    <cellStyle name="Normal 15" xfId="354"/>
    <cellStyle name="Normal 15 2" xfId="475"/>
    <cellStyle name="Normal 16" xfId="355"/>
    <cellStyle name="Normal 16 2" xfId="476"/>
    <cellStyle name="Normal 17" xfId="356"/>
    <cellStyle name="Normal 17 2" xfId="477"/>
    <cellStyle name="Normal 18" xfId="357"/>
    <cellStyle name="Normal 18 2" xfId="478"/>
    <cellStyle name="Normal 19" xfId="358"/>
    <cellStyle name="Normal 19 2" xfId="479"/>
    <cellStyle name="Normal 2" xfId="168"/>
    <cellStyle name="Normal 2 2" xfId="427"/>
    <cellStyle name="Normal 2 3" xfId="433"/>
    <cellStyle name="Normal 2 3 2" xfId="502"/>
    <cellStyle name="Normal 20" xfId="379"/>
    <cellStyle name="Normal 21" xfId="422"/>
    <cellStyle name="Normal 21 2" xfId="483"/>
    <cellStyle name="Normal 22" xfId="423"/>
    <cellStyle name="Normal 22 2" xfId="484"/>
    <cellStyle name="Normal 23" xfId="428"/>
    <cellStyle name="Normal 24" xfId="430"/>
    <cellStyle name="Normal 24 2" xfId="439"/>
    <cellStyle name="Normal 24 2 2" xfId="445"/>
    <cellStyle name="Normal 24 2 2 2" xfId="451"/>
    <cellStyle name="Normal 24 2 2 3" xfId="497"/>
    <cellStyle name="Normal 24 2 3" xfId="491"/>
    <cellStyle name="Normal 24 3" xfId="485"/>
    <cellStyle name="Normal 25" xfId="435"/>
    <cellStyle name="Normal 26" xfId="436"/>
    <cellStyle name="Normal 26 2" xfId="442"/>
    <cellStyle name="Normal 26 2 2" xfId="448"/>
    <cellStyle name="Normal 26 2 3" xfId="494"/>
    <cellStyle name="Normal 26 3" xfId="488"/>
    <cellStyle name="Normal 27" xfId="455"/>
    <cellStyle name="Normal 27 2" xfId="463"/>
    <cellStyle name="Normal 28" xfId="462"/>
    <cellStyle name="Normal 28 2" xfId="503"/>
    <cellStyle name="Normal 29" xfId="465"/>
    <cellStyle name="Normal 3" xfId="3"/>
    <cellStyle name="Normal 3 2" xfId="169"/>
    <cellStyle name="Normal 3_Attach O, GG, Support -New Method 2-14-11" xfId="170"/>
    <cellStyle name="Normal 4" xfId="171"/>
    <cellStyle name="Normal 4 2" xfId="172"/>
    <cellStyle name="Normal 4_Attach O, GG, Support -New Method 2-14-11" xfId="173"/>
    <cellStyle name="Normal 5" xfId="174"/>
    <cellStyle name="Normal 6" xfId="175"/>
    <cellStyle name="Normal 6 2" xfId="377"/>
    <cellStyle name="Normal 6 2 2" xfId="454"/>
    <cellStyle name="Normal 6 2 2 2" xfId="464"/>
    <cellStyle name="Normal 6 2 3" xfId="460"/>
    <cellStyle name="Normal 6 3" xfId="378"/>
    <cellStyle name="Normal 6 3 2" xfId="461"/>
    <cellStyle name="Normal 6 3 3" xfId="482"/>
    <cellStyle name="Normal 7" xfId="176"/>
    <cellStyle name="Normal 8" xfId="359"/>
    <cellStyle name="Normal 8 2" xfId="480"/>
    <cellStyle name="Normal 9" xfId="360"/>
    <cellStyle name="Normal 9 2" xfId="481"/>
    <cellStyle name="Normal_01_2011 - Revenue True up" xfId="456"/>
    <cellStyle name="Normal_Attachment GG (2)" xfId="374"/>
    <cellStyle name="Normal_Attachment GG Example 8 26 09" xfId="459"/>
    <cellStyle name="Normal_Attachment GG Template ER09-1657" xfId="458"/>
    <cellStyle name="Normal_Attachment GG Template ER11-28 11-18-10" xfId="177"/>
    <cellStyle name="Normal_Attachment O Support - 2004 True-up" xfId="457"/>
    <cellStyle name="Normal_Attachment Os for 2002 True-up" xfId="178"/>
    <cellStyle name="Normal_Schedule O Info for Mike" xfId="4"/>
    <cellStyle name="Normal_Sheet1" xfId="376"/>
    <cellStyle name="Normal_Sheet3" xfId="375"/>
    <cellStyle name="Normal_Solomon Queries - wo Proj. &amp; Task 2" xfId="501"/>
    <cellStyle name="Normal_TE Ownership % - 2008" xfId="504"/>
    <cellStyle name="Note 2" xfId="417"/>
    <cellStyle name="Output 2" xfId="418"/>
    <cellStyle name="Output1_Back" xfId="179"/>
    <cellStyle name="p" xfId="180"/>
    <cellStyle name="p_2010 Attachment O  GG_082709" xfId="181"/>
    <cellStyle name="p_2010 Attachment O Template Supporting Work Papers_ITC Midwest" xfId="182"/>
    <cellStyle name="p_2010 Attachment O Template Supporting Work Papers_ITCTransmission" xfId="183"/>
    <cellStyle name="p_2010 Attachment O Template Supporting Work Papers_METC" xfId="184"/>
    <cellStyle name="p_2Mod11" xfId="185"/>
    <cellStyle name="p_aavidmod11.xls Chart 1" xfId="186"/>
    <cellStyle name="p_aavidmod11.xls Chart 2" xfId="187"/>
    <cellStyle name="p_Attachment O &amp; GG" xfId="188"/>
    <cellStyle name="p_charts for capm" xfId="189"/>
    <cellStyle name="p_DCF" xfId="190"/>
    <cellStyle name="p_DCF_2Mod11" xfId="191"/>
    <cellStyle name="p_DCF_aavidmod11.xls Chart 1" xfId="192"/>
    <cellStyle name="p_DCF_aavidmod11.xls Chart 2" xfId="193"/>
    <cellStyle name="p_DCF_charts for capm" xfId="194"/>
    <cellStyle name="p_DCF_DCF5" xfId="195"/>
    <cellStyle name="p_DCF_Template2" xfId="196"/>
    <cellStyle name="p_DCF_Template2_1" xfId="197"/>
    <cellStyle name="p_DCF_VERA" xfId="198"/>
    <cellStyle name="p_DCF_VERA_1" xfId="199"/>
    <cellStyle name="p_DCF_VERA_1_Template2" xfId="200"/>
    <cellStyle name="p_DCF_VERA_aavidmod11.xls Chart 2" xfId="201"/>
    <cellStyle name="p_DCF_VERA_Model02" xfId="202"/>
    <cellStyle name="p_DCF_VERA_Template2" xfId="203"/>
    <cellStyle name="p_DCF_VERA_VERA" xfId="204"/>
    <cellStyle name="p_DCF_VERA_VERA_1" xfId="205"/>
    <cellStyle name="p_DCF_VERA_VERA_2" xfId="206"/>
    <cellStyle name="p_DCF_VERA_VERA_Template2" xfId="207"/>
    <cellStyle name="p_DCF5" xfId="208"/>
    <cellStyle name="p_ITC Great Plains Formula 1-12-09a" xfId="209"/>
    <cellStyle name="p_ITCM 2010 Template" xfId="210"/>
    <cellStyle name="p_ITCMW 2009 Rate" xfId="211"/>
    <cellStyle name="p_ITCMW 2010 Rate_083109" xfId="212"/>
    <cellStyle name="p_ITCOP 2010 Rate_083109" xfId="213"/>
    <cellStyle name="p_ITCT 2009 Rate" xfId="214"/>
    <cellStyle name="p_ITCT New 2010 Attachment O &amp; GG_111209NL" xfId="215"/>
    <cellStyle name="p_METC 2010 Rate_083109" xfId="216"/>
    <cellStyle name="p_Template2" xfId="217"/>
    <cellStyle name="p_Template2_1" xfId="218"/>
    <cellStyle name="p_VERA" xfId="219"/>
    <cellStyle name="p_VERA_1" xfId="220"/>
    <cellStyle name="p_VERA_1_Template2" xfId="221"/>
    <cellStyle name="p_VERA_aavidmod11.xls Chart 2" xfId="222"/>
    <cellStyle name="p_VERA_Model02" xfId="223"/>
    <cellStyle name="p_VERA_Template2" xfId="224"/>
    <cellStyle name="p_VERA_VERA" xfId="225"/>
    <cellStyle name="p_VERA_VERA_1" xfId="226"/>
    <cellStyle name="p_VERA_VERA_2" xfId="227"/>
    <cellStyle name="p_VERA_VERA_Template2" xfId="228"/>
    <cellStyle name="p1" xfId="229"/>
    <cellStyle name="p2" xfId="230"/>
    <cellStyle name="p3" xfId="231"/>
    <cellStyle name="Percent" xfId="2" builtinId="5"/>
    <cellStyle name="Percent %" xfId="232"/>
    <cellStyle name="Percent % Long Underline" xfId="233"/>
    <cellStyle name="Percent (0)" xfId="234"/>
    <cellStyle name="Percent [0]" xfId="235"/>
    <cellStyle name="Percent [1]" xfId="236"/>
    <cellStyle name="Percent [2]" xfId="237"/>
    <cellStyle name="Percent [3]" xfId="238"/>
    <cellStyle name="Percent 0.0%" xfId="239"/>
    <cellStyle name="Percent 0.0% Long Underline" xfId="240"/>
    <cellStyle name="Percent 0.00%" xfId="241"/>
    <cellStyle name="Percent 0.00% Long Underline" xfId="242"/>
    <cellStyle name="Percent 0.000%" xfId="243"/>
    <cellStyle name="Percent 0.000% Long Underline" xfId="244"/>
    <cellStyle name="Percent 0.0000%" xfId="245"/>
    <cellStyle name="Percent 0.0000% Long Underline" xfId="246"/>
    <cellStyle name="Percent 10" xfId="361"/>
    <cellStyle name="Percent 11" xfId="362"/>
    <cellStyle name="Percent 12" xfId="363"/>
    <cellStyle name="Percent 13" xfId="364"/>
    <cellStyle name="Percent 14" xfId="365"/>
    <cellStyle name="Percent 15" xfId="366"/>
    <cellStyle name="Percent 16" xfId="367"/>
    <cellStyle name="Percent 17" xfId="368"/>
    <cellStyle name="Percent 18" xfId="432"/>
    <cellStyle name="Percent 18 2" xfId="441"/>
    <cellStyle name="Percent 18 2 2" xfId="447"/>
    <cellStyle name="Percent 18 2 2 2" xfId="453"/>
    <cellStyle name="Percent 18 2 2 3" xfId="499"/>
    <cellStyle name="Percent 18 2 3" xfId="493"/>
    <cellStyle name="Percent 18 3" xfId="487"/>
    <cellStyle name="Percent 19" xfId="437"/>
    <cellStyle name="Percent 19 2" xfId="444"/>
    <cellStyle name="Percent 19 2 2" xfId="450"/>
    <cellStyle name="Percent 19 2 3" xfId="496"/>
    <cellStyle name="Percent 19 3" xfId="489"/>
    <cellStyle name="Percent 2" xfId="247"/>
    <cellStyle name="Percent 2 2" xfId="248"/>
    <cellStyle name="Percent 2 3" xfId="429"/>
    <cellStyle name="Percent 3" xfId="249"/>
    <cellStyle name="Percent 3 2" xfId="250"/>
    <cellStyle name="Percent 4" xfId="251"/>
    <cellStyle name="Percent 5" xfId="369"/>
    <cellStyle name="Percent 6" xfId="370"/>
    <cellStyle name="Percent 7" xfId="371"/>
    <cellStyle name="Percent 8" xfId="372"/>
    <cellStyle name="Percent 9" xfId="373"/>
    <cellStyle name="Percent Input" xfId="252"/>
    <cellStyle name="Percent0" xfId="253"/>
    <cellStyle name="Percent1" xfId="254"/>
    <cellStyle name="Percent2" xfId="255"/>
    <cellStyle name="PSChar" xfId="256"/>
    <cellStyle name="PSDate" xfId="257"/>
    <cellStyle name="PSDec" xfId="258"/>
    <cellStyle name="PSdesc" xfId="259"/>
    <cellStyle name="PSHeading" xfId="260"/>
    <cellStyle name="PSHeading 2" xfId="468"/>
    <cellStyle name="PSInt" xfId="261"/>
    <cellStyle name="PSSpacer" xfId="262"/>
    <cellStyle name="PStest" xfId="263"/>
    <cellStyle name="R00A" xfId="264"/>
    <cellStyle name="R00B" xfId="265"/>
    <cellStyle name="R00L" xfId="266"/>
    <cellStyle name="R01A" xfId="267"/>
    <cellStyle name="R01B" xfId="268"/>
    <cellStyle name="R01H" xfId="269"/>
    <cellStyle name="R01L" xfId="270"/>
    <cellStyle name="R02A" xfId="271"/>
    <cellStyle name="R02B" xfId="272"/>
    <cellStyle name="R02H" xfId="273"/>
    <cellStyle name="R02L" xfId="274"/>
    <cellStyle name="R03A" xfId="275"/>
    <cellStyle name="R03B" xfId="276"/>
    <cellStyle name="R03H" xfId="277"/>
    <cellStyle name="R03L" xfId="278"/>
    <cellStyle name="R04A" xfId="279"/>
    <cellStyle name="R04B" xfId="280"/>
    <cellStyle name="R04H" xfId="281"/>
    <cellStyle name="R04L" xfId="282"/>
    <cellStyle name="R05A" xfId="283"/>
    <cellStyle name="R05B" xfId="284"/>
    <cellStyle name="R05H" xfId="285"/>
    <cellStyle name="R05L" xfId="286"/>
    <cellStyle name="R06A" xfId="287"/>
    <cellStyle name="R06B" xfId="288"/>
    <cellStyle name="R06H" xfId="289"/>
    <cellStyle name="R06L" xfId="290"/>
    <cellStyle name="R07A" xfId="291"/>
    <cellStyle name="R07B" xfId="292"/>
    <cellStyle name="R07H" xfId="293"/>
    <cellStyle name="R07L" xfId="294"/>
    <cellStyle name="rborder" xfId="295"/>
    <cellStyle name="red" xfId="296"/>
    <cellStyle name="s_HardInc " xfId="297"/>
    <cellStyle name="s_HardInc _ITC Great Plains Formula 1-12-09a" xfId="298"/>
    <cellStyle name="scenario" xfId="299"/>
    <cellStyle name="scenario 2" xfId="469"/>
    <cellStyle name="Sheetmult" xfId="300"/>
    <cellStyle name="Shtmultx" xfId="301"/>
    <cellStyle name="Style 1" xfId="302"/>
    <cellStyle name="STYLE1" xfId="303"/>
    <cellStyle name="STYLE2" xfId="304"/>
    <cellStyle name="TableHeading" xfId="305"/>
    <cellStyle name="tb" xfId="306"/>
    <cellStyle name="Tickmark" xfId="307"/>
    <cellStyle name="Title 2" xfId="419"/>
    <cellStyle name="Title1" xfId="308"/>
    <cellStyle name="top" xfId="309"/>
    <cellStyle name="Total 2" xfId="420"/>
    <cellStyle name="w" xfId="310"/>
    <cellStyle name="Warning Text 2" xfId="421"/>
    <cellStyle name="XComma" xfId="311"/>
    <cellStyle name="XComma 0.0" xfId="312"/>
    <cellStyle name="XComma 0.00" xfId="313"/>
    <cellStyle name="XComma 0.000" xfId="314"/>
    <cellStyle name="XCurrency" xfId="315"/>
    <cellStyle name="XCurrency 0.0" xfId="316"/>
    <cellStyle name="XCurrency 0.00" xfId="317"/>
    <cellStyle name="XCurrency 0.000" xfId="318"/>
    <cellStyle name="yra" xfId="319"/>
    <cellStyle name="yrActual" xfId="320"/>
    <cellStyle name="yre" xfId="321"/>
    <cellStyle name="yrExpect" xfId="322"/>
  </cellStyles>
  <dxfs count="0"/>
  <tableStyles count="0" defaultTableStyle="TableStyleMedium2" defaultPivotStyle="PivotStyleLight16"/>
  <colors>
    <mruColors>
      <color rgb="FF00FFFF"/>
      <color rgb="FFFFFFCC"/>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Tax\Accruals\2010\2010&#173;_Tax%20Accrua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x/Accruals/2010/2010&#173;_Tax%20Accrua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nancial%20Planning%20and%20Capital%20Allocation/2016%20Budget%20Planning/OASIS%20Posting%20(10.01.15)/01.05.16%20Posting/MISO-2016_ATC_Attach_O_GG_MM_Sch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tc.llc\atcdata\Taxes\Accruals\2007\Tax%20Accruals_20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Taxes\Accruals\2006\Tax%20Accruals_20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Sheet1"/>
      <sheetName val="Sheet1 (3)"/>
      <sheetName val="Sheet1 (2)"/>
    </sheetNames>
    <sheetDataSet>
      <sheetData sheetId="0" refreshError="1"/>
      <sheetData sheetId="1" refreshError="1"/>
      <sheetData sheetId="2"/>
      <sheetData sheetId="3"/>
      <sheetData sheetId="4"/>
      <sheetData sheetId="5"/>
      <sheetData sheetId="6"/>
      <sheetData sheetId="7"/>
      <sheetData sheetId="8" refreshError="1"/>
      <sheetData sheetId="9" refreshError="1"/>
      <sheetData sheetId="10"/>
      <sheetData sheetId="11"/>
      <sheetData sheetId="12"/>
      <sheetData sheetId="13" refreshError="1">
        <row r="9">
          <cell r="A9" t="str">
            <v>January</v>
          </cell>
          <cell r="B9">
            <v>0</v>
          </cell>
          <cell r="C9">
            <v>2703</v>
          </cell>
          <cell r="D9">
            <v>66283</v>
          </cell>
          <cell r="E9">
            <v>20425</v>
          </cell>
          <cell r="F9">
            <v>5131614</v>
          </cell>
          <cell r="H9">
            <v>63666</v>
          </cell>
          <cell r="I9">
            <v>813</v>
          </cell>
          <cell r="J9">
            <v>455</v>
          </cell>
          <cell r="K9">
            <v>-41229</v>
          </cell>
          <cell r="L9">
            <v>-12942</v>
          </cell>
          <cell r="N9">
            <v>254</v>
          </cell>
          <cell r="O9">
            <v>650</v>
          </cell>
        </row>
        <row r="10">
          <cell r="A10" t="str">
            <v>February</v>
          </cell>
          <cell r="B10">
            <v>0</v>
          </cell>
          <cell r="C10">
            <v>13283</v>
          </cell>
          <cell r="D10">
            <v>66283</v>
          </cell>
          <cell r="E10">
            <v>20425</v>
          </cell>
          <cell r="F10">
            <v>60311017</v>
          </cell>
          <cell r="H10">
            <v>63666</v>
          </cell>
          <cell r="I10">
            <v>817</v>
          </cell>
          <cell r="J10">
            <v>459</v>
          </cell>
          <cell r="K10">
            <v>-41229</v>
          </cell>
          <cell r="L10">
            <v>-12937</v>
          </cell>
          <cell r="N10">
            <v>254</v>
          </cell>
          <cell r="O10">
            <v>650</v>
          </cell>
        </row>
        <row r="11">
          <cell r="A11" t="str">
            <v>March</v>
          </cell>
          <cell r="B11">
            <v>0</v>
          </cell>
          <cell r="C11">
            <v>78389</v>
          </cell>
          <cell r="D11">
            <v>66283</v>
          </cell>
          <cell r="E11">
            <v>20425</v>
          </cell>
          <cell r="F11">
            <v>32789855</v>
          </cell>
          <cell r="H11">
            <v>63664</v>
          </cell>
          <cell r="I11">
            <v>817</v>
          </cell>
          <cell r="J11">
            <v>459</v>
          </cell>
          <cell r="K11">
            <v>-41229</v>
          </cell>
          <cell r="L11">
            <v>-12937</v>
          </cell>
          <cell r="N11">
            <v>254</v>
          </cell>
          <cell r="O11">
            <v>650</v>
          </cell>
        </row>
        <row r="12">
          <cell r="A12" t="str">
            <v>April</v>
          </cell>
          <cell r="B12">
            <v>0</v>
          </cell>
          <cell r="C12">
            <v>40780</v>
          </cell>
          <cell r="D12">
            <v>66283</v>
          </cell>
          <cell r="E12">
            <v>20425</v>
          </cell>
          <cell r="F12">
            <v>106496507</v>
          </cell>
          <cell r="H12">
            <v>63664</v>
          </cell>
          <cell r="I12">
            <v>817</v>
          </cell>
          <cell r="J12">
            <v>459</v>
          </cell>
          <cell r="K12">
            <v>-41229</v>
          </cell>
          <cell r="L12">
            <v>-12937</v>
          </cell>
          <cell r="N12">
            <v>254</v>
          </cell>
          <cell r="O12">
            <v>650</v>
          </cell>
        </row>
        <row r="13">
          <cell r="A13" t="str">
            <v>May</v>
          </cell>
          <cell r="B13">
            <v>0</v>
          </cell>
          <cell r="C13">
            <v>3020</v>
          </cell>
          <cell r="D13">
            <v>66283</v>
          </cell>
          <cell r="E13">
            <v>20425</v>
          </cell>
          <cell r="F13">
            <v>5871325</v>
          </cell>
          <cell r="H13">
            <v>63622</v>
          </cell>
          <cell r="I13">
            <v>817</v>
          </cell>
          <cell r="J13">
            <v>459</v>
          </cell>
          <cell r="K13">
            <v>-41229</v>
          </cell>
          <cell r="L13">
            <v>-12937</v>
          </cell>
          <cell r="N13">
            <v>254</v>
          </cell>
          <cell r="O13">
            <v>650</v>
          </cell>
        </row>
        <row r="14">
          <cell r="A14" t="str">
            <v>June</v>
          </cell>
          <cell r="C14">
            <v>48200</v>
          </cell>
          <cell r="D14">
            <v>40385</v>
          </cell>
          <cell r="E14">
            <v>20425</v>
          </cell>
          <cell r="F14">
            <v>34584337</v>
          </cell>
          <cell r="H14">
            <v>63618</v>
          </cell>
          <cell r="I14">
            <v>817</v>
          </cell>
          <cell r="J14">
            <v>459</v>
          </cell>
          <cell r="K14">
            <v>-41229</v>
          </cell>
          <cell r="L14">
            <v>-12937</v>
          </cell>
          <cell r="N14">
            <v>254</v>
          </cell>
          <cell r="O14">
            <v>650</v>
          </cell>
        </row>
        <row r="15">
          <cell r="A15" t="str">
            <v>July</v>
          </cell>
          <cell r="C15">
            <v>3383</v>
          </cell>
          <cell r="D15">
            <v>62000</v>
          </cell>
          <cell r="E15">
            <v>20425</v>
          </cell>
          <cell r="F15">
            <v>5931714</v>
          </cell>
          <cell r="H15">
            <v>63600</v>
          </cell>
          <cell r="I15">
            <v>817</v>
          </cell>
          <cell r="J15">
            <v>459</v>
          </cell>
          <cell r="K15">
            <v>-41229</v>
          </cell>
          <cell r="L15">
            <v>-12937</v>
          </cell>
          <cell r="N15">
            <v>254</v>
          </cell>
          <cell r="O15">
            <v>650</v>
          </cell>
        </row>
        <row r="16">
          <cell r="A16" t="str">
            <v>August</v>
          </cell>
          <cell r="C16">
            <v>2950</v>
          </cell>
          <cell r="D16">
            <v>62000</v>
          </cell>
          <cell r="E16">
            <v>20425</v>
          </cell>
          <cell r="F16">
            <v>1901982</v>
          </cell>
          <cell r="H16">
            <v>63599</v>
          </cell>
          <cell r="I16">
            <v>817</v>
          </cell>
          <cell r="J16">
            <v>459</v>
          </cell>
          <cell r="K16">
            <v>-41229</v>
          </cell>
          <cell r="L16">
            <v>-12937</v>
          </cell>
          <cell r="N16">
            <v>254</v>
          </cell>
          <cell r="O16">
            <v>650</v>
          </cell>
        </row>
        <row r="17">
          <cell r="A17" t="str">
            <v>September</v>
          </cell>
          <cell r="C17">
            <v>49933</v>
          </cell>
          <cell r="D17">
            <v>62000</v>
          </cell>
          <cell r="E17">
            <v>20425</v>
          </cell>
          <cell r="F17">
            <v>2840402</v>
          </cell>
          <cell r="H17">
            <v>63590</v>
          </cell>
          <cell r="I17">
            <v>817</v>
          </cell>
          <cell r="J17">
            <v>459</v>
          </cell>
          <cell r="K17">
            <v>-41229</v>
          </cell>
          <cell r="L17">
            <v>-12937</v>
          </cell>
          <cell r="N17">
            <v>254</v>
          </cell>
          <cell r="O17">
            <v>650</v>
          </cell>
        </row>
        <row r="18">
          <cell r="A18" t="str">
            <v>October</v>
          </cell>
          <cell r="C18">
            <v>2941</v>
          </cell>
          <cell r="D18">
            <v>62000</v>
          </cell>
          <cell r="E18">
            <v>20425</v>
          </cell>
          <cell r="F18">
            <v>15689638</v>
          </cell>
          <cell r="H18">
            <v>63590</v>
          </cell>
          <cell r="I18">
            <v>817</v>
          </cell>
          <cell r="J18">
            <v>459</v>
          </cell>
          <cell r="K18">
            <v>-41229</v>
          </cell>
          <cell r="L18">
            <v>-12937</v>
          </cell>
          <cell r="N18">
            <v>254</v>
          </cell>
          <cell r="O18">
            <v>650</v>
          </cell>
        </row>
        <row r="19">
          <cell r="A19" t="str">
            <v>November</v>
          </cell>
          <cell r="D19">
            <v>62000</v>
          </cell>
          <cell r="E19">
            <v>20425</v>
          </cell>
          <cell r="F19">
            <v>29254795</v>
          </cell>
          <cell r="H19">
            <v>63590</v>
          </cell>
          <cell r="I19">
            <v>817</v>
          </cell>
          <cell r="J19">
            <v>459</v>
          </cell>
          <cell r="K19">
            <v>-41229</v>
          </cell>
          <cell r="L19">
            <v>-12937</v>
          </cell>
          <cell r="N19">
            <v>254</v>
          </cell>
          <cell r="O19">
            <v>650</v>
          </cell>
        </row>
        <row r="20">
          <cell r="A20" t="str">
            <v>December</v>
          </cell>
          <cell r="C20">
            <v>55642</v>
          </cell>
          <cell r="D20">
            <v>62000</v>
          </cell>
          <cell r="E20">
            <v>20425</v>
          </cell>
          <cell r="F20">
            <v>32095923</v>
          </cell>
          <cell r="H20">
            <v>63590</v>
          </cell>
          <cell r="I20">
            <v>817</v>
          </cell>
          <cell r="J20">
            <v>459</v>
          </cell>
          <cell r="K20">
            <v>-41229</v>
          </cell>
          <cell r="L20">
            <v>-12937</v>
          </cell>
          <cell r="N20">
            <v>254</v>
          </cell>
          <cell r="O20">
            <v>650</v>
          </cell>
        </row>
        <row r="24">
          <cell r="A24" t="str">
            <v>January</v>
          </cell>
        </row>
        <row r="25">
          <cell r="A25" t="str">
            <v>February</v>
          </cell>
        </row>
        <row r="26">
          <cell r="A26" t="str">
            <v>March</v>
          </cell>
        </row>
        <row r="27">
          <cell r="A27" t="str">
            <v>April</v>
          </cell>
        </row>
        <row r="28">
          <cell r="A28" t="str">
            <v>May</v>
          </cell>
        </row>
        <row r="29">
          <cell r="A29" t="str">
            <v>June</v>
          </cell>
        </row>
        <row r="30">
          <cell r="A30" t="str">
            <v>July</v>
          </cell>
        </row>
        <row r="31">
          <cell r="A31" t="str">
            <v>August</v>
          </cell>
        </row>
        <row r="32">
          <cell r="A32" t="str">
            <v>September</v>
          </cell>
        </row>
        <row r="33">
          <cell r="A33" t="str">
            <v>October</v>
          </cell>
        </row>
        <row r="34">
          <cell r="A34" t="str">
            <v>November</v>
          </cell>
        </row>
        <row r="35">
          <cell r="A35" t="str">
            <v>December</v>
          </cell>
        </row>
      </sheetData>
      <sheetData sheetId="14"/>
      <sheetData sheetId="15"/>
      <sheetData sheetId="16" refreshError="1"/>
      <sheetData sheetId="17" refreshError="1"/>
      <sheetData sheetId="18" refreshError="1"/>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3)"/>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Sheet1"/>
      <sheetName val="Sheet1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9">
          <cell r="A9" t="str">
            <v>January</v>
          </cell>
          <cell r="B9">
            <v>0</v>
          </cell>
          <cell r="C9">
            <v>2703</v>
          </cell>
          <cell r="D9">
            <v>66283</v>
          </cell>
          <cell r="E9">
            <v>20425</v>
          </cell>
          <cell r="F9">
            <v>5131614</v>
          </cell>
          <cell r="H9">
            <v>63666</v>
          </cell>
          <cell r="I9">
            <v>813</v>
          </cell>
          <cell r="J9">
            <v>455</v>
          </cell>
          <cell r="K9">
            <v>-41229</v>
          </cell>
          <cell r="L9">
            <v>-12942</v>
          </cell>
          <cell r="N9">
            <v>254</v>
          </cell>
          <cell r="O9">
            <v>650</v>
          </cell>
        </row>
        <row r="10">
          <cell r="A10" t="str">
            <v>February</v>
          </cell>
          <cell r="B10">
            <v>0</v>
          </cell>
          <cell r="C10">
            <v>13283</v>
          </cell>
          <cell r="D10">
            <v>66283</v>
          </cell>
          <cell r="E10">
            <v>20425</v>
          </cell>
          <cell r="F10">
            <v>60311017</v>
          </cell>
          <cell r="H10">
            <v>63666</v>
          </cell>
          <cell r="I10">
            <v>817</v>
          </cell>
          <cell r="J10">
            <v>459</v>
          </cell>
          <cell r="K10">
            <v>-41229</v>
          </cell>
          <cell r="L10">
            <v>-12937</v>
          </cell>
          <cell r="N10">
            <v>254</v>
          </cell>
          <cell r="O10">
            <v>650</v>
          </cell>
        </row>
        <row r="11">
          <cell r="A11" t="str">
            <v>March</v>
          </cell>
          <cell r="B11">
            <v>0</v>
          </cell>
          <cell r="C11">
            <v>78389</v>
          </cell>
          <cell r="D11">
            <v>66283</v>
          </cell>
          <cell r="E11">
            <v>20425</v>
          </cell>
          <cell r="F11">
            <v>32789855</v>
          </cell>
          <cell r="H11">
            <v>63664</v>
          </cell>
          <cell r="I11">
            <v>817</v>
          </cell>
          <cell r="J11">
            <v>459</v>
          </cell>
          <cell r="K11">
            <v>-41229</v>
          </cell>
          <cell r="L11">
            <v>-12937</v>
          </cell>
          <cell r="N11">
            <v>254</v>
          </cell>
          <cell r="O11">
            <v>650</v>
          </cell>
        </row>
        <row r="12">
          <cell r="A12" t="str">
            <v>April</v>
          </cell>
          <cell r="B12">
            <v>0</v>
          </cell>
          <cell r="C12">
            <v>40780</v>
          </cell>
          <cell r="D12">
            <v>66283</v>
          </cell>
          <cell r="E12">
            <v>20425</v>
          </cell>
          <cell r="F12">
            <v>106496507</v>
          </cell>
          <cell r="H12">
            <v>63664</v>
          </cell>
          <cell r="I12">
            <v>817</v>
          </cell>
          <cell r="J12">
            <v>459</v>
          </cell>
          <cell r="K12">
            <v>-41229</v>
          </cell>
          <cell r="L12">
            <v>-12937</v>
          </cell>
          <cell r="N12">
            <v>254</v>
          </cell>
          <cell r="O12">
            <v>650</v>
          </cell>
        </row>
        <row r="13">
          <cell r="A13" t="str">
            <v>May</v>
          </cell>
          <cell r="B13">
            <v>0</v>
          </cell>
          <cell r="C13">
            <v>3020</v>
          </cell>
          <cell r="D13">
            <v>66283</v>
          </cell>
          <cell r="E13">
            <v>20425</v>
          </cell>
          <cell r="F13">
            <v>5871325</v>
          </cell>
          <cell r="H13">
            <v>63622</v>
          </cell>
          <cell r="I13">
            <v>817</v>
          </cell>
          <cell r="J13">
            <v>459</v>
          </cell>
          <cell r="K13">
            <v>-41229</v>
          </cell>
          <cell r="L13">
            <v>-12937</v>
          </cell>
          <cell r="N13">
            <v>254</v>
          </cell>
          <cell r="O13">
            <v>650</v>
          </cell>
        </row>
        <row r="14">
          <cell r="A14" t="str">
            <v>June</v>
          </cell>
          <cell r="C14">
            <v>48200</v>
          </cell>
          <cell r="D14">
            <v>40385</v>
          </cell>
          <cell r="E14">
            <v>20425</v>
          </cell>
          <cell r="F14">
            <v>34584337</v>
          </cell>
          <cell r="H14">
            <v>63618</v>
          </cell>
          <cell r="I14">
            <v>817</v>
          </cell>
          <cell r="J14">
            <v>459</v>
          </cell>
          <cell r="K14">
            <v>-41229</v>
          </cell>
          <cell r="L14">
            <v>-12937</v>
          </cell>
          <cell r="N14">
            <v>254</v>
          </cell>
          <cell r="O14">
            <v>650</v>
          </cell>
        </row>
        <row r="15">
          <cell r="A15" t="str">
            <v>July</v>
          </cell>
          <cell r="C15">
            <v>3383</v>
          </cell>
          <cell r="D15">
            <v>62000</v>
          </cell>
          <cell r="E15">
            <v>20425</v>
          </cell>
          <cell r="F15">
            <v>5931714</v>
          </cell>
          <cell r="H15">
            <v>63600</v>
          </cell>
          <cell r="I15">
            <v>817</v>
          </cell>
          <cell r="J15">
            <v>459</v>
          </cell>
          <cell r="K15">
            <v>-41229</v>
          </cell>
          <cell r="L15">
            <v>-12937</v>
          </cell>
          <cell r="N15">
            <v>254</v>
          </cell>
          <cell r="O15">
            <v>650</v>
          </cell>
        </row>
        <row r="16">
          <cell r="A16" t="str">
            <v>August</v>
          </cell>
          <cell r="C16">
            <v>2950</v>
          </cell>
          <cell r="D16">
            <v>62000</v>
          </cell>
          <cell r="E16">
            <v>20425</v>
          </cell>
          <cell r="F16">
            <v>1901982</v>
          </cell>
          <cell r="H16">
            <v>63599</v>
          </cell>
          <cell r="I16">
            <v>817</v>
          </cell>
          <cell r="J16">
            <v>459</v>
          </cell>
          <cell r="K16">
            <v>-41229</v>
          </cell>
          <cell r="L16">
            <v>-12937</v>
          </cell>
          <cell r="N16">
            <v>254</v>
          </cell>
          <cell r="O16">
            <v>650</v>
          </cell>
        </row>
        <row r="17">
          <cell r="A17" t="str">
            <v>September</v>
          </cell>
          <cell r="C17">
            <v>49933</v>
          </cell>
          <cell r="D17">
            <v>82300</v>
          </cell>
          <cell r="E17">
            <v>64100</v>
          </cell>
          <cell r="F17">
            <v>-34245765</v>
          </cell>
          <cell r="H17">
            <v>63590</v>
          </cell>
          <cell r="I17">
            <v>817</v>
          </cell>
          <cell r="J17">
            <v>459</v>
          </cell>
          <cell r="K17">
            <v>-41229</v>
          </cell>
          <cell r="L17">
            <v>-12937</v>
          </cell>
          <cell r="N17">
            <v>254</v>
          </cell>
          <cell r="O17">
            <v>650</v>
          </cell>
        </row>
        <row r="18">
          <cell r="A18" t="str">
            <v>October</v>
          </cell>
          <cell r="C18">
            <v>2941</v>
          </cell>
          <cell r="D18">
            <v>64300</v>
          </cell>
          <cell r="E18">
            <v>25300</v>
          </cell>
          <cell r="F18">
            <v>15689638</v>
          </cell>
          <cell r="H18">
            <v>63590</v>
          </cell>
          <cell r="I18">
            <v>817</v>
          </cell>
          <cell r="J18">
            <v>459</v>
          </cell>
          <cell r="K18">
            <v>-41229</v>
          </cell>
          <cell r="L18">
            <v>-12937</v>
          </cell>
          <cell r="N18">
            <v>254</v>
          </cell>
          <cell r="O18">
            <v>650</v>
          </cell>
        </row>
        <row r="19">
          <cell r="A19" t="str">
            <v>November</v>
          </cell>
          <cell r="D19">
            <v>64300</v>
          </cell>
          <cell r="E19">
            <v>25300</v>
          </cell>
          <cell r="F19">
            <v>29254795</v>
          </cell>
          <cell r="H19">
            <v>63590</v>
          </cell>
          <cell r="I19">
            <v>817</v>
          </cell>
          <cell r="J19">
            <v>459</v>
          </cell>
          <cell r="K19">
            <v>-41229</v>
          </cell>
          <cell r="L19">
            <v>-12937</v>
          </cell>
          <cell r="N19">
            <v>254</v>
          </cell>
          <cell r="O19">
            <v>650</v>
          </cell>
        </row>
        <row r="20">
          <cell r="A20" t="str">
            <v>December</v>
          </cell>
          <cell r="C20">
            <v>55642</v>
          </cell>
          <cell r="D20">
            <v>64300</v>
          </cell>
          <cell r="E20">
            <v>25300</v>
          </cell>
          <cell r="F20">
            <v>30912554</v>
          </cell>
          <cell r="H20">
            <v>63590</v>
          </cell>
          <cell r="I20">
            <v>817</v>
          </cell>
          <cell r="J20">
            <v>459</v>
          </cell>
          <cell r="K20">
            <v>-41229</v>
          </cell>
          <cell r="L20">
            <v>-12937</v>
          </cell>
          <cell r="N20">
            <v>254</v>
          </cell>
          <cell r="O20">
            <v>650</v>
          </cell>
        </row>
        <row r="24">
          <cell r="A24" t="str">
            <v>January</v>
          </cell>
        </row>
        <row r="25">
          <cell r="A25" t="str">
            <v>February</v>
          </cell>
        </row>
        <row r="26">
          <cell r="A26" t="str">
            <v>March</v>
          </cell>
        </row>
        <row r="27">
          <cell r="A27" t="str">
            <v>April</v>
          </cell>
        </row>
        <row r="28">
          <cell r="A28" t="str">
            <v>May</v>
          </cell>
        </row>
        <row r="29">
          <cell r="A29" t="str">
            <v>June</v>
          </cell>
        </row>
        <row r="30">
          <cell r="A30" t="str">
            <v>July</v>
          </cell>
        </row>
        <row r="31">
          <cell r="A31" t="str">
            <v>August</v>
          </cell>
        </row>
        <row r="32">
          <cell r="A32" t="str">
            <v>September</v>
          </cell>
        </row>
        <row r="33">
          <cell r="A33" t="str">
            <v>October</v>
          </cell>
        </row>
        <row r="34">
          <cell r="A34" t="str">
            <v>November</v>
          </cell>
        </row>
        <row r="35">
          <cell r="A35" t="str">
            <v>December</v>
          </cell>
        </row>
      </sheetData>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C Attach O ER13-1181"/>
      <sheetName val="Plant Balances (pg. 2) "/>
      <sheetName val="Expense (pg. 3) "/>
      <sheetName val="Wages &amp; Salaries (pg. 4)"/>
      <sheetName val=" Weighted Cost of Debt (pg. 4)"/>
      <sheetName val="Revenue (pg. 4)"/>
      <sheetName val="SIT (pg. 5)"/>
      <sheetName val="TEP (pg. 5)"/>
      <sheetName val="Precert Exp"/>
      <sheetName val="ATC Attach GG ER13-2297"/>
      <sheetName val="GG Support Data"/>
      <sheetName val="GG Plant Balances"/>
      <sheetName val="GG Project Descriptions"/>
      <sheetName val="GG True-up Template"/>
      <sheetName val="GG True-up Int"/>
      <sheetName val="352 Correction (Sch 26)"/>
      <sheetName val="GIP Dep Correction (Sch 26)"/>
      <sheetName val="ATC Attach MM ER13-12"/>
      <sheetName val="MM Support Data"/>
      <sheetName val="MM Plant Balances"/>
      <sheetName val="MM Project Descriptions"/>
      <sheetName val="MM True-up Template"/>
      <sheetName val="MM True-up Int"/>
      <sheetName val="Schedule 9"/>
      <sheetName val="Schedule 8 - Non-Firm"/>
      <sheetName val="Schedule 7 - Firm"/>
      <sheetName val="Network TU-TU Int"/>
      <sheetName val="352 Correction (Sch 9)"/>
      <sheetName val="GIP Dep Correction (Sch 9)"/>
      <sheetName val="Network True-up Int"/>
      <sheetName val="Schedule 1"/>
      <sheetName val="Schedule 1 - True up"/>
      <sheetName val="Sch 1 True-up 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8">
          <cell r="C8">
            <v>345</v>
          </cell>
          <cell r="D8">
            <v>1453</v>
          </cell>
          <cell r="E8">
            <v>352</v>
          </cell>
          <cell r="F8">
            <v>356</v>
          </cell>
          <cell r="G8">
            <v>1616</v>
          </cell>
          <cell r="H8" t="str">
            <v>2452 / 3160</v>
          </cell>
          <cell r="I8">
            <v>2837</v>
          </cell>
          <cell r="J8">
            <v>2793</v>
          </cell>
          <cell r="K8">
            <v>1950</v>
          </cell>
          <cell r="L8">
            <v>3206</v>
          </cell>
          <cell r="M8">
            <v>2846</v>
          </cell>
          <cell r="N8">
            <v>1270</v>
          </cell>
          <cell r="O8">
            <v>3125</v>
          </cell>
          <cell r="P8">
            <v>3679</v>
          </cell>
        </row>
        <row r="9">
          <cell r="C9" t="str">
            <v>ATC</v>
          </cell>
          <cell r="D9" t="str">
            <v>ATC</v>
          </cell>
          <cell r="E9" t="str">
            <v>ATC</v>
          </cell>
          <cell r="F9" t="str">
            <v>ATC</v>
          </cell>
          <cell r="G9" t="str">
            <v>ATC</v>
          </cell>
          <cell r="H9" t="str">
            <v>ATC</v>
          </cell>
          <cell r="I9" t="str">
            <v>ATC</v>
          </cell>
          <cell r="J9" t="str">
            <v>ATC</v>
          </cell>
          <cell r="K9" t="str">
            <v>ATC</v>
          </cell>
          <cell r="L9" t="str">
            <v>ATC</v>
          </cell>
          <cell r="M9" t="str">
            <v>ATC</v>
          </cell>
          <cell r="N9" t="str">
            <v>ATC</v>
          </cell>
          <cell r="O9" t="str">
            <v>ATC</v>
          </cell>
          <cell r="P9" t="str">
            <v>ATC</v>
          </cell>
        </row>
        <row r="10">
          <cell r="C10" t="str">
            <v>Reliability</v>
          </cell>
          <cell r="D10" t="str">
            <v>Reliability</v>
          </cell>
          <cell r="E10" t="str">
            <v>Reliability</v>
          </cell>
          <cell r="F10" t="str">
            <v>Reliability</v>
          </cell>
          <cell r="G10" t="str">
            <v>GIP</v>
          </cell>
          <cell r="H10" t="str">
            <v>GIP</v>
          </cell>
          <cell r="I10" t="str">
            <v>GIP</v>
          </cell>
          <cell r="J10" t="str">
            <v>GIP</v>
          </cell>
          <cell r="K10" t="str">
            <v>Reliability</v>
          </cell>
          <cell r="L10" t="str">
            <v>Reliability</v>
          </cell>
          <cell r="M10" t="str">
            <v>Reliability</v>
          </cell>
          <cell r="N10" t="str">
            <v>Reliability</v>
          </cell>
          <cell r="O10" t="str">
            <v>Reliability</v>
          </cell>
          <cell r="P10" t="str">
            <v>Reliability</v>
          </cell>
        </row>
        <row r="11">
          <cell r="C11">
            <v>148505802.68000001</v>
          </cell>
          <cell r="D11">
            <v>8751971.6799999997</v>
          </cell>
          <cell r="E11">
            <v>88220916.11999999</v>
          </cell>
          <cell r="F11">
            <v>141173979.72999996</v>
          </cell>
          <cell r="G11">
            <v>1379725.86</v>
          </cell>
          <cell r="H11">
            <v>2141426.6300000004</v>
          </cell>
          <cell r="I11">
            <v>626602.79500000004</v>
          </cell>
          <cell r="J11">
            <v>405929.96500000003</v>
          </cell>
          <cell r="K11">
            <v>15402302.789999999</v>
          </cell>
          <cell r="L11">
            <v>139585.07999999999</v>
          </cell>
          <cell r="M11">
            <v>124237815.72999999</v>
          </cell>
          <cell r="N11">
            <v>0</v>
          </cell>
          <cell r="O11">
            <v>26412831.860000003</v>
          </cell>
          <cell r="P11">
            <v>71256447.754866093</v>
          </cell>
        </row>
        <row r="12">
          <cell r="C12">
            <v>148505802.68000001</v>
          </cell>
          <cell r="D12">
            <v>8751971.6799999997</v>
          </cell>
          <cell r="E12">
            <v>88220916.11999999</v>
          </cell>
          <cell r="F12">
            <v>141173979.72999996</v>
          </cell>
          <cell r="G12">
            <v>1379725.86</v>
          </cell>
          <cell r="H12">
            <v>2141426.6300000004</v>
          </cell>
          <cell r="I12">
            <v>626602.79500000004</v>
          </cell>
          <cell r="J12">
            <v>405929.96500000003</v>
          </cell>
          <cell r="K12">
            <v>15402302.789999999</v>
          </cell>
          <cell r="L12">
            <v>253131.32</v>
          </cell>
          <cell r="M12">
            <v>124237815.72999999</v>
          </cell>
          <cell r="N12">
            <v>0</v>
          </cell>
          <cell r="O12">
            <v>26432533.040000003</v>
          </cell>
          <cell r="P12">
            <v>74746949.625949591</v>
          </cell>
        </row>
        <row r="13">
          <cell r="C13">
            <v>148505802.68000001</v>
          </cell>
          <cell r="D13">
            <v>8751971.6799999997</v>
          </cell>
          <cell r="E13">
            <v>88220916.11999999</v>
          </cell>
          <cell r="F13">
            <v>141173979.72999996</v>
          </cell>
          <cell r="G13">
            <v>1379725.86</v>
          </cell>
          <cell r="H13">
            <v>2141426.6300000004</v>
          </cell>
          <cell r="I13">
            <v>626602.79500000004</v>
          </cell>
          <cell r="J13">
            <v>405929.96500000003</v>
          </cell>
          <cell r="K13">
            <v>15402302.789999999</v>
          </cell>
          <cell r="L13">
            <v>376283.91</v>
          </cell>
          <cell r="M13">
            <v>124237815.72999999</v>
          </cell>
          <cell r="N13">
            <v>0</v>
          </cell>
          <cell r="O13">
            <v>26454360.780000001</v>
          </cell>
          <cell r="P13">
            <v>78003340.555911258</v>
          </cell>
        </row>
        <row r="14">
          <cell r="C14">
            <v>148505802.68000001</v>
          </cell>
          <cell r="D14">
            <v>8751971.6799999997</v>
          </cell>
          <cell r="E14">
            <v>88220916.11999999</v>
          </cell>
          <cell r="F14">
            <v>141173979.72999996</v>
          </cell>
          <cell r="G14">
            <v>1379725.86</v>
          </cell>
          <cell r="H14">
            <v>2141426.6300000004</v>
          </cell>
          <cell r="I14">
            <v>626602.79500000004</v>
          </cell>
          <cell r="J14">
            <v>405929.96500000003</v>
          </cell>
          <cell r="K14">
            <v>15402302.789999999</v>
          </cell>
          <cell r="L14">
            <v>519983.52999999997</v>
          </cell>
          <cell r="M14">
            <v>124237815.72999999</v>
          </cell>
          <cell r="N14">
            <v>0</v>
          </cell>
          <cell r="O14">
            <v>26461606.859999999</v>
          </cell>
          <cell r="P14">
            <v>81406358.006168902</v>
          </cell>
        </row>
        <row r="15">
          <cell r="C15">
            <v>148505802.68000001</v>
          </cell>
          <cell r="D15">
            <v>8751971.6799999997</v>
          </cell>
          <cell r="E15">
            <v>88220916.11999999</v>
          </cell>
          <cell r="F15">
            <v>141173979.72999996</v>
          </cell>
          <cell r="G15">
            <v>1379725.86</v>
          </cell>
          <cell r="H15">
            <v>2141426.6300000004</v>
          </cell>
          <cell r="I15">
            <v>626602.79500000004</v>
          </cell>
          <cell r="J15">
            <v>405929.96500000003</v>
          </cell>
          <cell r="K15">
            <v>15402302.789999999</v>
          </cell>
          <cell r="L15">
            <v>661746.85</v>
          </cell>
          <cell r="M15">
            <v>124237815.72999999</v>
          </cell>
          <cell r="N15">
            <v>0</v>
          </cell>
          <cell r="O15">
            <v>26461606.859999999</v>
          </cell>
          <cell r="P15">
            <v>84565275.131990001</v>
          </cell>
        </row>
        <row r="16">
          <cell r="C16">
            <v>148505802.68000001</v>
          </cell>
          <cell r="D16">
            <v>8751971.6799999997</v>
          </cell>
          <cell r="E16">
            <v>88220916.11999999</v>
          </cell>
          <cell r="F16">
            <v>141173979.72999996</v>
          </cell>
          <cell r="G16">
            <v>1379725.86</v>
          </cell>
          <cell r="H16">
            <v>2141426.6300000004</v>
          </cell>
          <cell r="I16">
            <v>626602.79500000004</v>
          </cell>
          <cell r="J16">
            <v>405929.96500000003</v>
          </cell>
          <cell r="K16">
            <v>15402302.789999999</v>
          </cell>
          <cell r="L16">
            <v>809997.02</v>
          </cell>
          <cell r="M16">
            <v>124237815.72999999</v>
          </cell>
          <cell r="N16">
            <v>0</v>
          </cell>
          <cell r="O16">
            <v>26461606.859999999</v>
          </cell>
          <cell r="P16">
            <v>88061536.413053334</v>
          </cell>
        </row>
        <row r="17">
          <cell r="C17">
            <v>148505802.68000001</v>
          </cell>
          <cell r="D17">
            <v>8751971.6799999997</v>
          </cell>
          <cell r="E17">
            <v>88220916.11999999</v>
          </cell>
          <cell r="F17">
            <v>141173979.72999996</v>
          </cell>
          <cell r="G17">
            <v>1379725.86</v>
          </cell>
          <cell r="H17">
            <v>2141426.6300000004</v>
          </cell>
          <cell r="I17">
            <v>626602.79500000004</v>
          </cell>
          <cell r="J17">
            <v>405929.96500000003</v>
          </cell>
          <cell r="K17">
            <v>15402302.789999999</v>
          </cell>
          <cell r="L17">
            <v>1307795.23</v>
          </cell>
          <cell r="M17">
            <v>124237815.72999999</v>
          </cell>
          <cell r="N17">
            <v>0</v>
          </cell>
          <cell r="O17">
            <v>26461606.859999999</v>
          </cell>
          <cell r="P17">
            <v>92533465.443882585</v>
          </cell>
        </row>
        <row r="18">
          <cell r="C18">
            <v>148505802.68000001</v>
          </cell>
          <cell r="D18">
            <v>8751971.6799999997</v>
          </cell>
          <cell r="E18">
            <v>88220916.11999999</v>
          </cell>
          <cell r="F18">
            <v>141173979.72999996</v>
          </cell>
          <cell r="G18">
            <v>1379725.86</v>
          </cell>
          <cell r="H18">
            <v>2141426.6300000004</v>
          </cell>
          <cell r="I18">
            <v>626602.79500000004</v>
          </cell>
          <cell r="J18">
            <v>405929.96500000003</v>
          </cell>
          <cell r="K18">
            <v>15402302.789999999</v>
          </cell>
          <cell r="L18">
            <v>1464979.76</v>
          </cell>
          <cell r="M18">
            <v>124237815.72999999</v>
          </cell>
          <cell r="N18">
            <v>0</v>
          </cell>
          <cell r="O18">
            <v>26461606.859999999</v>
          </cell>
          <cell r="P18">
            <v>104230051.44256267</v>
          </cell>
        </row>
        <row r="19">
          <cell r="C19">
            <v>148505802.68000001</v>
          </cell>
          <cell r="D19">
            <v>8751971.6799999997</v>
          </cell>
          <cell r="E19">
            <v>88220916.11999999</v>
          </cell>
          <cell r="F19">
            <v>141173979.72999996</v>
          </cell>
          <cell r="G19">
            <v>1379725.86</v>
          </cell>
          <cell r="H19">
            <v>2141426.6300000004</v>
          </cell>
          <cell r="I19">
            <v>626602.79500000004</v>
          </cell>
          <cell r="J19">
            <v>405929.96500000003</v>
          </cell>
          <cell r="K19">
            <v>15402302.789999999</v>
          </cell>
          <cell r="L19">
            <v>1627389.76</v>
          </cell>
          <cell r="M19">
            <v>124237815.72999999</v>
          </cell>
          <cell r="N19">
            <v>0</v>
          </cell>
          <cell r="O19">
            <v>26461606.859999999</v>
          </cell>
          <cell r="P19">
            <v>114148658.1692242</v>
          </cell>
        </row>
        <row r="20">
          <cell r="C20">
            <v>148505802.68000001</v>
          </cell>
          <cell r="D20">
            <v>8751971.6799999997</v>
          </cell>
          <cell r="E20">
            <v>88220916.11999999</v>
          </cell>
          <cell r="F20">
            <v>141173979.72999996</v>
          </cell>
          <cell r="G20">
            <v>1379725.86</v>
          </cell>
          <cell r="H20">
            <v>2141426.6300000004</v>
          </cell>
          <cell r="I20">
            <v>626602.79500000004</v>
          </cell>
          <cell r="J20">
            <v>405929.96500000003</v>
          </cell>
          <cell r="K20">
            <v>15402302.789999999</v>
          </cell>
          <cell r="L20">
            <v>1786572.29</v>
          </cell>
          <cell r="M20">
            <v>124237815.72999999</v>
          </cell>
          <cell r="N20">
            <v>0</v>
          </cell>
          <cell r="O20">
            <v>26461606.859999999</v>
          </cell>
          <cell r="P20">
            <v>120459563.33155644</v>
          </cell>
        </row>
        <row r="21">
          <cell r="C21">
            <v>148505802.68000001</v>
          </cell>
          <cell r="D21">
            <v>8751971.6799999997</v>
          </cell>
          <cell r="E21">
            <v>88220916.11999999</v>
          </cell>
          <cell r="F21">
            <v>141173979.72999996</v>
          </cell>
          <cell r="G21">
            <v>1379725.86</v>
          </cell>
          <cell r="H21">
            <v>2141426.6300000004</v>
          </cell>
          <cell r="I21">
            <v>626602.79500000004</v>
          </cell>
          <cell r="J21">
            <v>405929.96500000003</v>
          </cell>
          <cell r="K21">
            <v>15402302.789999999</v>
          </cell>
          <cell r="L21">
            <v>1933748.1</v>
          </cell>
          <cell r="M21">
            <v>124237815.72999999</v>
          </cell>
          <cell r="N21">
            <v>0</v>
          </cell>
          <cell r="O21">
            <v>26461606.859999999</v>
          </cell>
          <cell r="P21">
            <v>128612477.79526778</v>
          </cell>
        </row>
        <row r="22">
          <cell r="C22">
            <v>148505802.68000001</v>
          </cell>
          <cell r="D22">
            <v>8751971.6799999997</v>
          </cell>
          <cell r="E22">
            <v>88220916.11999999</v>
          </cell>
          <cell r="F22">
            <v>141173979.72999996</v>
          </cell>
          <cell r="G22">
            <v>1379725.86</v>
          </cell>
          <cell r="H22">
            <v>2141426.6300000004</v>
          </cell>
          <cell r="I22">
            <v>626602.79500000004</v>
          </cell>
          <cell r="J22">
            <v>405929.96500000003</v>
          </cell>
          <cell r="K22">
            <v>15402302.789999999</v>
          </cell>
          <cell r="L22">
            <v>2122968.02</v>
          </cell>
          <cell r="M22">
            <v>124237815.72999999</v>
          </cell>
          <cell r="N22">
            <v>0</v>
          </cell>
          <cell r="O22">
            <v>26461606.859999999</v>
          </cell>
          <cell r="P22">
            <v>135117681.21079439</v>
          </cell>
        </row>
        <row r="23">
          <cell r="C23">
            <v>148505802.68000001</v>
          </cell>
          <cell r="D23">
            <v>8751971.6799999997</v>
          </cell>
          <cell r="E23">
            <v>88220916.11999999</v>
          </cell>
          <cell r="F23">
            <v>141173979.72999996</v>
          </cell>
          <cell r="G23">
            <v>1379725.86</v>
          </cell>
          <cell r="H23">
            <v>2141426.6300000004</v>
          </cell>
          <cell r="I23">
            <v>626602.79500000004</v>
          </cell>
          <cell r="J23">
            <v>405929.96500000003</v>
          </cell>
          <cell r="K23">
            <v>15402302.789999999</v>
          </cell>
          <cell r="L23">
            <v>2241636.5700000003</v>
          </cell>
          <cell r="M23">
            <v>124237815.72999999</v>
          </cell>
          <cell r="N23">
            <v>0</v>
          </cell>
          <cell r="O23">
            <v>26461606.859999999</v>
          </cell>
          <cell r="P23">
            <v>139439012.27032095</v>
          </cell>
        </row>
        <row r="24">
          <cell r="C24">
            <v>148505802.68000004</v>
          </cell>
          <cell r="D24">
            <v>8751971.6800000034</v>
          </cell>
          <cell r="E24">
            <v>88220916.11999999</v>
          </cell>
          <cell r="F24">
            <v>141173979.72999999</v>
          </cell>
          <cell r="G24">
            <v>1379725.8599999999</v>
          </cell>
          <cell r="H24">
            <v>2141426.63</v>
          </cell>
          <cell r="I24">
            <v>626602.79500000004</v>
          </cell>
          <cell r="J24">
            <v>405929.96499999991</v>
          </cell>
          <cell r="K24">
            <v>15402302.789999994</v>
          </cell>
          <cell r="L24">
            <v>1172755.1876923076</v>
          </cell>
          <cell r="M24">
            <v>124237815.73</v>
          </cell>
          <cell r="N24">
            <v>0</v>
          </cell>
          <cell r="O24">
            <v>26455061.098461546</v>
          </cell>
          <cell r="P24">
            <v>100967755.16550371</v>
          </cell>
        </row>
        <row r="27">
          <cell r="C27">
            <v>26422628.42611897</v>
          </cell>
          <cell r="D27">
            <v>1817222.4830000028</v>
          </cell>
          <cell r="E27">
            <v>15108599.996250212</v>
          </cell>
          <cell r="F27">
            <v>10305712.141462758</v>
          </cell>
          <cell r="G27">
            <v>275629.9299999997</v>
          </cell>
          <cell r="H27">
            <v>223215.21499999985</v>
          </cell>
          <cell r="I27">
            <v>71348.604999999981</v>
          </cell>
          <cell r="J27">
            <v>58834.484999999928</v>
          </cell>
          <cell r="K27">
            <v>2027813.9499999993</v>
          </cell>
          <cell r="L27">
            <v>0</v>
          </cell>
          <cell r="M27">
            <v>5184276.3435170352</v>
          </cell>
          <cell r="N27">
            <v>0</v>
          </cell>
          <cell r="O27">
            <v>116486.15304302052</v>
          </cell>
          <cell r="P27">
            <v>1484.4992622286081</v>
          </cell>
        </row>
        <row r="28">
          <cell r="C28">
            <v>26743168.772138804</v>
          </cell>
          <cell r="D28">
            <v>1838188.8230000027</v>
          </cell>
          <cell r="E28">
            <v>15297806.238958582</v>
          </cell>
          <cell r="F28">
            <v>10587982.270039871</v>
          </cell>
          <cell r="G28">
            <v>278808.78999999957</v>
          </cell>
          <cell r="H28">
            <v>228162.29999999981</v>
          </cell>
          <cell r="I28">
            <v>72871.849999999977</v>
          </cell>
          <cell r="J28">
            <v>60309.364999999932</v>
          </cell>
          <cell r="K28">
            <v>2065824.1600000001</v>
          </cell>
          <cell r="L28">
            <v>0</v>
          </cell>
          <cell r="M28">
            <v>5463974.5945741981</v>
          </cell>
          <cell r="N28">
            <v>0</v>
          </cell>
          <cell r="O28">
            <v>175949.71295016259</v>
          </cell>
          <cell r="P28">
            <v>2507.8800474107265</v>
          </cell>
        </row>
        <row r="29">
          <cell r="C29">
            <v>27063709.118158624</v>
          </cell>
          <cell r="D29">
            <v>1859155.1630000025</v>
          </cell>
          <cell r="E29">
            <v>15487012.481666952</v>
          </cell>
          <cell r="F29">
            <v>10870252.398616999</v>
          </cell>
          <cell r="G29">
            <v>281987.64999999967</v>
          </cell>
          <cell r="H29">
            <v>233109.38499999978</v>
          </cell>
          <cell r="I29">
            <v>74395.094999999972</v>
          </cell>
          <cell r="J29">
            <v>61784.244999999937</v>
          </cell>
          <cell r="K29">
            <v>2103834.3699999992</v>
          </cell>
          <cell r="L29">
            <v>0</v>
          </cell>
          <cell r="M29">
            <v>5743672.845631361</v>
          </cell>
          <cell r="N29">
            <v>0</v>
          </cell>
          <cell r="O29">
            <v>235457.62638651952</v>
          </cell>
          <cell r="P29">
            <v>3531.260832592845</v>
          </cell>
        </row>
        <row r="30">
          <cell r="C30">
            <v>27384249.464178443</v>
          </cell>
          <cell r="D30">
            <v>1880121.5030000024</v>
          </cell>
          <cell r="E30">
            <v>15676218.724375308</v>
          </cell>
          <cell r="F30">
            <v>11152522.527194127</v>
          </cell>
          <cell r="G30">
            <v>285166.50999999978</v>
          </cell>
          <cell r="H30">
            <v>238056.46999999974</v>
          </cell>
          <cell r="I30">
            <v>75918.339999999967</v>
          </cell>
          <cell r="J30">
            <v>63259.124999999942</v>
          </cell>
          <cell r="K30">
            <v>2141844.58</v>
          </cell>
          <cell r="L30">
            <v>0</v>
          </cell>
          <cell r="M30">
            <v>6023371.096688509</v>
          </cell>
          <cell r="N30">
            <v>0</v>
          </cell>
          <cell r="O30">
            <v>295014.68090497702</v>
          </cell>
          <cell r="P30">
            <v>4554.6416177451611</v>
          </cell>
        </row>
        <row r="31">
          <cell r="C31">
            <v>27704789.810198277</v>
          </cell>
          <cell r="D31">
            <v>1901087.8430000022</v>
          </cell>
          <cell r="E31">
            <v>15865424.967083678</v>
          </cell>
          <cell r="F31">
            <v>11434792.655771241</v>
          </cell>
          <cell r="G31">
            <v>288345.36999999965</v>
          </cell>
          <cell r="H31">
            <v>243003.5549999997</v>
          </cell>
          <cell r="I31">
            <v>77441.584999999963</v>
          </cell>
          <cell r="J31">
            <v>64734.004999999946</v>
          </cell>
          <cell r="K31">
            <v>2179854.7899999991</v>
          </cell>
          <cell r="L31">
            <v>0</v>
          </cell>
          <cell r="M31">
            <v>6303069.3477456719</v>
          </cell>
          <cell r="N31">
            <v>0</v>
          </cell>
          <cell r="O31">
            <v>354588.04861995205</v>
          </cell>
          <cell r="P31">
            <v>5578.0224029421806</v>
          </cell>
        </row>
        <row r="32">
          <cell r="C32">
            <v>28025330.156218112</v>
          </cell>
          <cell r="D32">
            <v>1922054.183000003</v>
          </cell>
          <cell r="E32">
            <v>16054631.209792048</v>
          </cell>
          <cell r="F32">
            <v>11717062.784348369</v>
          </cell>
          <cell r="G32">
            <v>291524.22999999952</v>
          </cell>
          <cell r="H32">
            <v>247950.63999999966</v>
          </cell>
          <cell r="I32">
            <v>78964.829999999958</v>
          </cell>
          <cell r="J32">
            <v>66208.884999999951</v>
          </cell>
          <cell r="K32">
            <v>2217865</v>
          </cell>
          <cell r="L32">
            <v>0</v>
          </cell>
          <cell r="M32">
            <v>6582767.5988028347</v>
          </cell>
          <cell r="N32">
            <v>0</v>
          </cell>
          <cell r="O32">
            <v>414161.41633492708</v>
          </cell>
          <cell r="P32">
            <v>6601.4031881392002</v>
          </cell>
        </row>
        <row r="33">
          <cell r="C33">
            <v>28345870.502237931</v>
          </cell>
          <cell r="D33">
            <v>1943020.5230000028</v>
          </cell>
          <cell r="E33">
            <v>16243837.452500403</v>
          </cell>
          <cell r="F33">
            <v>11999332.912925497</v>
          </cell>
          <cell r="G33">
            <v>294703.08999999962</v>
          </cell>
          <cell r="H33">
            <v>252897.72499999986</v>
          </cell>
          <cell r="I33">
            <v>80488.074999999953</v>
          </cell>
          <cell r="J33">
            <v>67683.764999999956</v>
          </cell>
          <cell r="K33">
            <v>2255875.209999999</v>
          </cell>
          <cell r="L33">
            <v>0</v>
          </cell>
          <cell r="M33">
            <v>6862465.8498599976</v>
          </cell>
          <cell r="N33">
            <v>0</v>
          </cell>
          <cell r="O33">
            <v>473734.78404990211</v>
          </cell>
          <cell r="P33">
            <v>8212.7687519788742</v>
          </cell>
        </row>
        <row r="34">
          <cell r="C34">
            <v>28666410.84825775</v>
          </cell>
          <cell r="D34">
            <v>1963986.8630000027</v>
          </cell>
          <cell r="E34">
            <v>16433043.695208773</v>
          </cell>
          <cell r="F34">
            <v>12281603.041502625</v>
          </cell>
          <cell r="G34">
            <v>297881.94999999972</v>
          </cell>
          <cell r="H34">
            <v>257844.80999999982</v>
          </cell>
          <cell r="I34">
            <v>82011.319999999949</v>
          </cell>
          <cell r="J34">
            <v>69158.64499999996</v>
          </cell>
          <cell r="K34">
            <v>2293885.42</v>
          </cell>
          <cell r="L34">
            <v>0</v>
          </cell>
          <cell r="M34">
            <v>7142164.1009171456</v>
          </cell>
          <cell r="N34">
            <v>0</v>
          </cell>
          <cell r="O34">
            <v>533308.15176487714</v>
          </cell>
          <cell r="P34">
            <v>9824.1343158483505</v>
          </cell>
        </row>
        <row r="35">
          <cell r="C35">
            <v>28986951.194277585</v>
          </cell>
          <cell r="D35">
            <v>1984953.2030000035</v>
          </cell>
          <cell r="E35">
            <v>16622249.937917143</v>
          </cell>
          <cell r="F35">
            <v>12563873.170079753</v>
          </cell>
          <cell r="G35">
            <v>301060.80999999959</v>
          </cell>
          <cell r="H35">
            <v>262791.89499999979</v>
          </cell>
          <cell r="I35">
            <v>83534.564999999944</v>
          </cell>
          <cell r="J35">
            <v>70633.524999999965</v>
          </cell>
          <cell r="K35">
            <v>2331895.629999999</v>
          </cell>
          <cell r="L35">
            <v>0</v>
          </cell>
          <cell r="M35">
            <v>7421862.3519743085</v>
          </cell>
          <cell r="N35">
            <v>0</v>
          </cell>
          <cell r="O35">
            <v>592881.51947985217</v>
          </cell>
          <cell r="P35">
            <v>11435.499879717827</v>
          </cell>
        </row>
        <row r="36">
          <cell r="C36">
            <v>29307491.540297419</v>
          </cell>
          <cell r="D36">
            <v>2005919.5430000033</v>
          </cell>
          <cell r="E36">
            <v>16811456.180625513</v>
          </cell>
          <cell r="F36">
            <v>12846143.298656866</v>
          </cell>
          <cell r="G36">
            <v>304239.66999999946</v>
          </cell>
          <cell r="H36">
            <v>267738.97999999975</v>
          </cell>
          <cell r="I36">
            <v>85057.809999999939</v>
          </cell>
          <cell r="J36">
            <v>72108.40499999997</v>
          </cell>
          <cell r="K36">
            <v>2369905.84</v>
          </cell>
          <cell r="L36">
            <v>0</v>
          </cell>
          <cell r="M36">
            <v>7701560.6030314714</v>
          </cell>
          <cell r="N36">
            <v>0</v>
          </cell>
          <cell r="O36">
            <v>652454.8871948272</v>
          </cell>
          <cell r="P36">
            <v>201630.08885234594</v>
          </cell>
        </row>
        <row r="37">
          <cell r="C37">
            <v>29628031.886317238</v>
          </cell>
          <cell r="D37">
            <v>2026885.8830000032</v>
          </cell>
          <cell r="E37">
            <v>17000662.423333883</v>
          </cell>
          <cell r="F37">
            <v>13128413.427233994</v>
          </cell>
          <cell r="G37">
            <v>307418.52999999956</v>
          </cell>
          <cell r="H37">
            <v>272686.06499999971</v>
          </cell>
          <cell r="I37">
            <v>86581.054999999935</v>
          </cell>
          <cell r="J37">
            <v>73583.284999999974</v>
          </cell>
          <cell r="K37">
            <v>2407916.0499999989</v>
          </cell>
          <cell r="L37">
            <v>0</v>
          </cell>
          <cell r="M37">
            <v>7981258.8540886343</v>
          </cell>
          <cell r="N37">
            <v>0</v>
          </cell>
          <cell r="O37">
            <v>712028.25490980223</v>
          </cell>
          <cell r="P37">
            <v>394940.40936553478</v>
          </cell>
        </row>
        <row r="38">
          <cell r="C38">
            <v>29948572.232337058</v>
          </cell>
          <cell r="D38">
            <v>2047852.223000003</v>
          </cell>
          <cell r="E38">
            <v>17189868.666042238</v>
          </cell>
          <cell r="F38">
            <v>13410683.555811122</v>
          </cell>
          <cell r="G38">
            <v>310597.38999999966</v>
          </cell>
          <cell r="H38">
            <v>277633.14999999991</v>
          </cell>
          <cell r="I38">
            <v>88104.29999999993</v>
          </cell>
          <cell r="J38">
            <v>75058.164999999979</v>
          </cell>
          <cell r="K38">
            <v>2445926.2599999998</v>
          </cell>
          <cell r="L38">
            <v>0</v>
          </cell>
          <cell r="M38">
            <v>8260957.1051457822</v>
          </cell>
          <cell r="N38">
            <v>0</v>
          </cell>
          <cell r="O38">
            <v>771601.6232551448</v>
          </cell>
          <cell r="P38">
            <v>590033.39325895905</v>
          </cell>
        </row>
        <row r="39">
          <cell r="C39">
            <v>30269112.578356892</v>
          </cell>
          <cell r="D39">
            <v>2068818.5630000029</v>
          </cell>
          <cell r="E39">
            <v>17379074.908750609</v>
          </cell>
          <cell r="F39">
            <v>13692953.684388235</v>
          </cell>
          <cell r="G39">
            <v>313776.24999999953</v>
          </cell>
          <cell r="H39">
            <v>282580.23499999987</v>
          </cell>
          <cell r="I39">
            <v>89627.544999999925</v>
          </cell>
          <cell r="J39">
            <v>76533.044999999984</v>
          </cell>
          <cell r="K39">
            <v>2483936.4699999988</v>
          </cell>
          <cell r="L39">
            <v>0</v>
          </cell>
          <cell r="M39">
            <v>8540655.3562029451</v>
          </cell>
          <cell r="N39">
            <v>0</v>
          </cell>
          <cell r="O39">
            <v>831174.99160048738</v>
          </cell>
          <cell r="P39">
            <v>785349.86295574903</v>
          </cell>
        </row>
        <row r="40">
          <cell r="C40">
            <v>28345870.502237935</v>
          </cell>
          <cell r="D40">
            <v>1943020.5230000024</v>
          </cell>
          <cell r="E40">
            <v>16243837.452500412</v>
          </cell>
          <cell r="F40">
            <v>11999332.912925495</v>
          </cell>
          <cell r="G40">
            <v>294703.08999999962</v>
          </cell>
          <cell r="H40">
            <v>252897.72499999977</v>
          </cell>
          <cell r="I40">
            <v>80488.074999999953</v>
          </cell>
          <cell r="J40">
            <v>67683.764999999956</v>
          </cell>
          <cell r="K40">
            <v>2255875.209999999</v>
          </cell>
          <cell r="L40">
            <v>0</v>
          </cell>
          <cell r="M40">
            <v>6862465.849859992</v>
          </cell>
          <cell r="N40">
            <v>0</v>
          </cell>
          <cell r="O40">
            <v>473757.06542265014</v>
          </cell>
          <cell r="P40">
            <v>155821.83574855328</v>
          </cell>
        </row>
        <row r="44">
          <cell r="C44">
            <v>122083174.25388104</v>
          </cell>
          <cell r="D44">
            <v>6934749.1969999969</v>
          </cell>
          <cell r="E44">
            <v>73112316.123749778</v>
          </cell>
          <cell r="F44">
            <v>130868267.5885372</v>
          </cell>
          <cell r="G44">
            <v>1104095.9300000004</v>
          </cell>
          <cell r="H44">
            <v>1918211.4150000005</v>
          </cell>
          <cell r="I44">
            <v>555254.19000000006</v>
          </cell>
          <cell r="J44">
            <v>347095.4800000001</v>
          </cell>
          <cell r="K44">
            <v>13374488.84</v>
          </cell>
          <cell r="L44">
            <v>139585.07999999999</v>
          </cell>
          <cell r="M44">
            <v>119053539.38648295</v>
          </cell>
          <cell r="N44">
            <v>0</v>
          </cell>
          <cell r="O44">
            <v>26296345.706956983</v>
          </cell>
          <cell r="P44">
            <v>71254963.255603865</v>
          </cell>
        </row>
        <row r="45">
          <cell r="C45">
            <v>121762633.9078612</v>
          </cell>
          <cell r="D45">
            <v>6913782.856999997</v>
          </cell>
          <cell r="E45">
            <v>72923109.881041408</v>
          </cell>
          <cell r="F45">
            <v>130585997.45996009</v>
          </cell>
          <cell r="G45">
            <v>1100917.0700000005</v>
          </cell>
          <cell r="H45">
            <v>1913264.3300000005</v>
          </cell>
          <cell r="I45">
            <v>553730.94500000007</v>
          </cell>
          <cell r="J45">
            <v>345620.60000000009</v>
          </cell>
          <cell r="K45">
            <v>13336478.629999999</v>
          </cell>
          <cell r="L45">
            <v>253131.32</v>
          </cell>
          <cell r="M45">
            <v>118773841.13542579</v>
          </cell>
          <cell r="N45">
            <v>0</v>
          </cell>
          <cell r="O45">
            <v>26256583.32704984</v>
          </cell>
          <cell r="P45">
            <v>74744441.745902181</v>
          </cell>
        </row>
        <row r="46">
          <cell r="C46">
            <v>121442093.56184138</v>
          </cell>
          <cell r="D46">
            <v>6892816.5169999972</v>
          </cell>
          <cell r="E46">
            <v>72733903.638333037</v>
          </cell>
          <cell r="F46">
            <v>130303727.33138296</v>
          </cell>
          <cell r="G46">
            <v>1097738.2100000004</v>
          </cell>
          <cell r="H46">
            <v>1908317.2450000006</v>
          </cell>
          <cell r="I46">
            <v>552207.70000000007</v>
          </cell>
          <cell r="J46">
            <v>344145.72000000009</v>
          </cell>
          <cell r="K46">
            <v>13298468.42</v>
          </cell>
          <cell r="L46">
            <v>376283.91</v>
          </cell>
          <cell r="M46">
            <v>118494142.88436863</v>
          </cell>
          <cell r="N46">
            <v>0</v>
          </cell>
          <cell r="O46">
            <v>26218903.153613482</v>
          </cell>
          <cell r="P46">
            <v>77999809.295078665</v>
          </cell>
        </row>
        <row r="47">
          <cell r="C47">
            <v>121121553.21582156</v>
          </cell>
          <cell r="D47">
            <v>6871850.1769999973</v>
          </cell>
          <cell r="E47">
            <v>72544697.395624682</v>
          </cell>
          <cell r="F47">
            <v>130021457.20280583</v>
          </cell>
          <cell r="G47">
            <v>1094559.3500000003</v>
          </cell>
          <cell r="H47">
            <v>1903370.1600000006</v>
          </cell>
          <cell r="I47">
            <v>550684.45500000007</v>
          </cell>
          <cell r="J47">
            <v>342670.84000000008</v>
          </cell>
          <cell r="K47">
            <v>13260458.209999999</v>
          </cell>
          <cell r="L47">
            <v>519983.52999999997</v>
          </cell>
          <cell r="M47">
            <v>118214444.63331148</v>
          </cell>
          <cell r="N47">
            <v>0</v>
          </cell>
          <cell r="O47">
            <v>26166592.179095022</v>
          </cell>
          <cell r="P47">
            <v>81401803.364551157</v>
          </cell>
        </row>
        <row r="48">
          <cell r="C48">
            <v>120801012.86980173</v>
          </cell>
          <cell r="D48">
            <v>6850883.8369999975</v>
          </cell>
          <cell r="E48">
            <v>72355491.152916312</v>
          </cell>
          <cell r="F48">
            <v>129739187.07422872</v>
          </cell>
          <cell r="G48">
            <v>1091380.4900000005</v>
          </cell>
          <cell r="H48">
            <v>1898423.0750000007</v>
          </cell>
          <cell r="I48">
            <v>549161.21000000008</v>
          </cell>
          <cell r="J48">
            <v>341195.96000000008</v>
          </cell>
          <cell r="K48">
            <v>13222448</v>
          </cell>
          <cell r="L48">
            <v>661746.85</v>
          </cell>
          <cell r="M48">
            <v>117934746.38225432</v>
          </cell>
          <cell r="N48">
            <v>0</v>
          </cell>
          <cell r="O48">
            <v>26107018.811380047</v>
          </cell>
          <cell r="P48">
            <v>84559697.109587058</v>
          </cell>
        </row>
        <row r="49">
          <cell r="C49">
            <v>120480472.5237819</v>
          </cell>
          <cell r="D49">
            <v>6829917.4969999967</v>
          </cell>
          <cell r="E49">
            <v>72166284.910207942</v>
          </cell>
          <cell r="F49">
            <v>129456916.94565159</v>
          </cell>
          <cell r="G49">
            <v>1088201.6300000006</v>
          </cell>
          <cell r="H49">
            <v>1893475.9900000007</v>
          </cell>
          <cell r="I49">
            <v>547637.96500000008</v>
          </cell>
          <cell r="J49">
            <v>339721.08000000007</v>
          </cell>
          <cell r="K49">
            <v>13184437.789999999</v>
          </cell>
          <cell r="L49">
            <v>809997.02</v>
          </cell>
          <cell r="M49">
            <v>117655048.13119715</v>
          </cell>
          <cell r="N49">
            <v>0</v>
          </cell>
          <cell r="O49">
            <v>26047445.443665072</v>
          </cell>
          <cell r="P49">
            <v>88054935.009865195</v>
          </cell>
        </row>
        <row r="50">
          <cell r="C50">
            <v>120159932.17776208</v>
          </cell>
          <cell r="D50">
            <v>6808951.1569999969</v>
          </cell>
          <cell r="E50">
            <v>71977078.667499587</v>
          </cell>
          <cell r="F50">
            <v>129174646.81707446</v>
          </cell>
          <cell r="G50">
            <v>1085022.7700000005</v>
          </cell>
          <cell r="H50">
            <v>1888528.9050000005</v>
          </cell>
          <cell r="I50">
            <v>546114.72000000009</v>
          </cell>
          <cell r="J50">
            <v>338246.20000000007</v>
          </cell>
          <cell r="K50">
            <v>13146427.58</v>
          </cell>
          <cell r="L50">
            <v>1307795.23</v>
          </cell>
          <cell r="M50">
            <v>117375349.88013999</v>
          </cell>
          <cell r="N50">
            <v>0</v>
          </cell>
          <cell r="O50">
            <v>25987872.075950097</v>
          </cell>
          <cell r="P50">
            <v>92525252.675130606</v>
          </cell>
        </row>
        <row r="51">
          <cell r="C51">
            <v>119839391.83174226</v>
          </cell>
          <cell r="D51">
            <v>6787984.816999997</v>
          </cell>
          <cell r="E51">
            <v>71787872.424791217</v>
          </cell>
          <cell r="F51">
            <v>128892376.68849733</v>
          </cell>
          <cell r="G51">
            <v>1081843.9100000004</v>
          </cell>
          <cell r="H51">
            <v>1883581.8200000005</v>
          </cell>
          <cell r="I51">
            <v>544591.47500000009</v>
          </cell>
          <cell r="J51">
            <v>336771.32000000007</v>
          </cell>
          <cell r="K51">
            <v>13108417.369999999</v>
          </cell>
          <cell r="L51">
            <v>1464979.76</v>
          </cell>
          <cell r="M51">
            <v>117095651.62908284</v>
          </cell>
          <cell r="N51">
            <v>0</v>
          </cell>
          <cell r="O51">
            <v>25928298.708235122</v>
          </cell>
          <cell r="P51">
            <v>104220227.30824682</v>
          </cell>
        </row>
        <row r="52">
          <cell r="C52">
            <v>119518851.48572242</v>
          </cell>
          <cell r="D52">
            <v>6767018.4769999962</v>
          </cell>
          <cell r="E52">
            <v>71598666.182082847</v>
          </cell>
          <cell r="F52">
            <v>128610106.55992021</v>
          </cell>
          <cell r="G52">
            <v>1078665.0500000005</v>
          </cell>
          <cell r="H52">
            <v>1878634.7350000006</v>
          </cell>
          <cell r="I52">
            <v>543068.2300000001</v>
          </cell>
          <cell r="J52">
            <v>335296.44000000006</v>
          </cell>
          <cell r="K52">
            <v>13070407.16</v>
          </cell>
          <cell r="L52">
            <v>1627389.76</v>
          </cell>
          <cell r="M52">
            <v>116815953.37802568</v>
          </cell>
          <cell r="N52">
            <v>0</v>
          </cell>
          <cell r="O52">
            <v>25868725.340520147</v>
          </cell>
          <cell r="P52">
            <v>114137222.66934448</v>
          </cell>
        </row>
        <row r="53">
          <cell r="C53">
            <v>119198311.13970259</v>
          </cell>
          <cell r="D53">
            <v>6746052.1369999964</v>
          </cell>
          <cell r="E53">
            <v>71409459.939374477</v>
          </cell>
          <cell r="F53">
            <v>128327836.43134309</v>
          </cell>
          <cell r="G53">
            <v>1075486.1900000006</v>
          </cell>
          <cell r="H53">
            <v>1873687.6500000006</v>
          </cell>
          <cell r="I53">
            <v>541544.9850000001</v>
          </cell>
          <cell r="J53">
            <v>333821.56000000006</v>
          </cell>
          <cell r="K53">
            <v>13032396.949999999</v>
          </cell>
          <cell r="L53">
            <v>1786572.29</v>
          </cell>
          <cell r="M53">
            <v>116536255.12696852</v>
          </cell>
          <cell r="N53">
            <v>0</v>
          </cell>
          <cell r="O53">
            <v>25809151.972805172</v>
          </cell>
          <cell r="P53">
            <v>120257933.24270409</v>
          </cell>
        </row>
        <row r="54">
          <cell r="C54">
            <v>118877770.79368277</v>
          </cell>
          <cell r="D54">
            <v>6725085.7969999965</v>
          </cell>
          <cell r="E54">
            <v>71220253.696666107</v>
          </cell>
          <cell r="F54">
            <v>128045566.30276597</v>
          </cell>
          <cell r="G54">
            <v>1072307.3300000005</v>
          </cell>
          <cell r="H54">
            <v>1868740.5650000006</v>
          </cell>
          <cell r="I54">
            <v>540021.74000000011</v>
          </cell>
          <cell r="J54">
            <v>332346.68000000005</v>
          </cell>
          <cell r="K54">
            <v>12994386.74</v>
          </cell>
          <cell r="L54">
            <v>1933748.1</v>
          </cell>
          <cell r="M54">
            <v>116256556.87591136</v>
          </cell>
          <cell r="N54">
            <v>0</v>
          </cell>
          <cell r="O54">
            <v>25749578.605090197</v>
          </cell>
          <cell r="P54">
            <v>128217537.38590224</v>
          </cell>
        </row>
        <row r="55">
          <cell r="C55">
            <v>118557230.44766295</v>
          </cell>
          <cell r="D55">
            <v>6704119.4569999967</v>
          </cell>
          <cell r="E55">
            <v>71031047.453957751</v>
          </cell>
          <cell r="F55">
            <v>127763296.17418884</v>
          </cell>
          <cell r="G55">
            <v>1069128.4700000004</v>
          </cell>
          <cell r="H55">
            <v>1863793.4800000004</v>
          </cell>
          <cell r="I55">
            <v>538498.49500000011</v>
          </cell>
          <cell r="J55">
            <v>330871.80000000005</v>
          </cell>
          <cell r="K55">
            <v>12956376.529999999</v>
          </cell>
          <cell r="L55">
            <v>2122968.02</v>
          </cell>
          <cell r="M55">
            <v>115976858.62485421</v>
          </cell>
          <cell r="N55">
            <v>0</v>
          </cell>
          <cell r="O55">
            <v>25690005.236744855</v>
          </cell>
          <cell r="P55">
            <v>134527647.81753543</v>
          </cell>
        </row>
        <row r="56">
          <cell r="C56">
            <v>118236690.10164312</v>
          </cell>
          <cell r="D56">
            <v>6683153.1169999968</v>
          </cell>
          <cell r="E56">
            <v>70841841.211249381</v>
          </cell>
          <cell r="F56">
            <v>127481026.04561172</v>
          </cell>
          <cell r="G56">
            <v>1065949.6100000006</v>
          </cell>
          <cell r="H56">
            <v>1858846.3950000005</v>
          </cell>
          <cell r="I56">
            <v>536975.25000000012</v>
          </cell>
          <cell r="J56">
            <v>329396.92000000004</v>
          </cell>
          <cell r="K56">
            <v>12918366.32</v>
          </cell>
          <cell r="L56">
            <v>2241636.5700000003</v>
          </cell>
          <cell r="M56">
            <v>115697160.37379704</v>
          </cell>
          <cell r="N56">
            <v>0</v>
          </cell>
          <cell r="O56">
            <v>25630431.868399512</v>
          </cell>
          <cell r="P56">
            <v>138653662.4073652</v>
          </cell>
        </row>
        <row r="57">
          <cell r="C57">
            <v>120159932.17776206</v>
          </cell>
          <cell r="D57">
            <v>6808951.1569999969</v>
          </cell>
          <cell r="E57">
            <v>71977078.667499587</v>
          </cell>
          <cell r="F57">
            <v>129174646.81707445</v>
          </cell>
          <cell r="G57">
            <v>1085022.7700000005</v>
          </cell>
          <cell r="H57">
            <v>1888528.9050000007</v>
          </cell>
          <cell r="I57">
            <v>546114.7200000002</v>
          </cell>
          <cell r="J57">
            <v>338246.20000000013</v>
          </cell>
          <cell r="K57">
            <v>13146427.58</v>
          </cell>
          <cell r="L57">
            <v>1172755.1876923076</v>
          </cell>
          <cell r="M57">
            <v>117375349.88013998</v>
          </cell>
          <cell r="N57">
            <v>0</v>
          </cell>
          <cell r="O57">
            <v>25981304.033038888</v>
          </cell>
          <cell r="P57">
            <v>100811933.32975516</v>
          </cell>
        </row>
        <row r="60">
          <cell r="C60">
            <v>3846484.1522379345</v>
          </cell>
          <cell r="D60">
            <v>251596.08</v>
          </cell>
          <cell r="E60">
            <v>2270474.9125003875</v>
          </cell>
          <cell r="F60">
            <v>3387241.542925498</v>
          </cell>
          <cell r="G60">
            <v>38146.32</v>
          </cell>
          <cell r="H60">
            <v>59365.02</v>
          </cell>
          <cell r="I60">
            <v>18278.939999999995</v>
          </cell>
          <cell r="J60">
            <v>17698.560000000005</v>
          </cell>
          <cell r="K60">
            <v>456122.52000000008</v>
          </cell>
          <cell r="L60">
            <v>0</v>
          </cell>
          <cell r="M60">
            <v>3356379.0126859043</v>
          </cell>
          <cell r="N60">
            <v>0</v>
          </cell>
          <cell r="O60">
            <v>714688.83855746745</v>
          </cell>
          <cell r="P60">
            <v>783865.36369351344</v>
          </cell>
        </row>
        <row r="61">
          <cell r="C61">
            <v>0</v>
          </cell>
          <cell r="D61">
            <v>0</v>
          </cell>
          <cell r="E61">
            <v>0</v>
          </cell>
          <cell r="F61">
            <v>0</v>
          </cell>
          <cell r="G61">
            <v>0</v>
          </cell>
          <cell r="H61">
            <v>0</v>
          </cell>
          <cell r="I61">
            <v>0</v>
          </cell>
          <cell r="J61">
            <v>0</v>
          </cell>
          <cell r="K61">
            <v>0</v>
          </cell>
          <cell r="L61">
            <v>0</v>
          </cell>
          <cell r="M61">
            <v>0</v>
          </cell>
          <cell r="N61">
            <v>0</v>
          </cell>
          <cell r="O61">
            <v>0</v>
          </cell>
          <cell r="P61">
            <v>0</v>
          </cell>
        </row>
        <row r="62">
          <cell r="C62">
            <v>3846484.1522379345</v>
          </cell>
          <cell r="D62">
            <v>251596.08</v>
          </cell>
          <cell r="E62">
            <v>2270474.9125003875</v>
          </cell>
          <cell r="F62">
            <v>3387241.542925498</v>
          </cell>
          <cell r="G62">
            <v>38146.32</v>
          </cell>
          <cell r="H62">
            <v>59365.02</v>
          </cell>
          <cell r="I62">
            <v>18278.939999999995</v>
          </cell>
          <cell r="J62">
            <v>17698.560000000005</v>
          </cell>
          <cell r="K62">
            <v>456122.52000000008</v>
          </cell>
          <cell r="L62">
            <v>0</v>
          </cell>
          <cell r="M62">
            <v>3356379.0126859043</v>
          </cell>
          <cell r="N62">
            <v>0</v>
          </cell>
          <cell r="O62">
            <v>714688.83855746745</v>
          </cell>
          <cell r="P62">
            <v>783865.36369351344</v>
          </cell>
        </row>
        <row r="65">
          <cell r="C65">
            <v>0</v>
          </cell>
          <cell r="D65">
            <v>0</v>
          </cell>
          <cell r="E65">
            <v>0</v>
          </cell>
          <cell r="F65">
            <v>0</v>
          </cell>
          <cell r="G65">
            <v>0</v>
          </cell>
          <cell r="H65">
            <v>0</v>
          </cell>
          <cell r="I65">
            <v>0</v>
          </cell>
          <cell r="J65">
            <v>0</v>
          </cell>
          <cell r="K65">
            <v>0</v>
          </cell>
          <cell r="L65">
            <v>0</v>
          </cell>
          <cell r="M65">
            <v>0</v>
          </cell>
          <cell r="N65">
            <v>0</v>
          </cell>
          <cell r="O65">
            <v>0</v>
          </cell>
          <cell r="P65">
            <v>0</v>
          </cell>
        </row>
        <row r="66">
          <cell r="C66">
            <v>0</v>
          </cell>
        </row>
        <row r="67">
          <cell r="C67">
            <v>0</v>
          </cell>
          <cell r="D67">
            <v>0</v>
          </cell>
          <cell r="E67">
            <v>0</v>
          </cell>
          <cell r="F67">
            <v>0</v>
          </cell>
          <cell r="G67">
            <v>0</v>
          </cell>
          <cell r="H67">
            <v>0</v>
          </cell>
          <cell r="I67">
            <v>0</v>
          </cell>
          <cell r="J67">
            <v>0</v>
          </cell>
          <cell r="K67">
            <v>0</v>
          </cell>
          <cell r="L67">
            <v>0</v>
          </cell>
          <cell r="M67">
            <v>0</v>
          </cell>
          <cell r="N67">
            <v>0</v>
          </cell>
          <cell r="O67">
            <v>0</v>
          </cell>
          <cell r="P67">
            <v>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Rate"/>
      <sheetName val="Balances"/>
      <sheetName val="Partner Info"/>
      <sheetName val="Recon"/>
      <sheetName val="Current"/>
      <sheetName val="Fed_Def"/>
      <sheetName val="State_Def"/>
      <sheetName val="LLC Grossup Entry"/>
      <sheetName val="Tax_grossup"/>
      <sheetName val="Revenue"/>
      <sheetName val="Permanent"/>
      <sheetName val="Timing"/>
      <sheetName val="Effect_rate"/>
      <sheetName val="Blend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Rate"/>
      <sheetName val="Balances"/>
      <sheetName val="Partner Info"/>
      <sheetName val="Recon"/>
      <sheetName val="Current"/>
      <sheetName val="Fed_Def"/>
      <sheetName val="State_Def"/>
      <sheetName val="LLC Grossup Entry"/>
      <sheetName val="Tax_grossup"/>
      <sheetName val="Revenue"/>
      <sheetName val="Permanent"/>
      <sheetName val="Timing"/>
      <sheetName val="Effect_rate"/>
      <sheetName val="Blend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showGridLines="0" zoomScale="75" zoomScaleNormal="75" workbookViewId="0">
      <selection activeCell="G22" sqref="G22"/>
    </sheetView>
  </sheetViews>
  <sheetFormatPr defaultRowHeight="15"/>
  <cols>
    <col min="1" max="1" width="11.33203125" style="505" customWidth="1"/>
    <col min="2" max="2" width="11.6640625" style="505" bestFit="1" customWidth="1"/>
    <col min="3" max="5" width="9.109375" style="505"/>
    <col min="6" max="6" width="12" style="505" bestFit="1" customWidth="1"/>
    <col min="7" max="7" width="20.88671875" style="505" bestFit="1" customWidth="1"/>
    <col min="8" max="8" width="9.109375" style="505"/>
    <col min="9" max="9" width="26.33203125" style="505" bestFit="1" customWidth="1"/>
    <col min="10" max="244" width="9.109375" style="505"/>
    <col min="245" max="245" width="11.33203125" style="505" customWidth="1"/>
    <col min="246" max="246" width="11.6640625" style="505" bestFit="1" customWidth="1"/>
    <col min="247" max="249" width="9.109375" style="505"/>
    <col min="250" max="250" width="12" style="505" bestFit="1" customWidth="1"/>
    <col min="251" max="251" width="18.33203125" style="505" bestFit="1" customWidth="1"/>
    <col min="252" max="252" width="9.109375" style="505"/>
    <col min="253" max="253" width="26.33203125" style="505" bestFit="1" customWidth="1"/>
    <col min="254" max="500" width="9.109375" style="505"/>
    <col min="501" max="501" width="11.33203125" style="505" customWidth="1"/>
    <col min="502" max="502" width="11.6640625" style="505" bestFit="1" customWidth="1"/>
    <col min="503" max="505" width="9.109375" style="505"/>
    <col min="506" max="506" width="12" style="505" bestFit="1" customWidth="1"/>
    <col min="507" max="507" width="18.33203125" style="505" bestFit="1" customWidth="1"/>
    <col min="508" max="508" width="9.109375" style="505"/>
    <col min="509" max="509" width="26.33203125" style="505" bestFit="1" customWidth="1"/>
    <col min="510" max="756" width="9.109375" style="505"/>
    <col min="757" max="757" width="11.33203125" style="505" customWidth="1"/>
    <col min="758" max="758" width="11.6640625" style="505" bestFit="1" customWidth="1"/>
    <col min="759" max="761" width="9.109375" style="505"/>
    <col min="762" max="762" width="12" style="505" bestFit="1" customWidth="1"/>
    <col min="763" max="763" width="18.33203125" style="505" bestFit="1" customWidth="1"/>
    <col min="764" max="764" width="9.109375" style="505"/>
    <col min="765" max="765" width="26.33203125" style="505" bestFit="1" customWidth="1"/>
    <col min="766" max="1012" width="9.109375" style="505"/>
    <col min="1013" max="1013" width="11.33203125" style="505" customWidth="1"/>
    <col min="1014" max="1014" width="11.6640625" style="505" bestFit="1" customWidth="1"/>
    <col min="1015" max="1017" width="9.109375" style="505"/>
    <col min="1018" max="1018" width="12" style="505" bestFit="1" customWidth="1"/>
    <col min="1019" max="1019" width="18.33203125" style="505" bestFit="1" customWidth="1"/>
    <col min="1020" max="1020" width="9.109375" style="505"/>
    <col min="1021" max="1021" width="26.33203125" style="505" bestFit="1" customWidth="1"/>
    <col min="1022" max="1268" width="9.109375" style="505"/>
    <col min="1269" max="1269" width="11.33203125" style="505" customWidth="1"/>
    <col min="1270" max="1270" width="11.6640625" style="505" bestFit="1" customWidth="1"/>
    <col min="1271" max="1273" width="9.109375" style="505"/>
    <col min="1274" max="1274" width="12" style="505" bestFit="1" customWidth="1"/>
    <col min="1275" max="1275" width="18.33203125" style="505" bestFit="1" customWidth="1"/>
    <col min="1276" max="1276" width="9.109375" style="505"/>
    <col min="1277" max="1277" width="26.33203125" style="505" bestFit="1" customWidth="1"/>
    <col min="1278" max="1524" width="9.109375" style="505"/>
    <col min="1525" max="1525" width="11.33203125" style="505" customWidth="1"/>
    <col min="1526" max="1526" width="11.6640625" style="505" bestFit="1" customWidth="1"/>
    <col min="1527" max="1529" width="9.109375" style="505"/>
    <col min="1530" max="1530" width="12" style="505" bestFit="1" customWidth="1"/>
    <col min="1531" max="1531" width="18.33203125" style="505" bestFit="1" customWidth="1"/>
    <col min="1532" max="1532" width="9.109375" style="505"/>
    <col min="1533" max="1533" width="26.33203125" style="505" bestFit="1" customWidth="1"/>
    <col min="1534" max="1780" width="9.109375" style="505"/>
    <col min="1781" max="1781" width="11.33203125" style="505" customWidth="1"/>
    <col min="1782" max="1782" width="11.6640625" style="505" bestFit="1" customWidth="1"/>
    <col min="1783" max="1785" width="9.109375" style="505"/>
    <col min="1786" max="1786" width="12" style="505" bestFit="1" customWidth="1"/>
    <col min="1787" max="1787" width="18.33203125" style="505" bestFit="1" customWidth="1"/>
    <col min="1788" max="1788" width="9.109375" style="505"/>
    <col min="1789" max="1789" width="26.33203125" style="505" bestFit="1" customWidth="1"/>
    <col min="1790" max="2036" width="9.109375" style="505"/>
    <col min="2037" max="2037" width="11.33203125" style="505" customWidth="1"/>
    <col min="2038" max="2038" width="11.6640625" style="505" bestFit="1" customWidth="1"/>
    <col min="2039" max="2041" width="9.109375" style="505"/>
    <col min="2042" max="2042" width="12" style="505" bestFit="1" customWidth="1"/>
    <col min="2043" max="2043" width="18.33203125" style="505" bestFit="1" customWidth="1"/>
    <col min="2044" max="2044" width="9.109375" style="505"/>
    <col min="2045" max="2045" width="26.33203125" style="505" bestFit="1" customWidth="1"/>
    <col min="2046" max="2292" width="9.109375" style="505"/>
    <col min="2293" max="2293" width="11.33203125" style="505" customWidth="1"/>
    <col min="2294" max="2294" width="11.6640625" style="505" bestFit="1" customWidth="1"/>
    <col min="2295" max="2297" width="9.109375" style="505"/>
    <col min="2298" max="2298" width="12" style="505" bestFit="1" customWidth="1"/>
    <col min="2299" max="2299" width="18.33203125" style="505" bestFit="1" customWidth="1"/>
    <col min="2300" max="2300" width="9.109375" style="505"/>
    <col min="2301" max="2301" width="26.33203125" style="505" bestFit="1" customWidth="1"/>
    <col min="2302" max="2548" width="9.109375" style="505"/>
    <col min="2549" max="2549" width="11.33203125" style="505" customWidth="1"/>
    <col min="2550" max="2550" width="11.6640625" style="505" bestFit="1" customWidth="1"/>
    <col min="2551" max="2553" width="9.109375" style="505"/>
    <col min="2554" max="2554" width="12" style="505" bestFit="1" customWidth="1"/>
    <col min="2555" max="2555" width="18.33203125" style="505" bestFit="1" customWidth="1"/>
    <col min="2556" max="2556" width="9.109375" style="505"/>
    <col min="2557" max="2557" width="26.33203125" style="505" bestFit="1" customWidth="1"/>
    <col min="2558" max="2804" width="9.109375" style="505"/>
    <col min="2805" max="2805" width="11.33203125" style="505" customWidth="1"/>
    <col min="2806" max="2806" width="11.6640625" style="505" bestFit="1" customWidth="1"/>
    <col min="2807" max="2809" width="9.109375" style="505"/>
    <col min="2810" max="2810" width="12" style="505" bestFit="1" customWidth="1"/>
    <col min="2811" max="2811" width="18.33203125" style="505" bestFit="1" customWidth="1"/>
    <col min="2812" max="2812" width="9.109375" style="505"/>
    <col min="2813" max="2813" width="26.33203125" style="505" bestFit="1" customWidth="1"/>
    <col min="2814" max="3060" width="9.109375" style="505"/>
    <col min="3061" max="3061" width="11.33203125" style="505" customWidth="1"/>
    <col min="3062" max="3062" width="11.6640625" style="505" bestFit="1" customWidth="1"/>
    <col min="3063" max="3065" width="9.109375" style="505"/>
    <col min="3066" max="3066" width="12" style="505" bestFit="1" customWidth="1"/>
    <col min="3067" max="3067" width="18.33203125" style="505" bestFit="1" customWidth="1"/>
    <col min="3068" max="3068" width="9.109375" style="505"/>
    <col min="3069" max="3069" width="26.33203125" style="505" bestFit="1" customWidth="1"/>
    <col min="3070" max="3316" width="9.109375" style="505"/>
    <col min="3317" max="3317" width="11.33203125" style="505" customWidth="1"/>
    <col min="3318" max="3318" width="11.6640625" style="505" bestFit="1" customWidth="1"/>
    <col min="3319" max="3321" width="9.109375" style="505"/>
    <col min="3322" max="3322" width="12" style="505" bestFit="1" customWidth="1"/>
    <col min="3323" max="3323" width="18.33203125" style="505" bestFit="1" customWidth="1"/>
    <col min="3324" max="3324" width="9.109375" style="505"/>
    <col min="3325" max="3325" width="26.33203125" style="505" bestFit="1" customWidth="1"/>
    <col min="3326" max="3572" width="9.109375" style="505"/>
    <col min="3573" max="3573" width="11.33203125" style="505" customWidth="1"/>
    <col min="3574" max="3574" width="11.6640625" style="505" bestFit="1" customWidth="1"/>
    <col min="3575" max="3577" width="9.109375" style="505"/>
    <col min="3578" max="3578" width="12" style="505" bestFit="1" customWidth="1"/>
    <col min="3579" max="3579" width="18.33203125" style="505" bestFit="1" customWidth="1"/>
    <col min="3580" max="3580" width="9.109375" style="505"/>
    <col min="3581" max="3581" width="26.33203125" style="505" bestFit="1" customWidth="1"/>
    <col min="3582" max="3828" width="9.109375" style="505"/>
    <col min="3829" max="3829" width="11.33203125" style="505" customWidth="1"/>
    <col min="3830" max="3830" width="11.6640625" style="505" bestFit="1" customWidth="1"/>
    <col min="3831" max="3833" width="9.109375" style="505"/>
    <col min="3834" max="3834" width="12" style="505" bestFit="1" customWidth="1"/>
    <col min="3835" max="3835" width="18.33203125" style="505" bestFit="1" customWidth="1"/>
    <col min="3836" max="3836" width="9.109375" style="505"/>
    <col min="3837" max="3837" width="26.33203125" style="505" bestFit="1" customWidth="1"/>
    <col min="3838" max="4084" width="9.109375" style="505"/>
    <col min="4085" max="4085" width="11.33203125" style="505" customWidth="1"/>
    <col min="4086" max="4086" width="11.6640625" style="505" bestFit="1" customWidth="1"/>
    <col min="4087" max="4089" width="9.109375" style="505"/>
    <col min="4090" max="4090" width="12" style="505" bestFit="1" customWidth="1"/>
    <col min="4091" max="4091" width="18.33203125" style="505" bestFit="1" customWidth="1"/>
    <col min="4092" max="4092" width="9.109375" style="505"/>
    <col min="4093" max="4093" width="26.33203125" style="505" bestFit="1" customWidth="1"/>
    <col min="4094" max="4340" width="9.109375" style="505"/>
    <col min="4341" max="4341" width="11.33203125" style="505" customWidth="1"/>
    <col min="4342" max="4342" width="11.6640625" style="505" bestFit="1" customWidth="1"/>
    <col min="4343" max="4345" width="9.109375" style="505"/>
    <col min="4346" max="4346" width="12" style="505" bestFit="1" customWidth="1"/>
    <col min="4347" max="4347" width="18.33203125" style="505" bestFit="1" customWidth="1"/>
    <col min="4348" max="4348" width="9.109375" style="505"/>
    <col min="4349" max="4349" width="26.33203125" style="505" bestFit="1" customWidth="1"/>
    <col min="4350" max="4596" width="9.109375" style="505"/>
    <col min="4597" max="4597" width="11.33203125" style="505" customWidth="1"/>
    <col min="4598" max="4598" width="11.6640625" style="505" bestFit="1" customWidth="1"/>
    <col min="4599" max="4601" width="9.109375" style="505"/>
    <col min="4602" max="4602" width="12" style="505" bestFit="1" customWidth="1"/>
    <col min="4603" max="4603" width="18.33203125" style="505" bestFit="1" customWidth="1"/>
    <col min="4604" max="4604" width="9.109375" style="505"/>
    <col min="4605" max="4605" width="26.33203125" style="505" bestFit="1" customWidth="1"/>
    <col min="4606" max="4852" width="9.109375" style="505"/>
    <col min="4853" max="4853" width="11.33203125" style="505" customWidth="1"/>
    <col min="4854" max="4854" width="11.6640625" style="505" bestFit="1" customWidth="1"/>
    <col min="4855" max="4857" width="9.109375" style="505"/>
    <col min="4858" max="4858" width="12" style="505" bestFit="1" customWidth="1"/>
    <col min="4859" max="4859" width="18.33203125" style="505" bestFit="1" customWidth="1"/>
    <col min="4860" max="4860" width="9.109375" style="505"/>
    <col min="4861" max="4861" width="26.33203125" style="505" bestFit="1" customWidth="1"/>
    <col min="4862" max="5108" width="9.109375" style="505"/>
    <col min="5109" max="5109" width="11.33203125" style="505" customWidth="1"/>
    <col min="5110" max="5110" width="11.6640625" style="505" bestFit="1" customWidth="1"/>
    <col min="5111" max="5113" width="9.109375" style="505"/>
    <col min="5114" max="5114" width="12" style="505" bestFit="1" customWidth="1"/>
    <col min="5115" max="5115" width="18.33203125" style="505" bestFit="1" customWidth="1"/>
    <col min="5116" max="5116" width="9.109375" style="505"/>
    <col min="5117" max="5117" width="26.33203125" style="505" bestFit="1" customWidth="1"/>
    <col min="5118" max="5364" width="9.109375" style="505"/>
    <col min="5365" max="5365" width="11.33203125" style="505" customWidth="1"/>
    <col min="5366" max="5366" width="11.6640625" style="505" bestFit="1" customWidth="1"/>
    <col min="5367" max="5369" width="9.109375" style="505"/>
    <col min="5370" max="5370" width="12" style="505" bestFit="1" customWidth="1"/>
    <col min="5371" max="5371" width="18.33203125" style="505" bestFit="1" customWidth="1"/>
    <col min="5372" max="5372" width="9.109375" style="505"/>
    <col min="5373" max="5373" width="26.33203125" style="505" bestFit="1" customWidth="1"/>
    <col min="5374" max="5620" width="9.109375" style="505"/>
    <col min="5621" max="5621" width="11.33203125" style="505" customWidth="1"/>
    <col min="5622" max="5622" width="11.6640625" style="505" bestFit="1" customWidth="1"/>
    <col min="5623" max="5625" width="9.109375" style="505"/>
    <col min="5626" max="5626" width="12" style="505" bestFit="1" customWidth="1"/>
    <col min="5627" max="5627" width="18.33203125" style="505" bestFit="1" customWidth="1"/>
    <col min="5628" max="5628" width="9.109375" style="505"/>
    <col min="5629" max="5629" width="26.33203125" style="505" bestFit="1" customWidth="1"/>
    <col min="5630" max="5876" width="9.109375" style="505"/>
    <col min="5877" max="5877" width="11.33203125" style="505" customWidth="1"/>
    <col min="5878" max="5878" width="11.6640625" style="505" bestFit="1" customWidth="1"/>
    <col min="5879" max="5881" width="9.109375" style="505"/>
    <col min="5882" max="5882" width="12" style="505" bestFit="1" customWidth="1"/>
    <col min="5883" max="5883" width="18.33203125" style="505" bestFit="1" customWidth="1"/>
    <col min="5884" max="5884" width="9.109375" style="505"/>
    <col min="5885" max="5885" width="26.33203125" style="505" bestFit="1" customWidth="1"/>
    <col min="5886" max="6132" width="9.109375" style="505"/>
    <col min="6133" max="6133" width="11.33203125" style="505" customWidth="1"/>
    <col min="6134" max="6134" width="11.6640625" style="505" bestFit="1" customWidth="1"/>
    <col min="6135" max="6137" width="9.109375" style="505"/>
    <col min="6138" max="6138" width="12" style="505" bestFit="1" customWidth="1"/>
    <col min="6139" max="6139" width="18.33203125" style="505" bestFit="1" customWidth="1"/>
    <col min="6140" max="6140" width="9.109375" style="505"/>
    <col min="6141" max="6141" width="26.33203125" style="505" bestFit="1" customWidth="1"/>
    <col min="6142" max="6388" width="9.109375" style="505"/>
    <col min="6389" max="6389" width="11.33203125" style="505" customWidth="1"/>
    <col min="6390" max="6390" width="11.6640625" style="505" bestFit="1" customWidth="1"/>
    <col min="6391" max="6393" width="9.109375" style="505"/>
    <col min="6394" max="6394" width="12" style="505" bestFit="1" customWidth="1"/>
    <col min="6395" max="6395" width="18.33203125" style="505" bestFit="1" customWidth="1"/>
    <col min="6396" max="6396" width="9.109375" style="505"/>
    <col min="6397" max="6397" width="26.33203125" style="505" bestFit="1" customWidth="1"/>
    <col min="6398" max="6644" width="9.109375" style="505"/>
    <col min="6645" max="6645" width="11.33203125" style="505" customWidth="1"/>
    <col min="6646" max="6646" width="11.6640625" style="505" bestFit="1" customWidth="1"/>
    <col min="6647" max="6649" width="9.109375" style="505"/>
    <col min="6650" max="6650" width="12" style="505" bestFit="1" customWidth="1"/>
    <col min="6651" max="6651" width="18.33203125" style="505" bestFit="1" customWidth="1"/>
    <col min="6652" max="6652" width="9.109375" style="505"/>
    <col min="6653" max="6653" width="26.33203125" style="505" bestFit="1" customWidth="1"/>
    <col min="6654" max="6900" width="9.109375" style="505"/>
    <col min="6901" max="6901" width="11.33203125" style="505" customWidth="1"/>
    <col min="6902" max="6902" width="11.6640625" style="505" bestFit="1" customWidth="1"/>
    <col min="6903" max="6905" width="9.109375" style="505"/>
    <col min="6906" max="6906" width="12" style="505" bestFit="1" customWidth="1"/>
    <col min="6907" max="6907" width="18.33203125" style="505" bestFit="1" customWidth="1"/>
    <col min="6908" max="6908" width="9.109375" style="505"/>
    <col min="6909" max="6909" width="26.33203125" style="505" bestFit="1" customWidth="1"/>
    <col min="6910" max="7156" width="9.109375" style="505"/>
    <col min="7157" max="7157" width="11.33203125" style="505" customWidth="1"/>
    <col min="7158" max="7158" width="11.6640625" style="505" bestFit="1" customWidth="1"/>
    <col min="7159" max="7161" width="9.109375" style="505"/>
    <col min="7162" max="7162" width="12" style="505" bestFit="1" customWidth="1"/>
    <col min="7163" max="7163" width="18.33203125" style="505" bestFit="1" customWidth="1"/>
    <col min="7164" max="7164" width="9.109375" style="505"/>
    <col min="7165" max="7165" width="26.33203125" style="505" bestFit="1" customWidth="1"/>
    <col min="7166" max="7412" width="9.109375" style="505"/>
    <col min="7413" max="7413" width="11.33203125" style="505" customWidth="1"/>
    <col min="7414" max="7414" width="11.6640625" style="505" bestFit="1" customWidth="1"/>
    <col min="7415" max="7417" width="9.109375" style="505"/>
    <col min="7418" max="7418" width="12" style="505" bestFit="1" customWidth="1"/>
    <col min="7419" max="7419" width="18.33203125" style="505" bestFit="1" customWidth="1"/>
    <col min="7420" max="7420" width="9.109375" style="505"/>
    <col min="7421" max="7421" width="26.33203125" style="505" bestFit="1" customWidth="1"/>
    <col min="7422" max="7668" width="9.109375" style="505"/>
    <col min="7669" max="7669" width="11.33203125" style="505" customWidth="1"/>
    <col min="7670" max="7670" width="11.6640625" style="505" bestFit="1" customWidth="1"/>
    <col min="7671" max="7673" width="9.109375" style="505"/>
    <col min="7674" max="7674" width="12" style="505" bestFit="1" customWidth="1"/>
    <col min="7675" max="7675" width="18.33203125" style="505" bestFit="1" customWidth="1"/>
    <col min="7676" max="7676" width="9.109375" style="505"/>
    <col min="7677" max="7677" width="26.33203125" style="505" bestFit="1" customWidth="1"/>
    <col min="7678" max="7924" width="9.109375" style="505"/>
    <col min="7925" max="7925" width="11.33203125" style="505" customWidth="1"/>
    <col min="7926" max="7926" width="11.6640625" style="505" bestFit="1" customWidth="1"/>
    <col min="7927" max="7929" width="9.109375" style="505"/>
    <col min="7930" max="7930" width="12" style="505" bestFit="1" customWidth="1"/>
    <col min="7931" max="7931" width="18.33203125" style="505" bestFit="1" customWidth="1"/>
    <col min="7932" max="7932" width="9.109375" style="505"/>
    <col min="7933" max="7933" width="26.33203125" style="505" bestFit="1" customWidth="1"/>
    <col min="7934" max="8180" width="9.109375" style="505"/>
    <col min="8181" max="8181" width="11.33203125" style="505" customWidth="1"/>
    <col min="8182" max="8182" width="11.6640625" style="505" bestFit="1" customWidth="1"/>
    <col min="8183" max="8185" width="9.109375" style="505"/>
    <col min="8186" max="8186" width="12" style="505" bestFit="1" customWidth="1"/>
    <col min="8187" max="8187" width="18.33203125" style="505" bestFit="1" customWidth="1"/>
    <col min="8188" max="8188" width="9.109375" style="505"/>
    <col min="8189" max="8189" width="26.33203125" style="505" bestFit="1" customWidth="1"/>
    <col min="8190" max="8436" width="9.109375" style="505"/>
    <col min="8437" max="8437" width="11.33203125" style="505" customWidth="1"/>
    <col min="8438" max="8438" width="11.6640625" style="505" bestFit="1" customWidth="1"/>
    <col min="8439" max="8441" width="9.109375" style="505"/>
    <col min="8442" max="8442" width="12" style="505" bestFit="1" customWidth="1"/>
    <col min="8443" max="8443" width="18.33203125" style="505" bestFit="1" customWidth="1"/>
    <col min="8444" max="8444" width="9.109375" style="505"/>
    <col min="8445" max="8445" width="26.33203125" style="505" bestFit="1" customWidth="1"/>
    <col min="8446" max="8692" width="9.109375" style="505"/>
    <col min="8693" max="8693" width="11.33203125" style="505" customWidth="1"/>
    <col min="8694" max="8694" width="11.6640625" style="505" bestFit="1" customWidth="1"/>
    <col min="8695" max="8697" width="9.109375" style="505"/>
    <col min="8698" max="8698" width="12" style="505" bestFit="1" customWidth="1"/>
    <col min="8699" max="8699" width="18.33203125" style="505" bestFit="1" customWidth="1"/>
    <col min="8700" max="8700" width="9.109375" style="505"/>
    <col min="8701" max="8701" width="26.33203125" style="505" bestFit="1" customWidth="1"/>
    <col min="8702" max="8948" width="9.109375" style="505"/>
    <col min="8949" max="8949" width="11.33203125" style="505" customWidth="1"/>
    <col min="8950" max="8950" width="11.6640625" style="505" bestFit="1" customWidth="1"/>
    <col min="8951" max="8953" width="9.109375" style="505"/>
    <col min="8954" max="8954" width="12" style="505" bestFit="1" customWidth="1"/>
    <col min="8955" max="8955" width="18.33203125" style="505" bestFit="1" customWidth="1"/>
    <col min="8956" max="8956" width="9.109375" style="505"/>
    <col min="8957" max="8957" width="26.33203125" style="505" bestFit="1" customWidth="1"/>
    <col min="8958" max="9204" width="9.109375" style="505"/>
    <col min="9205" max="9205" width="11.33203125" style="505" customWidth="1"/>
    <col min="9206" max="9206" width="11.6640625" style="505" bestFit="1" customWidth="1"/>
    <col min="9207" max="9209" width="9.109375" style="505"/>
    <col min="9210" max="9210" width="12" style="505" bestFit="1" customWidth="1"/>
    <col min="9211" max="9211" width="18.33203125" style="505" bestFit="1" customWidth="1"/>
    <col min="9212" max="9212" width="9.109375" style="505"/>
    <col min="9213" max="9213" width="26.33203125" style="505" bestFit="1" customWidth="1"/>
    <col min="9214" max="9460" width="9.109375" style="505"/>
    <col min="9461" max="9461" width="11.33203125" style="505" customWidth="1"/>
    <col min="9462" max="9462" width="11.6640625" style="505" bestFit="1" customWidth="1"/>
    <col min="9463" max="9465" width="9.109375" style="505"/>
    <col min="9466" max="9466" width="12" style="505" bestFit="1" customWidth="1"/>
    <col min="9467" max="9467" width="18.33203125" style="505" bestFit="1" customWidth="1"/>
    <col min="9468" max="9468" width="9.109375" style="505"/>
    <col min="9469" max="9469" width="26.33203125" style="505" bestFit="1" customWidth="1"/>
    <col min="9470" max="9716" width="9.109375" style="505"/>
    <col min="9717" max="9717" width="11.33203125" style="505" customWidth="1"/>
    <col min="9718" max="9718" width="11.6640625" style="505" bestFit="1" customWidth="1"/>
    <col min="9719" max="9721" width="9.109375" style="505"/>
    <col min="9722" max="9722" width="12" style="505" bestFit="1" customWidth="1"/>
    <col min="9723" max="9723" width="18.33203125" style="505" bestFit="1" customWidth="1"/>
    <col min="9724" max="9724" width="9.109375" style="505"/>
    <col min="9725" max="9725" width="26.33203125" style="505" bestFit="1" customWidth="1"/>
    <col min="9726" max="9972" width="9.109375" style="505"/>
    <col min="9973" max="9973" width="11.33203125" style="505" customWidth="1"/>
    <col min="9974" max="9974" width="11.6640625" style="505" bestFit="1" customWidth="1"/>
    <col min="9975" max="9977" width="9.109375" style="505"/>
    <col min="9978" max="9978" width="12" style="505" bestFit="1" customWidth="1"/>
    <col min="9979" max="9979" width="18.33203125" style="505" bestFit="1" customWidth="1"/>
    <col min="9980" max="9980" width="9.109375" style="505"/>
    <col min="9981" max="9981" width="26.33203125" style="505" bestFit="1" customWidth="1"/>
    <col min="9982" max="10228" width="9.109375" style="505"/>
    <col min="10229" max="10229" width="11.33203125" style="505" customWidth="1"/>
    <col min="10230" max="10230" width="11.6640625" style="505" bestFit="1" customWidth="1"/>
    <col min="10231" max="10233" width="9.109375" style="505"/>
    <col min="10234" max="10234" width="12" style="505" bestFit="1" customWidth="1"/>
    <col min="10235" max="10235" width="18.33203125" style="505" bestFit="1" customWidth="1"/>
    <col min="10236" max="10236" width="9.109375" style="505"/>
    <col min="10237" max="10237" width="26.33203125" style="505" bestFit="1" customWidth="1"/>
    <col min="10238" max="10484" width="9.109375" style="505"/>
    <col min="10485" max="10485" width="11.33203125" style="505" customWidth="1"/>
    <col min="10486" max="10486" width="11.6640625" style="505" bestFit="1" customWidth="1"/>
    <col min="10487" max="10489" width="9.109375" style="505"/>
    <col min="10490" max="10490" width="12" style="505" bestFit="1" customWidth="1"/>
    <col min="10491" max="10491" width="18.33203125" style="505" bestFit="1" customWidth="1"/>
    <col min="10492" max="10492" width="9.109375" style="505"/>
    <col min="10493" max="10493" width="26.33203125" style="505" bestFit="1" customWidth="1"/>
    <col min="10494" max="10740" width="9.109375" style="505"/>
    <col min="10741" max="10741" width="11.33203125" style="505" customWidth="1"/>
    <col min="10742" max="10742" width="11.6640625" style="505" bestFit="1" customWidth="1"/>
    <col min="10743" max="10745" width="9.109375" style="505"/>
    <col min="10746" max="10746" width="12" style="505" bestFit="1" customWidth="1"/>
    <col min="10747" max="10747" width="18.33203125" style="505" bestFit="1" customWidth="1"/>
    <col min="10748" max="10748" width="9.109375" style="505"/>
    <col min="10749" max="10749" width="26.33203125" style="505" bestFit="1" customWidth="1"/>
    <col min="10750" max="10996" width="9.109375" style="505"/>
    <col min="10997" max="10997" width="11.33203125" style="505" customWidth="1"/>
    <col min="10998" max="10998" width="11.6640625" style="505" bestFit="1" customWidth="1"/>
    <col min="10999" max="11001" width="9.109375" style="505"/>
    <col min="11002" max="11002" width="12" style="505" bestFit="1" customWidth="1"/>
    <col min="11003" max="11003" width="18.33203125" style="505" bestFit="1" customWidth="1"/>
    <col min="11004" max="11004" width="9.109375" style="505"/>
    <col min="11005" max="11005" width="26.33203125" style="505" bestFit="1" customWidth="1"/>
    <col min="11006" max="11252" width="9.109375" style="505"/>
    <col min="11253" max="11253" width="11.33203125" style="505" customWidth="1"/>
    <col min="11254" max="11254" width="11.6640625" style="505" bestFit="1" customWidth="1"/>
    <col min="11255" max="11257" width="9.109375" style="505"/>
    <col min="11258" max="11258" width="12" style="505" bestFit="1" customWidth="1"/>
    <col min="11259" max="11259" width="18.33203125" style="505" bestFit="1" customWidth="1"/>
    <col min="11260" max="11260" width="9.109375" style="505"/>
    <col min="11261" max="11261" width="26.33203125" style="505" bestFit="1" customWidth="1"/>
    <col min="11262" max="11508" width="9.109375" style="505"/>
    <col min="11509" max="11509" width="11.33203125" style="505" customWidth="1"/>
    <col min="11510" max="11510" width="11.6640625" style="505" bestFit="1" customWidth="1"/>
    <col min="11511" max="11513" width="9.109375" style="505"/>
    <col min="11514" max="11514" width="12" style="505" bestFit="1" customWidth="1"/>
    <col min="11515" max="11515" width="18.33203125" style="505" bestFit="1" customWidth="1"/>
    <col min="11516" max="11516" width="9.109375" style="505"/>
    <col min="11517" max="11517" width="26.33203125" style="505" bestFit="1" customWidth="1"/>
    <col min="11518" max="11764" width="9.109375" style="505"/>
    <col min="11765" max="11765" width="11.33203125" style="505" customWidth="1"/>
    <col min="11766" max="11766" width="11.6640625" style="505" bestFit="1" customWidth="1"/>
    <col min="11767" max="11769" width="9.109375" style="505"/>
    <col min="11770" max="11770" width="12" style="505" bestFit="1" customWidth="1"/>
    <col min="11771" max="11771" width="18.33203125" style="505" bestFit="1" customWidth="1"/>
    <col min="11772" max="11772" width="9.109375" style="505"/>
    <col min="11773" max="11773" width="26.33203125" style="505" bestFit="1" customWidth="1"/>
    <col min="11774" max="12020" width="9.109375" style="505"/>
    <col min="12021" max="12021" width="11.33203125" style="505" customWidth="1"/>
    <col min="12022" max="12022" width="11.6640625" style="505" bestFit="1" customWidth="1"/>
    <col min="12023" max="12025" width="9.109375" style="505"/>
    <col min="12026" max="12026" width="12" style="505" bestFit="1" customWidth="1"/>
    <col min="12027" max="12027" width="18.33203125" style="505" bestFit="1" customWidth="1"/>
    <col min="12028" max="12028" width="9.109375" style="505"/>
    <col min="12029" max="12029" width="26.33203125" style="505" bestFit="1" customWidth="1"/>
    <col min="12030" max="12276" width="9.109375" style="505"/>
    <col min="12277" max="12277" width="11.33203125" style="505" customWidth="1"/>
    <col min="12278" max="12278" width="11.6640625" style="505" bestFit="1" customWidth="1"/>
    <col min="12279" max="12281" width="9.109375" style="505"/>
    <col min="12282" max="12282" width="12" style="505" bestFit="1" customWidth="1"/>
    <col min="12283" max="12283" width="18.33203125" style="505" bestFit="1" customWidth="1"/>
    <col min="12284" max="12284" width="9.109375" style="505"/>
    <col min="12285" max="12285" width="26.33203125" style="505" bestFit="1" customWidth="1"/>
    <col min="12286" max="12532" width="9.109375" style="505"/>
    <col min="12533" max="12533" width="11.33203125" style="505" customWidth="1"/>
    <col min="12534" max="12534" width="11.6640625" style="505" bestFit="1" customWidth="1"/>
    <col min="12535" max="12537" width="9.109375" style="505"/>
    <col min="12538" max="12538" width="12" style="505" bestFit="1" customWidth="1"/>
    <col min="12539" max="12539" width="18.33203125" style="505" bestFit="1" customWidth="1"/>
    <col min="12540" max="12540" width="9.109375" style="505"/>
    <col min="12541" max="12541" width="26.33203125" style="505" bestFit="1" customWidth="1"/>
    <col min="12542" max="12788" width="9.109375" style="505"/>
    <col min="12789" max="12789" width="11.33203125" style="505" customWidth="1"/>
    <col min="12790" max="12790" width="11.6640625" style="505" bestFit="1" customWidth="1"/>
    <col min="12791" max="12793" width="9.109375" style="505"/>
    <col min="12794" max="12794" width="12" style="505" bestFit="1" customWidth="1"/>
    <col min="12795" max="12795" width="18.33203125" style="505" bestFit="1" customWidth="1"/>
    <col min="12796" max="12796" width="9.109375" style="505"/>
    <col min="12797" max="12797" width="26.33203125" style="505" bestFit="1" customWidth="1"/>
    <col min="12798" max="13044" width="9.109375" style="505"/>
    <col min="13045" max="13045" width="11.33203125" style="505" customWidth="1"/>
    <col min="13046" max="13046" width="11.6640625" style="505" bestFit="1" customWidth="1"/>
    <col min="13047" max="13049" width="9.109375" style="505"/>
    <col min="13050" max="13050" width="12" style="505" bestFit="1" customWidth="1"/>
    <col min="13051" max="13051" width="18.33203125" style="505" bestFit="1" customWidth="1"/>
    <col min="13052" max="13052" width="9.109375" style="505"/>
    <col min="13053" max="13053" width="26.33203125" style="505" bestFit="1" customWidth="1"/>
    <col min="13054" max="13300" width="9.109375" style="505"/>
    <col min="13301" max="13301" width="11.33203125" style="505" customWidth="1"/>
    <col min="13302" max="13302" width="11.6640625" style="505" bestFit="1" customWidth="1"/>
    <col min="13303" max="13305" width="9.109375" style="505"/>
    <col min="13306" max="13306" width="12" style="505" bestFit="1" customWidth="1"/>
    <col min="13307" max="13307" width="18.33203125" style="505" bestFit="1" customWidth="1"/>
    <col min="13308" max="13308" width="9.109375" style="505"/>
    <col min="13309" max="13309" width="26.33203125" style="505" bestFit="1" customWidth="1"/>
    <col min="13310" max="13556" width="9.109375" style="505"/>
    <col min="13557" max="13557" width="11.33203125" style="505" customWidth="1"/>
    <col min="13558" max="13558" width="11.6640625" style="505" bestFit="1" customWidth="1"/>
    <col min="13559" max="13561" width="9.109375" style="505"/>
    <col min="13562" max="13562" width="12" style="505" bestFit="1" customWidth="1"/>
    <col min="13563" max="13563" width="18.33203125" style="505" bestFit="1" customWidth="1"/>
    <col min="13564" max="13564" width="9.109375" style="505"/>
    <col min="13565" max="13565" width="26.33203125" style="505" bestFit="1" customWidth="1"/>
    <col min="13566" max="13812" width="9.109375" style="505"/>
    <col min="13813" max="13813" width="11.33203125" style="505" customWidth="1"/>
    <col min="13814" max="13814" width="11.6640625" style="505" bestFit="1" customWidth="1"/>
    <col min="13815" max="13817" width="9.109375" style="505"/>
    <col min="13818" max="13818" width="12" style="505" bestFit="1" customWidth="1"/>
    <col min="13819" max="13819" width="18.33203125" style="505" bestFit="1" customWidth="1"/>
    <col min="13820" max="13820" width="9.109375" style="505"/>
    <col min="13821" max="13821" width="26.33203125" style="505" bestFit="1" customWidth="1"/>
    <col min="13822" max="14068" width="9.109375" style="505"/>
    <col min="14069" max="14069" width="11.33203125" style="505" customWidth="1"/>
    <col min="14070" max="14070" width="11.6640625" style="505" bestFit="1" customWidth="1"/>
    <col min="14071" max="14073" width="9.109375" style="505"/>
    <col min="14074" max="14074" width="12" style="505" bestFit="1" customWidth="1"/>
    <col min="14075" max="14075" width="18.33203125" style="505" bestFit="1" customWidth="1"/>
    <col min="14076" max="14076" width="9.109375" style="505"/>
    <col min="14077" max="14077" width="26.33203125" style="505" bestFit="1" customWidth="1"/>
    <col min="14078" max="14324" width="9.109375" style="505"/>
    <col min="14325" max="14325" width="11.33203125" style="505" customWidth="1"/>
    <col min="14326" max="14326" width="11.6640625" style="505" bestFit="1" customWidth="1"/>
    <col min="14327" max="14329" width="9.109375" style="505"/>
    <col min="14330" max="14330" width="12" style="505" bestFit="1" customWidth="1"/>
    <col min="14331" max="14331" width="18.33203125" style="505" bestFit="1" customWidth="1"/>
    <col min="14332" max="14332" width="9.109375" style="505"/>
    <col min="14333" max="14333" width="26.33203125" style="505" bestFit="1" customWidth="1"/>
    <col min="14334" max="14580" width="9.109375" style="505"/>
    <col min="14581" max="14581" width="11.33203125" style="505" customWidth="1"/>
    <col min="14582" max="14582" width="11.6640625" style="505" bestFit="1" customWidth="1"/>
    <col min="14583" max="14585" width="9.109375" style="505"/>
    <col min="14586" max="14586" width="12" style="505" bestFit="1" customWidth="1"/>
    <col min="14587" max="14587" width="18.33203125" style="505" bestFit="1" customWidth="1"/>
    <col min="14588" max="14588" width="9.109375" style="505"/>
    <col min="14589" max="14589" width="26.33203125" style="505" bestFit="1" customWidth="1"/>
    <col min="14590" max="14836" width="9.109375" style="505"/>
    <col min="14837" max="14837" width="11.33203125" style="505" customWidth="1"/>
    <col min="14838" max="14838" width="11.6640625" style="505" bestFit="1" customWidth="1"/>
    <col min="14839" max="14841" width="9.109375" style="505"/>
    <col min="14842" max="14842" width="12" style="505" bestFit="1" customWidth="1"/>
    <col min="14843" max="14843" width="18.33203125" style="505" bestFit="1" customWidth="1"/>
    <col min="14844" max="14844" width="9.109375" style="505"/>
    <col min="14845" max="14845" width="26.33203125" style="505" bestFit="1" customWidth="1"/>
    <col min="14846" max="15092" width="9.109375" style="505"/>
    <col min="15093" max="15093" width="11.33203125" style="505" customWidth="1"/>
    <col min="15094" max="15094" width="11.6640625" style="505" bestFit="1" customWidth="1"/>
    <col min="15095" max="15097" width="9.109375" style="505"/>
    <col min="15098" max="15098" width="12" style="505" bestFit="1" customWidth="1"/>
    <col min="15099" max="15099" width="18.33203125" style="505" bestFit="1" customWidth="1"/>
    <col min="15100" max="15100" width="9.109375" style="505"/>
    <col min="15101" max="15101" width="26.33203125" style="505" bestFit="1" customWidth="1"/>
    <col min="15102" max="15348" width="9.109375" style="505"/>
    <col min="15349" max="15349" width="11.33203125" style="505" customWidth="1"/>
    <col min="15350" max="15350" width="11.6640625" style="505" bestFit="1" customWidth="1"/>
    <col min="15351" max="15353" width="9.109375" style="505"/>
    <col min="15354" max="15354" width="12" style="505" bestFit="1" customWidth="1"/>
    <col min="15355" max="15355" width="18.33203125" style="505" bestFit="1" customWidth="1"/>
    <col min="15356" max="15356" width="9.109375" style="505"/>
    <col min="15357" max="15357" width="26.33203125" style="505" bestFit="1" customWidth="1"/>
    <col min="15358" max="15604" width="9.109375" style="505"/>
    <col min="15605" max="15605" width="11.33203125" style="505" customWidth="1"/>
    <col min="15606" max="15606" width="11.6640625" style="505" bestFit="1" customWidth="1"/>
    <col min="15607" max="15609" width="9.109375" style="505"/>
    <col min="15610" max="15610" width="12" style="505" bestFit="1" customWidth="1"/>
    <col min="15611" max="15611" width="18.33203125" style="505" bestFit="1" customWidth="1"/>
    <col min="15612" max="15612" width="9.109375" style="505"/>
    <col min="15613" max="15613" width="26.33203125" style="505" bestFit="1" customWidth="1"/>
    <col min="15614" max="15860" width="9.109375" style="505"/>
    <col min="15861" max="15861" width="11.33203125" style="505" customWidth="1"/>
    <col min="15862" max="15862" width="11.6640625" style="505" bestFit="1" customWidth="1"/>
    <col min="15863" max="15865" width="9.109375" style="505"/>
    <col min="15866" max="15866" width="12" style="505" bestFit="1" customWidth="1"/>
    <col min="15867" max="15867" width="18.33203125" style="505" bestFit="1" customWidth="1"/>
    <col min="15868" max="15868" width="9.109375" style="505"/>
    <col min="15869" max="15869" width="26.33203125" style="505" bestFit="1" customWidth="1"/>
    <col min="15870" max="16116" width="9.109375" style="505"/>
    <col min="16117" max="16117" width="11.33203125" style="505" customWidth="1"/>
    <col min="16118" max="16118" width="11.6640625" style="505" bestFit="1" customWidth="1"/>
    <col min="16119" max="16121" width="9.109375" style="505"/>
    <col min="16122" max="16122" width="12" style="505" bestFit="1" customWidth="1"/>
    <col min="16123" max="16123" width="18.33203125" style="505" bestFit="1" customWidth="1"/>
    <col min="16124" max="16124" width="9.109375" style="505"/>
    <col min="16125" max="16125" width="26.33203125" style="505" bestFit="1" customWidth="1"/>
    <col min="16126" max="16384" width="9.109375" style="505"/>
  </cols>
  <sheetData>
    <row r="1" spans="1:9" ht="15.6">
      <c r="A1" s="504" t="s">
        <v>341</v>
      </c>
    </row>
    <row r="2" spans="1:9" ht="15.6">
      <c r="A2" s="504" t="s">
        <v>752</v>
      </c>
    </row>
    <row r="3" spans="1:9" ht="15.6">
      <c r="A3" s="506" t="s">
        <v>759</v>
      </c>
    </row>
    <row r="6" spans="1:9">
      <c r="A6" s="507" t="s">
        <v>753</v>
      </c>
      <c r="G6" s="508">
        <f>'ATC Attach O ER15-358'!I20</f>
        <v>554261448.72795475</v>
      </c>
      <c r="H6" s="509"/>
      <c r="I6" s="946"/>
    </row>
    <row r="7" spans="1:9">
      <c r="G7" s="508"/>
      <c r="H7" s="509"/>
      <c r="I7" s="946"/>
    </row>
    <row r="8" spans="1:9">
      <c r="A8" s="507" t="s">
        <v>754</v>
      </c>
      <c r="G8" s="508">
        <f>'Revenue Breakout'!C12</f>
        <v>555124391.03999996</v>
      </c>
      <c r="H8" s="509"/>
      <c r="I8" s="946"/>
    </row>
    <row r="9" spans="1:9">
      <c r="G9" s="508"/>
      <c r="I9" s="946"/>
    </row>
    <row r="10" spans="1:9" ht="15.6" thickBot="1">
      <c r="A10" s="505" t="s">
        <v>760</v>
      </c>
      <c r="G10" s="510">
        <f>G6-G8</f>
        <v>-862942.31204521656</v>
      </c>
      <c r="I10" s="946"/>
    </row>
    <row r="11" spans="1:9" ht="15.6" thickTop="1">
      <c r="G11" s="508"/>
      <c r="I11" s="511"/>
    </row>
  </sheetData>
  <pageMargins left="0.5" right="0.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workbookViewId="0">
      <selection activeCell="G34" sqref="G34"/>
    </sheetView>
  </sheetViews>
  <sheetFormatPr defaultRowHeight="13.2"/>
  <cols>
    <col min="5" max="5" width="10.5546875" bestFit="1" customWidth="1"/>
    <col min="7" max="7" width="11.6640625" bestFit="1" customWidth="1"/>
  </cols>
  <sheetData>
    <row r="1" spans="1:9" s="427" customFormat="1">
      <c r="A1" s="470" t="s">
        <v>341</v>
      </c>
    </row>
    <row r="2" spans="1:9" s="427" customFormat="1">
      <c r="A2" s="470" t="s">
        <v>894</v>
      </c>
    </row>
    <row r="3" spans="1:9" s="427" customFormat="1">
      <c r="A3" s="472" t="s">
        <v>895</v>
      </c>
    </row>
    <row r="4" spans="1:9" s="427" customFormat="1">
      <c r="A4" s="472"/>
    </row>
    <row r="6" spans="1:9" ht="14.4">
      <c r="B6" s="732" t="s">
        <v>764</v>
      </c>
      <c r="C6" s="700"/>
      <c r="D6" s="701"/>
      <c r="E6" s="701"/>
      <c r="F6" s="701"/>
      <c r="G6" s="556"/>
      <c r="H6" s="702"/>
      <c r="I6" s="614"/>
    </row>
    <row r="7" spans="1:9" ht="14.4">
      <c r="B7" s="718" t="s">
        <v>763</v>
      </c>
      <c r="C7" s="702"/>
      <c r="D7" s="702"/>
      <c r="E7" s="702"/>
      <c r="F7" s="702"/>
      <c r="G7" s="702"/>
      <c r="H7" s="702"/>
      <c r="I7" s="614"/>
    </row>
    <row r="8" spans="1:9" ht="14.4">
      <c r="B8" s="718"/>
      <c r="C8" s="702"/>
      <c r="D8" s="702"/>
      <c r="E8" s="702"/>
      <c r="F8" s="702"/>
      <c r="G8" s="549">
        <f>-'ATC Sch 1 - True up Adj 2013'!G24</f>
        <v>122155.12000000104</v>
      </c>
      <c r="H8" s="702"/>
      <c r="I8" s="614"/>
    </row>
    <row r="9" spans="1:9" ht="14.4">
      <c r="B9" s="719" t="s">
        <v>765</v>
      </c>
      <c r="C9" s="702"/>
      <c r="D9" s="702"/>
      <c r="E9" s="702"/>
      <c r="F9" s="702"/>
      <c r="G9" s="703"/>
      <c r="H9" s="720"/>
      <c r="I9" s="614"/>
    </row>
    <row r="10" spans="1:9" ht="14.4">
      <c r="B10" s="702"/>
      <c r="C10" s="721" t="s">
        <v>766</v>
      </c>
      <c r="D10" s="702"/>
      <c r="E10" s="722">
        <v>2.7000000000000001E-3</v>
      </c>
      <c r="F10" s="702"/>
      <c r="G10" s="704"/>
      <c r="H10" s="702"/>
      <c r="I10" s="614"/>
    </row>
    <row r="11" spans="1:9" ht="14.4">
      <c r="B11" s="702"/>
      <c r="C11" s="721" t="s">
        <v>767</v>
      </c>
      <c r="D11" s="702"/>
      <c r="E11" s="722">
        <v>2.7000000000000001E-3</v>
      </c>
      <c r="F11" s="702"/>
      <c r="G11" s="702"/>
      <c r="H11" s="702"/>
      <c r="I11" s="614"/>
    </row>
    <row r="12" spans="1:9" ht="14.4">
      <c r="B12" s="720"/>
      <c r="C12" s="721" t="s">
        <v>768</v>
      </c>
      <c r="D12" s="702"/>
      <c r="E12" s="722">
        <v>2.7000000000000001E-3</v>
      </c>
      <c r="F12" s="723"/>
      <c r="G12" s="724"/>
      <c r="H12" s="720"/>
      <c r="I12" s="614"/>
    </row>
    <row r="13" spans="1:9" ht="14.4">
      <c r="B13" s="720"/>
      <c r="C13" s="721" t="s">
        <v>769</v>
      </c>
      <c r="D13" s="702"/>
      <c r="E13" s="722">
        <v>2.7000000000000001E-3</v>
      </c>
      <c r="F13" s="720"/>
      <c r="G13" s="724"/>
      <c r="H13" s="720"/>
      <c r="I13" s="614"/>
    </row>
    <row r="14" spans="1:9" ht="14.4">
      <c r="B14" s="720"/>
      <c r="C14" s="721" t="s">
        <v>756</v>
      </c>
      <c r="D14" s="720"/>
      <c r="E14" s="722">
        <v>2.7000000000000001E-3</v>
      </c>
      <c r="F14" s="720"/>
      <c r="G14" s="720"/>
      <c r="H14" s="720"/>
      <c r="I14" s="614"/>
    </row>
    <row r="15" spans="1:9" ht="14.4">
      <c r="B15" s="720"/>
      <c r="C15" s="721" t="s">
        <v>757</v>
      </c>
      <c r="D15" s="720"/>
      <c r="E15" s="722">
        <v>2.7000000000000001E-3</v>
      </c>
      <c r="F15" s="720"/>
      <c r="G15" s="720"/>
      <c r="H15" s="720"/>
      <c r="I15" s="614"/>
    </row>
    <row r="16" spans="1:9" ht="14.4">
      <c r="B16" s="720"/>
      <c r="C16" s="721" t="s">
        <v>758</v>
      </c>
      <c r="D16" s="702"/>
      <c r="E16" s="722">
        <v>2.7000000000000001E-3</v>
      </c>
      <c r="F16" s="720"/>
      <c r="G16" s="720"/>
      <c r="H16" s="720"/>
      <c r="I16" s="614"/>
    </row>
    <row r="17" spans="2:9" ht="14.4">
      <c r="B17" s="720"/>
      <c r="C17" s="702"/>
      <c r="D17" s="702"/>
      <c r="E17" s="725"/>
      <c r="F17" s="720"/>
      <c r="G17" s="720"/>
      <c r="H17" s="720"/>
      <c r="I17" s="614"/>
    </row>
    <row r="18" spans="2:9" ht="14.4">
      <c r="B18" s="720"/>
      <c r="C18" s="702"/>
      <c r="D18" s="702"/>
      <c r="E18" s="705"/>
      <c r="F18" s="720"/>
      <c r="G18" s="720"/>
      <c r="H18" s="720"/>
      <c r="I18" s="614"/>
    </row>
    <row r="19" spans="2:9" ht="14.4">
      <c r="B19" s="720"/>
      <c r="C19" s="702" t="s">
        <v>579</v>
      </c>
      <c r="D19" s="702"/>
      <c r="E19" s="726">
        <f>AVERAGE(E10:E16)</f>
        <v>2.7000000000000006E-3</v>
      </c>
      <c r="F19" s="720"/>
      <c r="G19" s="706">
        <f>+E19</f>
        <v>2.7000000000000006E-3</v>
      </c>
      <c r="H19" s="702" t="s">
        <v>770</v>
      </c>
      <c r="I19" s="614"/>
    </row>
    <row r="20" spans="2:9" ht="14.4">
      <c r="B20" s="720"/>
      <c r="C20" s="702"/>
      <c r="D20" s="702"/>
      <c r="E20" s="727"/>
      <c r="F20" s="720"/>
      <c r="G20" s="720"/>
      <c r="H20" s="720"/>
      <c r="I20" s="614"/>
    </row>
    <row r="21" spans="2:9" ht="14.4">
      <c r="B21" s="720"/>
      <c r="C21" s="702"/>
      <c r="D21" s="702"/>
      <c r="E21" s="727"/>
      <c r="F21" s="720"/>
      <c r="G21" s="783">
        <f>G8*G19</f>
        <v>329.81882400000291</v>
      </c>
      <c r="H21" s="720" t="s">
        <v>755</v>
      </c>
      <c r="I21" s="614"/>
    </row>
    <row r="22" spans="2:9" ht="14.4">
      <c r="B22" s="720"/>
      <c r="C22" s="702"/>
      <c r="D22" s="702"/>
      <c r="E22" s="727"/>
      <c r="F22" s="720"/>
      <c r="G22" s="720"/>
      <c r="H22" s="720"/>
      <c r="I22" s="614"/>
    </row>
    <row r="23" spans="2:9" ht="14.4">
      <c r="B23" s="720"/>
      <c r="C23" s="720"/>
      <c r="D23" s="728"/>
      <c r="E23" s="729"/>
      <c r="F23" s="730" t="s">
        <v>771</v>
      </c>
      <c r="G23" s="707" t="s">
        <v>772</v>
      </c>
      <c r="H23" s="720"/>
      <c r="I23" s="614"/>
    </row>
    <row r="24" spans="2:9" ht="14.4">
      <c r="B24" s="720"/>
      <c r="C24" s="720"/>
      <c r="D24" s="547" t="s">
        <v>773</v>
      </c>
      <c r="E24" s="720"/>
      <c r="F24" s="720"/>
      <c r="G24" s="783">
        <f>G21*F23</f>
        <v>7915.6517760000697</v>
      </c>
      <c r="H24" s="720"/>
      <c r="I24" s="614"/>
    </row>
    <row r="25" spans="2:9" ht="14.4">
      <c r="B25" s="731"/>
      <c r="C25" s="699"/>
      <c r="D25" s="699"/>
      <c r="E25" s="699"/>
      <c r="F25" s="699"/>
      <c r="G25" s="699"/>
      <c r="H25" s="699"/>
      <c r="I25" s="614"/>
    </row>
    <row r="26" spans="2:9" ht="15" thickBot="1">
      <c r="B26" s="731"/>
      <c r="C26" s="699"/>
      <c r="D26" s="699"/>
      <c r="E26" s="699"/>
      <c r="F26" s="699"/>
      <c r="G26" s="548">
        <f>G8+G24</f>
        <v>130070.77177600111</v>
      </c>
      <c r="H26" s="699"/>
      <c r="I26" s="614"/>
    </row>
    <row r="27" spans="2:9" ht="13.8" thickTop="1">
      <c r="B27" s="614"/>
      <c r="C27" s="614"/>
      <c r="D27" s="614"/>
      <c r="E27" s="614"/>
      <c r="F27" s="614"/>
      <c r="G27" s="614"/>
      <c r="H27" s="614"/>
      <c r="I27" s="614"/>
    </row>
    <row r="34" spans="7:7">
      <c r="G34" s="957"/>
    </row>
  </sheetData>
  <pageMargins left="0.7" right="0.7" top="0.75" bottom="0.75" header="0.3" footer="0.3"/>
  <pageSetup scale="96" orientation="portrait" verticalDpi="0" r:id="rId1"/>
  <ignoredErrors>
    <ignoredError sqref="F23"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38"/>
  <sheetViews>
    <sheetView zoomScale="85" zoomScaleNormal="85" zoomScaleSheetLayoutView="100" workbookViewId="0">
      <selection activeCell="C5" sqref="C5"/>
    </sheetView>
  </sheetViews>
  <sheetFormatPr defaultColWidth="9.109375" defaultRowHeight="13.8"/>
  <cols>
    <col min="1" max="1" width="5.5546875" style="376" customWidth="1"/>
    <col min="2" max="2" width="19.109375" style="378" customWidth="1"/>
    <col min="3" max="3" width="20.33203125" style="378" customWidth="1"/>
    <col min="4" max="4" width="15.33203125" style="378" customWidth="1"/>
    <col min="5" max="5" width="37.44140625" style="378" bestFit="1" customWidth="1"/>
    <col min="6" max="6" width="4" style="378" customWidth="1"/>
    <col min="7" max="7" width="12.6640625" style="378" customWidth="1"/>
    <col min="8" max="8" width="9.109375" style="379"/>
    <col min="9" max="16384" width="9.109375" style="378"/>
  </cols>
  <sheetData>
    <row r="2" spans="1:10" ht="17.399999999999999">
      <c r="B2" s="377" t="s">
        <v>564</v>
      </c>
    </row>
    <row r="4" spans="1:10">
      <c r="B4" s="378" t="s">
        <v>541</v>
      </c>
      <c r="C4" s="380" t="s">
        <v>341</v>
      </c>
      <c r="D4" s="380"/>
    </row>
    <row r="6" spans="1:10">
      <c r="B6" s="378" t="s">
        <v>543</v>
      </c>
      <c r="C6" s="383">
        <v>2015</v>
      </c>
    </row>
    <row r="9" spans="1:10">
      <c r="B9" s="397" t="s">
        <v>245</v>
      </c>
      <c r="E9" s="397" t="s">
        <v>244</v>
      </c>
      <c r="G9" s="397" t="s">
        <v>243</v>
      </c>
    </row>
    <row r="10" spans="1:10">
      <c r="E10" s="386" t="s">
        <v>240</v>
      </c>
      <c r="G10" s="386" t="s">
        <v>545</v>
      </c>
    </row>
    <row r="11" spans="1:10">
      <c r="A11" s="376" t="s">
        <v>8</v>
      </c>
      <c r="E11" s="386" t="s">
        <v>239</v>
      </c>
      <c r="G11" s="386" t="s">
        <v>334</v>
      </c>
    </row>
    <row r="12" spans="1:10">
      <c r="A12" s="395" t="s">
        <v>177</v>
      </c>
    </row>
    <row r="13" spans="1:10">
      <c r="A13" s="376">
        <v>1</v>
      </c>
      <c r="B13" s="378" t="s">
        <v>565</v>
      </c>
      <c r="E13" s="378" t="s">
        <v>547</v>
      </c>
      <c r="G13" s="389">
        <v>3399454.07</v>
      </c>
      <c r="J13" s="924"/>
    </row>
    <row r="14" spans="1:10">
      <c r="A14" s="376">
        <f>+A13+1</f>
        <v>2</v>
      </c>
      <c r="B14" s="378" t="s">
        <v>548</v>
      </c>
      <c r="E14" s="378" t="s">
        <v>549</v>
      </c>
      <c r="G14" s="389">
        <v>12678692.970000001</v>
      </c>
      <c r="J14" s="924"/>
    </row>
    <row r="15" spans="1:10">
      <c r="A15" s="376">
        <f>+A14+1</f>
        <v>3</v>
      </c>
      <c r="B15" s="378" t="s">
        <v>550</v>
      </c>
      <c r="E15" s="378" t="s">
        <v>551</v>
      </c>
      <c r="G15" s="389">
        <v>0</v>
      </c>
      <c r="J15" s="924"/>
    </row>
    <row r="16" spans="1:10">
      <c r="A16" s="376">
        <f>+A15+1</f>
        <v>4</v>
      </c>
      <c r="B16" s="378" t="s">
        <v>566</v>
      </c>
      <c r="G16" s="390">
        <f>SUM(G13:G15)</f>
        <v>16078147.040000001</v>
      </c>
      <c r="J16" s="924"/>
    </row>
    <row r="18" spans="1:10">
      <c r="A18" s="376">
        <f>+A16+1</f>
        <v>5</v>
      </c>
      <c r="B18" s="378" t="s">
        <v>567</v>
      </c>
      <c r="E18" s="378" t="s">
        <v>568</v>
      </c>
      <c r="G18" s="389">
        <v>0</v>
      </c>
      <c r="J18" s="924"/>
    </row>
    <row r="19" spans="1:10">
      <c r="H19" s="378"/>
    </row>
    <row r="20" spans="1:10">
      <c r="A20" s="376">
        <f>+A18+1</f>
        <v>6</v>
      </c>
      <c r="B20" s="382" t="s">
        <v>569</v>
      </c>
      <c r="C20" s="382"/>
      <c r="D20" s="382"/>
      <c r="E20" s="378" t="str">
        <f>"(Line "&amp;A16&amp;" - Line "&amp;A18&amp;")"</f>
        <v>(Line 4 - Line 5)</v>
      </c>
      <c r="G20" s="392">
        <f>+G16-G18</f>
        <v>16078147.040000001</v>
      </c>
      <c r="J20" s="924"/>
    </row>
    <row r="21" spans="1:10">
      <c r="B21" s="376"/>
      <c r="C21" s="376"/>
      <c r="D21" s="376"/>
      <c r="G21" s="398"/>
    </row>
    <row r="22" spans="1:10">
      <c r="A22" s="376">
        <f>+A20+1</f>
        <v>7</v>
      </c>
      <c r="B22" s="378" t="s">
        <v>570</v>
      </c>
      <c r="E22" s="378" t="s">
        <v>571</v>
      </c>
      <c r="G22" s="389">
        <v>15685245.970000001</v>
      </c>
      <c r="J22" s="924"/>
    </row>
    <row r="24" spans="1:10">
      <c r="A24" s="376">
        <f>A22+1</f>
        <v>8</v>
      </c>
      <c r="B24" s="378" t="s">
        <v>572</v>
      </c>
      <c r="E24" s="378" t="str">
        <f>"(Line "&amp;A20&amp;" - Line "&amp;A22&amp;")"</f>
        <v>(Line 6 - Line 7)</v>
      </c>
      <c r="G24" s="393">
        <f>+G20-G22</f>
        <v>392901.0700000003</v>
      </c>
      <c r="J24" s="924"/>
    </row>
    <row r="26" spans="1:10">
      <c r="A26" s="394"/>
      <c r="B26" s="399"/>
      <c r="C26" s="399"/>
      <c r="D26" s="399"/>
      <c r="E26" s="399"/>
      <c r="F26" s="399"/>
      <c r="G26" s="399"/>
    </row>
    <row r="27" spans="1:10">
      <c r="A27" s="376" t="s">
        <v>88</v>
      </c>
    </row>
    <row r="28" spans="1:10">
      <c r="A28" s="395" t="s">
        <v>89</v>
      </c>
    </row>
    <row r="29" spans="1:10">
      <c r="A29" s="396" t="s">
        <v>87</v>
      </c>
      <c r="B29" s="1031" t="s">
        <v>573</v>
      </c>
      <c r="C29" s="1031"/>
      <c r="D29" s="1031"/>
      <c r="E29" s="1031"/>
      <c r="F29" s="1031"/>
      <c r="G29" s="1031"/>
    </row>
    <row r="30" spans="1:10">
      <c r="A30" s="396" t="s">
        <v>85</v>
      </c>
      <c r="B30" s="1031" t="s">
        <v>574</v>
      </c>
      <c r="C30" s="1031"/>
      <c r="D30" s="1031"/>
      <c r="E30" s="1031"/>
      <c r="F30" s="1031"/>
      <c r="G30" s="1031"/>
    </row>
    <row r="31" spans="1:10">
      <c r="A31" s="396" t="s">
        <v>83</v>
      </c>
      <c r="B31" s="1031" t="s">
        <v>575</v>
      </c>
      <c r="C31" s="1031"/>
      <c r="D31" s="1031"/>
      <c r="E31" s="1031"/>
      <c r="F31" s="1031"/>
      <c r="G31" s="1031"/>
    </row>
    <row r="32" spans="1:10" ht="15" customHeight="1">
      <c r="A32" s="396" t="s">
        <v>82</v>
      </c>
      <c r="B32" s="1031" t="s">
        <v>576</v>
      </c>
      <c r="C32" s="1031"/>
      <c r="D32" s="1031"/>
      <c r="E32" s="1031"/>
      <c r="F32" s="1031"/>
      <c r="G32" s="1031"/>
    </row>
    <row r="33" spans="1:7" ht="30" customHeight="1">
      <c r="A33" s="396" t="s">
        <v>80</v>
      </c>
      <c r="B33" s="1031" t="s">
        <v>577</v>
      </c>
      <c r="C33" s="1031"/>
      <c r="D33" s="1031"/>
      <c r="E33" s="1031"/>
      <c r="F33" s="1031"/>
      <c r="G33" s="1031"/>
    </row>
    <row r="34" spans="1:7" ht="15" customHeight="1">
      <c r="A34" s="396"/>
      <c r="B34" s="1031"/>
      <c r="C34" s="1031"/>
      <c r="D34" s="1031"/>
      <c r="E34" s="1031"/>
      <c r="F34" s="1031"/>
      <c r="G34" s="1031"/>
    </row>
    <row r="35" spans="1:7">
      <c r="A35" s="396"/>
      <c r="B35" s="1031"/>
      <c r="C35" s="1031"/>
      <c r="D35" s="1031"/>
      <c r="E35" s="1031"/>
      <c r="F35" s="1031"/>
      <c r="G35" s="1031"/>
    </row>
    <row r="38" spans="1:7">
      <c r="B38" s="376"/>
    </row>
  </sheetData>
  <mergeCells count="7">
    <mergeCell ref="B35:G35"/>
    <mergeCell ref="B29:G29"/>
    <mergeCell ref="B30:G30"/>
    <mergeCell ref="B31:G31"/>
    <mergeCell ref="B32:G32"/>
    <mergeCell ref="B33:G33"/>
    <mergeCell ref="B34:G34"/>
  </mergeCells>
  <pageMargins left="0.5" right="0.19" top="0.8" bottom="0.5" header="0.3" footer="0.3"/>
  <pageSetup scale="86" orientation="portrait" r:id="rId1"/>
  <headerFooter>
    <oddHeader xml:space="preserve">&amp;R
</oddHeader>
  </headerFooter>
  <rowBreaks count="1" manualBreakCount="1">
    <brk id="76"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1"/>
  <sheetViews>
    <sheetView workbookViewId="0">
      <selection activeCell="P71" sqref="P71"/>
    </sheetView>
  </sheetViews>
  <sheetFormatPr defaultColWidth="9.109375" defaultRowHeight="13.2"/>
  <cols>
    <col min="1" max="1" width="9.109375" style="427"/>
    <col min="2" max="2" width="31.88671875" style="427" customWidth="1"/>
    <col min="3" max="3" width="19" style="427" bestFit="1" customWidth="1"/>
    <col min="4" max="16" width="14.44140625" style="427" customWidth="1"/>
    <col min="17" max="17" width="17.6640625" style="427" bestFit="1" customWidth="1"/>
    <col min="18" max="16384" width="9.109375" style="427"/>
  </cols>
  <sheetData>
    <row r="1" spans="1:6">
      <c r="A1" s="470" t="s">
        <v>341</v>
      </c>
    </row>
    <row r="2" spans="1:6">
      <c r="A2" s="470" t="s">
        <v>834</v>
      </c>
    </row>
    <row r="3" spans="1:6">
      <c r="A3" s="472" t="s">
        <v>777</v>
      </c>
    </row>
    <row r="4" spans="1:6">
      <c r="A4" s="472"/>
    </row>
    <row r="6" spans="1:6">
      <c r="B6" s="893" t="s">
        <v>835</v>
      </c>
      <c r="C6" s="893"/>
      <c r="F6" s="606"/>
    </row>
    <row r="7" spans="1:6" s="894" customFormat="1" ht="26.4">
      <c r="C7" s="895" t="s">
        <v>836</v>
      </c>
      <c r="D7" s="475" t="s">
        <v>837</v>
      </c>
      <c r="E7" s="895" t="s">
        <v>838</v>
      </c>
    </row>
    <row r="8" spans="1:6">
      <c r="B8" s="896">
        <v>42004</v>
      </c>
      <c r="C8" s="897">
        <v>180057822</v>
      </c>
      <c r="D8" s="898">
        <f t="shared" ref="D8" si="0">C8-E8</f>
        <v>3757755</v>
      </c>
      <c r="E8" s="434">
        <v>176300067</v>
      </c>
    </row>
    <row r="9" spans="1:6">
      <c r="B9" s="896">
        <v>42035</v>
      </c>
      <c r="C9" s="897">
        <v>199269909</v>
      </c>
      <c r="D9" s="898">
        <f t="shared" ref="D9:D20" si="1">C9-E9</f>
        <v>4394996</v>
      </c>
      <c r="E9" s="434">
        <v>194874913</v>
      </c>
    </row>
    <row r="10" spans="1:6">
      <c r="B10" s="896">
        <v>42063</v>
      </c>
      <c r="C10" s="897">
        <v>213619839</v>
      </c>
      <c r="D10" s="898">
        <f t="shared" si="1"/>
        <v>5083479</v>
      </c>
      <c r="E10" s="434">
        <v>208536360</v>
      </c>
    </row>
    <row r="11" spans="1:6">
      <c r="B11" s="896">
        <v>42094</v>
      </c>
      <c r="C11" s="897">
        <v>203835749</v>
      </c>
      <c r="D11" s="898">
        <f t="shared" si="1"/>
        <v>6391309</v>
      </c>
      <c r="E11" s="434">
        <v>197444440</v>
      </c>
    </row>
    <row r="12" spans="1:6">
      <c r="B12" s="896">
        <v>42124</v>
      </c>
      <c r="C12" s="897">
        <v>179142336</v>
      </c>
      <c r="D12" s="898">
        <f t="shared" si="1"/>
        <v>7476572</v>
      </c>
      <c r="E12" s="434">
        <v>171665764</v>
      </c>
    </row>
    <row r="13" spans="1:6">
      <c r="B13" s="896">
        <v>42155</v>
      </c>
      <c r="C13" s="897">
        <v>177952587</v>
      </c>
      <c r="D13" s="898">
        <f t="shared" si="1"/>
        <v>7919425</v>
      </c>
      <c r="E13" s="434">
        <v>170033162</v>
      </c>
    </row>
    <row r="14" spans="1:6">
      <c r="B14" s="896">
        <v>42185</v>
      </c>
      <c r="C14" s="897">
        <v>188857686</v>
      </c>
      <c r="D14" s="898">
        <f t="shared" si="1"/>
        <v>7119287</v>
      </c>
      <c r="E14" s="434">
        <v>181738399</v>
      </c>
    </row>
    <row r="15" spans="1:6">
      <c r="B15" s="896">
        <v>42216</v>
      </c>
      <c r="C15" s="897">
        <v>199413772</v>
      </c>
      <c r="D15" s="898">
        <f t="shared" si="1"/>
        <v>8182893</v>
      </c>
      <c r="E15" s="434">
        <v>191230879</v>
      </c>
    </row>
    <row r="16" spans="1:6">
      <c r="B16" s="896">
        <v>42247</v>
      </c>
      <c r="C16" s="897">
        <v>195624860</v>
      </c>
      <c r="D16" s="898">
        <f t="shared" si="1"/>
        <v>8890443</v>
      </c>
      <c r="E16" s="434">
        <v>186734417</v>
      </c>
    </row>
    <row r="17" spans="1:17">
      <c r="B17" s="896">
        <v>42277</v>
      </c>
      <c r="C17" s="897">
        <v>215971019</v>
      </c>
      <c r="D17" s="898">
        <f t="shared" si="1"/>
        <v>10615723</v>
      </c>
      <c r="E17" s="434">
        <v>205355296</v>
      </c>
    </row>
    <row r="18" spans="1:17">
      <c r="B18" s="896">
        <v>42308</v>
      </c>
      <c r="C18" s="897">
        <v>221023126</v>
      </c>
      <c r="D18" s="898">
        <f t="shared" si="1"/>
        <v>11856261</v>
      </c>
      <c r="E18" s="434">
        <v>209166865</v>
      </c>
    </row>
    <row r="19" spans="1:17">
      <c r="B19" s="896">
        <v>42338</v>
      </c>
      <c r="C19" s="897">
        <v>220062066</v>
      </c>
      <c r="D19" s="898">
        <f t="shared" si="1"/>
        <v>10112404</v>
      </c>
      <c r="E19" s="434">
        <v>209949662</v>
      </c>
    </row>
    <row r="20" spans="1:17">
      <c r="B20" s="896">
        <v>42369</v>
      </c>
      <c r="C20" s="897">
        <v>229823840</v>
      </c>
      <c r="D20" s="898">
        <f t="shared" si="1"/>
        <v>8629685</v>
      </c>
      <c r="E20" s="434">
        <v>221194155</v>
      </c>
    </row>
    <row r="21" spans="1:17">
      <c r="C21" s="899"/>
      <c r="D21" s="899"/>
      <c r="E21" s="899"/>
    </row>
    <row r="22" spans="1:17">
      <c r="B22" s="900" t="s">
        <v>839</v>
      </c>
      <c r="C22" s="899"/>
      <c r="D22" s="899"/>
      <c r="E22" s="901">
        <f>SUM(E8:E20)/13</f>
        <v>194171106.07692307</v>
      </c>
    </row>
    <row r="25" spans="1:17">
      <c r="A25" s="893"/>
      <c r="B25" s="893" t="s">
        <v>840</v>
      </c>
    </row>
    <row r="26" spans="1:17" s="902" customFormat="1">
      <c r="D26" s="903">
        <v>42004</v>
      </c>
      <c r="E26" s="903">
        <v>42035</v>
      </c>
      <c r="F26" s="903">
        <v>42063</v>
      </c>
      <c r="G26" s="903">
        <v>42094</v>
      </c>
      <c r="H26" s="903">
        <v>42124</v>
      </c>
      <c r="I26" s="903">
        <v>42155</v>
      </c>
      <c r="J26" s="903">
        <v>42185</v>
      </c>
      <c r="K26" s="903">
        <v>42216</v>
      </c>
      <c r="L26" s="903">
        <v>42247</v>
      </c>
      <c r="M26" s="903">
        <v>42277</v>
      </c>
      <c r="N26" s="903">
        <v>42308</v>
      </c>
      <c r="O26" s="903">
        <v>42338</v>
      </c>
      <c r="P26" s="903">
        <v>42369</v>
      </c>
      <c r="Q26" s="904" t="s">
        <v>841</v>
      </c>
    </row>
    <row r="27" spans="1:17">
      <c r="A27" s="428"/>
      <c r="B27" s="911" t="s">
        <v>846</v>
      </c>
      <c r="C27" s="913"/>
      <c r="D27" s="418">
        <v>11622239.209999997</v>
      </c>
      <c r="E27" s="418">
        <v>17382322.890000001</v>
      </c>
      <c r="F27" s="418">
        <v>23418369.010000005</v>
      </c>
      <c r="G27" s="418">
        <v>28327373.349999998</v>
      </c>
      <c r="H27" s="418">
        <v>30036572.160000004</v>
      </c>
      <c r="I27" s="418">
        <v>34036840.170000009</v>
      </c>
      <c r="J27" s="418">
        <v>40210193.079999998</v>
      </c>
      <c r="K27" s="418">
        <v>46051756.099999994</v>
      </c>
      <c r="L27" s="418">
        <v>51389951.07</v>
      </c>
      <c r="M27" s="418">
        <v>55906950.789999992</v>
      </c>
      <c r="N27" s="418">
        <v>59203727.850000001</v>
      </c>
      <c r="O27" s="418">
        <v>62429914.180000007</v>
      </c>
      <c r="P27" s="418">
        <v>65579804.299999997</v>
      </c>
      <c r="Q27" s="905">
        <f>AVERAGE(D27:P27)</f>
        <v>40430462.627692312</v>
      </c>
    </row>
    <row r="28" spans="1:17">
      <c r="A28" s="428"/>
      <c r="B28" s="911" t="s">
        <v>843</v>
      </c>
      <c r="C28" s="913"/>
      <c r="D28" s="418">
        <v>19992631.250000004</v>
      </c>
      <c r="E28" s="418">
        <v>20848521.140000004</v>
      </c>
      <c r="F28" s="418">
        <v>21337767.459999997</v>
      </c>
      <c r="G28" s="418">
        <v>21614693.77</v>
      </c>
      <c r="H28" s="418">
        <v>21982893.690000001</v>
      </c>
      <c r="I28" s="418">
        <v>22270421.010000005</v>
      </c>
      <c r="J28" s="418">
        <v>22797410.610000003</v>
      </c>
      <c r="K28" s="418">
        <v>20044360.559999999</v>
      </c>
      <c r="L28" s="418">
        <v>0</v>
      </c>
      <c r="M28" s="418">
        <v>0</v>
      </c>
      <c r="N28" s="418">
        <v>0</v>
      </c>
      <c r="O28" s="418">
        <v>0</v>
      </c>
      <c r="P28" s="418">
        <v>0</v>
      </c>
      <c r="Q28" s="905">
        <f t="shared" ref="Q28:Q63" si="2">AVERAGE(D28:P28)</f>
        <v>13145284.576153846</v>
      </c>
    </row>
    <row r="29" spans="1:17">
      <c r="A29" s="428"/>
      <c r="B29" s="911" t="s">
        <v>845</v>
      </c>
      <c r="C29" s="913"/>
      <c r="D29" s="418">
        <v>13369625.719999999</v>
      </c>
      <c r="E29" s="418">
        <v>14219808.169999998</v>
      </c>
      <c r="F29" s="418">
        <v>16469245.650000002</v>
      </c>
      <c r="G29" s="418">
        <v>12737670.970000003</v>
      </c>
      <c r="H29" s="418">
        <v>15958405.000000002</v>
      </c>
      <c r="I29" s="418">
        <v>17879186</v>
      </c>
      <c r="J29" s="418">
        <v>7033439.8900000015</v>
      </c>
      <c r="K29" s="418">
        <v>8277223.9499999993</v>
      </c>
      <c r="L29" s="418">
        <v>10112615.689999998</v>
      </c>
      <c r="M29" s="418">
        <v>11222902.220000001</v>
      </c>
      <c r="N29" s="418">
        <v>4168542.87</v>
      </c>
      <c r="O29" s="418">
        <v>4229844.75</v>
      </c>
      <c r="P29" s="418">
        <v>4863360.99</v>
      </c>
      <c r="Q29" s="905">
        <f t="shared" si="2"/>
        <v>10810913.22076923</v>
      </c>
    </row>
    <row r="30" spans="1:17">
      <c r="A30" s="428"/>
      <c r="B30" s="911" t="s">
        <v>842</v>
      </c>
      <c r="C30" s="913"/>
      <c r="D30" s="418">
        <v>34790940.5</v>
      </c>
      <c r="E30" s="418">
        <v>35656167.699999996</v>
      </c>
      <c r="F30" s="418">
        <v>36265835.990000002</v>
      </c>
      <c r="G30" s="418">
        <v>33473070.290000003</v>
      </c>
      <c r="H30" s="418">
        <v>0</v>
      </c>
      <c r="I30" s="418">
        <v>0</v>
      </c>
      <c r="J30" s="418">
        <v>0</v>
      </c>
      <c r="K30" s="418">
        <v>0</v>
      </c>
      <c r="L30" s="418">
        <v>0</v>
      </c>
      <c r="M30" s="418">
        <v>0</v>
      </c>
      <c r="N30" s="418">
        <v>0</v>
      </c>
      <c r="O30" s="418">
        <v>0</v>
      </c>
      <c r="P30" s="418">
        <v>0</v>
      </c>
      <c r="Q30" s="905">
        <f t="shared" si="2"/>
        <v>10783539.575384615</v>
      </c>
    </row>
    <row r="31" spans="1:17">
      <c r="A31" s="428"/>
      <c r="B31" s="911" t="s">
        <v>863</v>
      </c>
      <c r="C31" s="913"/>
      <c r="D31" s="418">
        <v>5124350.26</v>
      </c>
      <c r="E31" s="418">
        <v>5224729.66</v>
      </c>
      <c r="F31" s="418">
        <v>5371333.1900000004</v>
      </c>
      <c r="G31" s="418">
        <v>5932030.7400000002</v>
      </c>
      <c r="H31" s="418">
        <v>7094648.8599999994</v>
      </c>
      <c r="I31" s="418">
        <v>9232176.7700000014</v>
      </c>
      <c r="J31" s="418">
        <v>11952473.140000001</v>
      </c>
      <c r="K31" s="418">
        <v>13148714.359999999</v>
      </c>
      <c r="L31" s="418">
        <v>14340468.57</v>
      </c>
      <c r="M31" s="418">
        <v>15299727.870000001</v>
      </c>
      <c r="N31" s="418">
        <v>15954190.639999999</v>
      </c>
      <c r="O31" s="418">
        <v>10265361.780000001</v>
      </c>
      <c r="P31" s="418">
        <v>10435983.24</v>
      </c>
      <c r="Q31" s="905">
        <f t="shared" si="2"/>
        <v>9952014.5446153861</v>
      </c>
    </row>
    <row r="32" spans="1:17">
      <c r="A32" s="428"/>
      <c r="B32" s="915" t="s">
        <v>844</v>
      </c>
      <c r="C32" s="914"/>
      <c r="D32" s="418">
        <v>17289283.440000001</v>
      </c>
      <c r="E32" s="418">
        <v>17784258.219999999</v>
      </c>
      <c r="F32" s="418">
        <v>18309227.309999999</v>
      </c>
      <c r="G32" s="418">
        <v>18570967.539999999</v>
      </c>
      <c r="H32" s="418">
        <v>18837999</v>
      </c>
      <c r="I32" s="418">
        <v>0</v>
      </c>
      <c r="J32" s="418">
        <v>0</v>
      </c>
      <c r="K32" s="418">
        <v>0</v>
      </c>
      <c r="L32" s="418">
        <v>0</v>
      </c>
      <c r="M32" s="418">
        <v>0</v>
      </c>
      <c r="N32" s="418">
        <v>0</v>
      </c>
      <c r="O32" s="418">
        <v>0</v>
      </c>
      <c r="P32" s="418">
        <v>0</v>
      </c>
      <c r="Q32" s="905">
        <f t="shared" si="2"/>
        <v>6983979.6546153836</v>
      </c>
    </row>
    <row r="33" spans="1:17">
      <c r="A33" s="428"/>
      <c r="B33" s="915" t="s">
        <v>856</v>
      </c>
      <c r="C33" s="914"/>
      <c r="D33" s="418">
        <v>0</v>
      </c>
      <c r="E33" s="418">
        <v>0</v>
      </c>
      <c r="F33" s="418">
        <v>0</v>
      </c>
      <c r="G33" s="418">
        <v>0</v>
      </c>
      <c r="H33" s="418">
        <v>0</v>
      </c>
      <c r="I33" s="418">
        <v>4300920.2700000005</v>
      </c>
      <c r="J33" s="418">
        <v>5200233.84</v>
      </c>
      <c r="K33" s="418">
        <v>6299000.0199999986</v>
      </c>
      <c r="L33" s="418">
        <v>7427504.0599999977</v>
      </c>
      <c r="M33" s="418">
        <v>9397024.3300000001</v>
      </c>
      <c r="N33" s="418">
        <v>12092979.569999997</v>
      </c>
      <c r="O33" s="418">
        <v>15079482.079999998</v>
      </c>
      <c r="P33" s="418">
        <v>18739597.689999998</v>
      </c>
      <c r="Q33" s="905">
        <f t="shared" si="2"/>
        <v>6041287.8353846138</v>
      </c>
    </row>
    <row r="34" spans="1:17">
      <c r="A34" s="428"/>
      <c r="B34" s="915" t="s">
        <v>857</v>
      </c>
      <c r="C34" s="914"/>
      <c r="D34" s="418">
        <v>0</v>
      </c>
      <c r="E34" s="418">
        <v>0</v>
      </c>
      <c r="F34" s="418">
        <v>0</v>
      </c>
      <c r="G34" s="418">
        <v>0</v>
      </c>
      <c r="H34" s="418">
        <v>3757102.4600000004</v>
      </c>
      <c r="I34" s="418">
        <v>4398861.580000001</v>
      </c>
      <c r="J34" s="418">
        <v>5383579.0700000003</v>
      </c>
      <c r="K34" s="418">
        <v>6266468.0399999991</v>
      </c>
      <c r="L34" s="418">
        <v>7569713.6600000001</v>
      </c>
      <c r="M34" s="418">
        <v>9754925.8199999984</v>
      </c>
      <c r="N34" s="418">
        <v>11326216.26</v>
      </c>
      <c r="O34" s="418">
        <v>13294517.539999997</v>
      </c>
      <c r="P34" s="418">
        <v>15792800.610000001</v>
      </c>
      <c r="Q34" s="905">
        <f t="shared" si="2"/>
        <v>5964937.3107692301</v>
      </c>
    </row>
    <row r="35" spans="1:17" s="431" customFormat="1">
      <c r="A35" s="906"/>
      <c r="B35" s="915" t="s">
        <v>858</v>
      </c>
      <c r="C35" s="914"/>
      <c r="D35" s="907">
        <v>1280210.1099999999</v>
      </c>
      <c r="E35" s="907">
        <v>1341662.24</v>
      </c>
      <c r="F35" s="907">
        <v>1394563.5899999999</v>
      </c>
      <c r="G35" s="907">
        <v>1470546.0499999998</v>
      </c>
      <c r="H35" s="907">
        <v>1516107.3199999998</v>
      </c>
      <c r="I35" s="907">
        <v>1573117.38</v>
      </c>
      <c r="J35" s="907">
        <v>2840650.9699999997</v>
      </c>
      <c r="K35" s="907">
        <v>3582817.93</v>
      </c>
      <c r="L35" s="907">
        <v>4635083.62</v>
      </c>
      <c r="M35" s="907">
        <v>5201691.03</v>
      </c>
      <c r="N35" s="907">
        <v>6715659.7300000014</v>
      </c>
      <c r="O35" s="907">
        <v>7630942.3100000005</v>
      </c>
      <c r="P35" s="907">
        <v>3379881.9000000004</v>
      </c>
      <c r="Q35" s="908">
        <f t="shared" si="2"/>
        <v>3274071.86</v>
      </c>
    </row>
    <row r="36" spans="1:17">
      <c r="A36" s="428"/>
      <c r="B36" s="915" t="s">
        <v>859</v>
      </c>
      <c r="C36" s="914"/>
      <c r="D36" s="418">
        <v>785339.04999999993</v>
      </c>
      <c r="E36" s="418">
        <v>865522.09</v>
      </c>
      <c r="F36" s="418">
        <v>964553.57</v>
      </c>
      <c r="G36" s="418">
        <v>1076994.6600000001</v>
      </c>
      <c r="H36" s="418">
        <v>1186731.0099999998</v>
      </c>
      <c r="I36" s="418">
        <v>1247237.6000000001</v>
      </c>
      <c r="J36" s="418">
        <v>1340064.5899999999</v>
      </c>
      <c r="K36" s="418">
        <v>1414201.4500000002</v>
      </c>
      <c r="L36" s="418">
        <v>3796514.13</v>
      </c>
      <c r="M36" s="418">
        <v>4754228.3900000006</v>
      </c>
      <c r="N36" s="418">
        <v>5720671.3499999996</v>
      </c>
      <c r="O36" s="418">
        <v>6571530.5699999994</v>
      </c>
      <c r="P36" s="418">
        <v>7555437.0999999996</v>
      </c>
      <c r="Q36" s="905">
        <f t="shared" si="2"/>
        <v>2867617.3507692311</v>
      </c>
    </row>
    <row r="37" spans="1:17">
      <c r="A37" s="428"/>
      <c r="B37" s="915" t="s">
        <v>860</v>
      </c>
      <c r="C37" s="914"/>
      <c r="D37" s="418">
        <v>803721.51</v>
      </c>
      <c r="E37" s="418">
        <v>976163.45</v>
      </c>
      <c r="F37" s="418">
        <v>1151928.6499999999</v>
      </c>
      <c r="G37" s="418">
        <v>1294696.93</v>
      </c>
      <c r="H37" s="418">
        <v>1918009.06</v>
      </c>
      <c r="I37" s="418">
        <v>2155190.5299999998</v>
      </c>
      <c r="J37" s="418">
        <v>2416284.4300000002</v>
      </c>
      <c r="K37" s="418">
        <v>3158724.92</v>
      </c>
      <c r="L37" s="418">
        <v>3990504.09</v>
      </c>
      <c r="M37" s="418">
        <v>4272086.1900000004</v>
      </c>
      <c r="N37" s="418">
        <v>4678031.79</v>
      </c>
      <c r="O37" s="418">
        <v>5025087.6399999997</v>
      </c>
      <c r="P37" s="418">
        <v>5148742.5199999996</v>
      </c>
      <c r="Q37" s="905">
        <f t="shared" si="2"/>
        <v>2845320.9007692309</v>
      </c>
    </row>
    <row r="38" spans="1:17">
      <c r="A38" s="428"/>
      <c r="B38" s="915" t="s">
        <v>861</v>
      </c>
      <c r="C38" s="914"/>
      <c r="D38" s="418">
        <v>893382.26</v>
      </c>
      <c r="E38" s="418">
        <v>1029861.02</v>
      </c>
      <c r="F38" s="418">
        <v>1151974.42</v>
      </c>
      <c r="G38" s="418">
        <v>1296018.3700000001</v>
      </c>
      <c r="H38" s="418">
        <v>1380719.03</v>
      </c>
      <c r="I38" s="418">
        <v>1818064.03</v>
      </c>
      <c r="J38" s="418">
        <v>2328054.8699999996</v>
      </c>
      <c r="K38" s="418">
        <v>2641509.46</v>
      </c>
      <c r="L38" s="418">
        <v>3070244.8300000005</v>
      </c>
      <c r="M38" s="418">
        <v>3710535.7399999998</v>
      </c>
      <c r="N38" s="418">
        <v>3974273.19</v>
      </c>
      <c r="O38" s="418">
        <v>4136506.64</v>
      </c>
      <c r="P38" s="418">
        <v>5281197.5900000008</v>
      </c>
      <c r="Q38" s="905">
        <f t="shared" si="2"/>
        <v>2516333.9576923079</v>
      </c>
    </row>
    <row r="39" spans="1:17">
      <c r="A39" s="428"/>
      <c r="B39" s="915" t="s">
        <v>850</v>
      </c>
      <c r="C39" s="914"/>
      <c r="D39" s="418">
        <v>3773427.33</v>
      </c>
      <c r="E39" s="418">
        <v>3857489.23</v>
      </c>
      <c r="F39" s="418">
        <v>3889704.96</v>
      </c>
      <c r="G39" s="418">
        <v>3906906.79</v>
      </c>
      <c r="H39" s="418">
        <v>3922575.5</v>
      </c>
      <c r="I39" s="418">
        <v>3910961.6</v>
      </c>
      <c r="J39" s="418">
        <v>3944033.05</v>
      </c>
      <c r="K39" s="418">
        <v>3965457.58</v>
      </c>
      <c r="L39" s="418">
        <v>0</v>
      </c>
      <c r="M39" s="418">
        <v>0</v>
      </c>
      <c r="N39" s="418">
        <v>0</v>
      </c>
      <c r="O39" s="418">
        <v>0</v>
      </c>
      <c r="P39" s="418">
        <v>0</v>
      </c>
      <c r="Q39" s="905">
        <f t="shared" si="2"/>
        <v>2397735.08</v>
      </c>
    </row>
    <row r="40" spans="1:17">
      <c r="A40" s="428"/>
      <c r="B40" s="911" t="s">
        <v>862</v>
      </c>
      <c r="C40" s="913"/>
      <c r="D40" s="418">
        <v>1900126.58</v>
      </c>
      <c r="E40" s="418">
        <v>2243649.98</v>
      </c>
      <c r="F40" s="418">
        <v>3307555.21</v>
      </c>
      <c r="G40" s="418">
        <v>3385293.29</v>
      </c>
      <c r="H40" s="418">
        <v>3656819.3099999996</v>
      </c>
      <c r="I40" s="418">
        <v>4665904.74</v>
      </c>
      <c r="J40" s="418">
        <v>4758956.18</v>
      </c>
      <c r="K40" s="418">
        <v>4936017.95</v>
      </c>
      <c r="L40" s="418">
        <v>0</v>
      </c>
      <c r="M40" s="418">
        <v>0</v>
      </c>
      <c r="N40" s="418">
        <v>0</v>
      </c>
      <c r="O40" s="418">
        <v>0</v>
      </c>
      <c r="P40" s="418">
        <v>0</v>
      </c>
      <c r="Q40" s="905">
        <f t="shared" si="2"/>
        <v>2219563.326153846</v>
      </c>
    </row>
    <row r="41" spans="1:17">
      <c r="A41" s="428"/>
      <c r="B41" s="915" t="s">
        <v>864</v>
      </c>
      <c r="C41" s="914"/>
      <c r="D41" s="418">
        <v>0</v>
      </c>
      <c r="E41" s="418">
        <v>0</v>
      </c>
      <c r="F41" s="418">
        <v>462505.26</v>
      </c>
      <c r="G41" s="418">
        <v>606359.41</v>
      </c>
      <c r="H41" s="418">
        <v>734457.86999999988</v>
      </c>
      <c r="I41" s="418">
        <v>868029.99</v>
      </c>
      <c r="J41" s="418">
        <v>1045538.2600000001</v>
      </c>
      <c r="K41" s="418">
        <v>1255773.29</v>
      </c>
      <c r="L41" s="418">
        <v>2453511.39</v>
      </c>
      <c r="M41" s="418">
        <v>2719640.49</v>
      </c>
      <c r="N41" s="418">
        <v>5110585.6099999994</v>
      </c>
      <c r="O41" s="418">
        <v>6055169.7000000011</v>
      </c>
      <c r="P41" s="418">
        <v>6539930.0800000001</v>
      </c>
      <c r="Q41" s="905">
        <f t="shared" si="2"/>
        <v>2142423.1807692307</v>
      </c>
    </row>
    <row r="42" spans="1:17">
      <c r="A42" s="428"/>
      <c r="B42" s="915" t="s">
        <v>865</v>
      </c>
      <c r="C42" s="914"/>
      <c r="D42" s="418">
        <v>0</v>
      </c>
      <c r="E42" s="418">
        <v>1200126.82</v>
      </c>
      <c r="F42" s="418">
        <v>1258127.67</v>
      </c>
      <c r="G42" s="418">
        <v>1407090.04</v>
      </c>
      <c r="H42" s="418">
        <v>1701144.28</v>
      </c>
      <c r="I42" s="418">
        <v>1754214.81</v>
      </c>
      <c r="J42" s="418">
        <v>2028551.5</v>
      </c>
      <c r="K42" s="418">
        <v>2202314.9700000002</v>
      </c>
      <c r="L42" s="418">
        <v>2239865.19</v>
      </c>
      <c r="M42" s="418">
        <v>2321092.2400000002</v>
      </c>
      <c r="N42" s="418">
        <v>3114386.85</v>
      </c>
      <c r="O42" s="418">
        <v>3725570.85</v>
      </c>
      <c r="P42" s="418">
        <v>4456029.12</v>
      </c>
      <c r="Q42" s="905">
        <f t="shared" si="2"/>
        <v>2108347.2569230772</v>
      </c>
    </row>
    <row r="43" spans="1:17">
      <c r="A43" s="428"/>
      <c r="B43" s="911" t="s">
        <v>847</v>
      </c>
      <c r="C43" s="913"/>
      <c r="D43" s="418">
        <v>2959209.28</v>
      </c>
      <c r="E43" s="418">
        <v>2991085.21</v>
      </c>
      <c r="F43" s="418">
        <v>2994135.91</v>
      </c>
      <c r="G43" s="418">
        <v>2998752.51</v>
      </c>
      <c r="H43" s="418">
        <v>3001657.81</v>
      </c>
      <c r="I43" s="418">
        <v>3005008.05</v>
      </c>
      <c r="J43" s="418">
        <v>3010463.76</v>
      </c>
      <c r="K43" s="418">
        <v>3012069.53</v>
      </c>
      <c r="L43" s="418">
        <v>3014680.71</v>
      </c>
      <c r="M43" s="418">
        <v>0</v>
      </c>
      <c r="N43" s="418">
        <v>0</v>
      </c>
      <c r="O43" s="418">
        <v>0</v>
      </c>
      <c r="P43" s="418">
        <v>0</v>
      </c>
      <c r="Q43" s="905">
        <f t="shared" si="2"/>
        <v>2075927.9053846155</v>
      </c>
    </row>
    <row r="44" spans="1:17">
      <c r="A44" s="428"/>
      <c r="B44" s="915" t="s">
        <v>866</v>
      </c>
      <c r="C44" s="914"/>
      <c r="D44" s="418">
        <v>2166477.09</v>
      </c>
      <c r="E44" s="418">
        <v>2436299.7999999998</v>
      </c>
      <c r="F44" s="418">
        <v>3266887.32</v>
      </c>
      <c r="G44" s="418">
        <v>3978150.3099999996</v>
      </c>
      <c r="H44" s="418">
        <v>4435280.6000000006</v>
      </c>
      <c r="I44" s="418">
        <v>4983807.8999999994</v>
      </c>
      <c r="J44" s="418">
        <v>5336848.4099999992</v>
      </c>
      <c r="K44" s="418">
        <v>0</v>
      </c>
      <c r="L44" s="418">
        <v>0</v>
      </c>
      <c r="M44" s="418">
        <v>0</v>
      </c>
      <c r="N44" s="418">
        <v>0</v>
      </c>
      <c r="O44" s="418">
        <v>0</v>
      </c>
      <c r="P44" s="418">
        <v>0</v>
      </c>
      <c r="Q44" s="905">
        <f t="shared" si="2"/>
        <v>2046442.4176923076</v>
      </c>
    </row>
    <row r="45" spans="1:17">
      <c r="A45" s="428"/>
      <c r="B45" s="915" t="s">
        <v>867</v>
      </c>
      <c r="C45" s="914"/>
      <c r="D45" s="418">
        <v>853497.26000000013</v>
      </c>
      <c r="E45" s="418">
        <v>1018290.8500000001</v>
      </c>
      <c r="F45" s="418">
        <v>1179110.8700000001</v>
      </c>
      <c r="G45" s="418">
        <v>1412946.42</v>
      </c>
      <c r="H45" s="418">
        <v>1594434.36</v>
      </c>
      <c r="I45" s="418">
        <v>1776073</v>
      </c>
      <c r="J45" s="418">
        <v>1973217.8699999999</v>
      </c>
      <c r="K45" s="418">
        <v>2784823.23</v>
      </c>
      <c r="L45" s="418">
        <v>3740195.9800000004</v>
      </c>
      <c r="M45" s="418">
        <v>3512272.1199999996</v>
      </c>
      <c r="N45" s="418">
        <v>2680700.6</v>
      </c>
      <c r="O45" s="418">
        <v>1392111.12</v>
      </c>
      <c r="P45" s="418">
        <v>1988380.81</v>
      </c>
      <c r="Q45" s="905">
        <f t="shared" si="2"/>
        <v>1992773.4223076925</v>
      </c>
    </row>
    <row r="46" spans="1:17">
      <c r="A46" s="428"/>
      <c r="B46" s="915" t="s">
        <v>868</v>
      </c>
      <c r="C46" s="914"/>
      <c r="D46" s="418">
        <v>211906.43000000002</v>
      </c>
      <c r="E46" s="418">
        <v>371617.64</v>
      </c>
      <c r="F46" s="418">
        <v>497624.61</v>
      </c>
      <c r="G46" s="418">
        <v>643890.60000000009</v>
      </c>
      <c r="H46" s="418">
        <v>840928.15</v>
      </c>
      <c r="I46" s="418">
        <v>978373.11999999988</v>
      </c>
      <c r="J46" s="418">
        <v>1106413.0399999998</v>
      </c>
      <c r="K46" s="418">
        <v>1276477.7499999998</v>
      </c>
      <c r="L46" s="418">
        <v>1796499.43</v>
      </c>
      <c r="M46" s="418">
        <v>2553254.5100000002</v>
      </c>
      <c r="N46" s="418">
        <v>3626720.66</v>
      </c>
      <c r="O46" s="418">
        <v>3822481.6799999997</v>
      </c>
      <c r="P46" s="418">
        <v>4155627.74</v>
      </c>
      <c r="Q46" s="905">
        <f t="shared" si="2"/>
        <v>1683216.5661538462</v>
      </c>
    </row>
    <row r="47" spans="1:17">
      <c r="A47" s="428"/>
      <c r="B47" s="911" t="s">
        <v>848</v>
      </c>
      <c r="C47" s="913"/>
      <c r="D47" s="418">
        <v>5796439.8200000003</v>
      </c>
      <c r="E47" s="418">
        <v>6537442.6900000004</v>
      </c>
      <c r="F47" s="418">
        <v>7249434.9500000002</v>
      </c>
      <c r="G47" s="418">
        <v>0</v>
      </c>
      <c r="H47" s="418">
        <v>0</v>
      </c>
      <c r="I47" s="418">
        <v>0</v>
      </c>
      <c r="J47" s="418">
        <v>0</v>
      </c>
      <c r="K47" s="418">
        <v>0</v>
      </c>
      <c r="L47" s="418">
        <v>0</v>
      </c>
      <c r="M47" s="418">
        <v>0</v>
      </c>
      <c r="N47" s="418">
        <v>0</v>
      </c>
      <c r="O47" s="418">
        <v>0</v>
      </c>
      <c r="P47" s="418">
        <v>0</v>
      </c>
      <c r="Q47" s="905">
        <f t="shared" si="2"/>
        <v>1506409.0353846154</v>
      </c>
    </row>
    <row r="48" spans="1:17">
      <c r="A48" s="428"/>
      <c r="B48" s="915" t="s">
        <v>869</v>
      </c>
      <c r="C48" s="914"/>
      <c r="D48" s="418">
        <v>342260.03</v>
      </c>
      <c r="E48" s="418">
        <v>420164.41</v>
      </c>
      <c r="F48" s="418">
        <v>495828.13</v>
      </c>
      <c r="G48" s="418">
        <v>596494.94999999995</v>
      </c>
      <c r="H48" s="418">
        <v>759844.96</v>
      </c>
      <c r="I48" s="418">
        <v>849216.28</v>
      </c>
      <c r="J48" s="418">
        <v>948283.69</v>
      </c>
      <c r="K48" s="418">
        <v>1052697.17</v>
      </c>
      <c r="L48" s="418">
        <v>1299722.56</v>
      </c>
      <c r="M48" s="418">
        <v>2287552.81</v>
      </c>
      <c r="N48" s="418">
        <v>3065688.94</v>
      </c>
      <c r="O48" s="418">
        <v>3450900.1899999995</v>
      </c>
      <c r="P48" s="418">
        <v>3860483.48</v>
      </c>
      <c r="Q48" s="905">
        <f t="shared" si="2"/>
        <v>1494549.046153846</v>
      </c>
    </row>
    <row r="49" spans="1:17">
      <c r="A49" s="428"/>
      <c r="B49" s="915" t="s">
        <v>870</v>
      </c>
      <c r="C49" s="914"/>
      <c r="D49" s="418">
        <v>647374.62</v>
      </c>
      <c r="E49" s="418">
        <v>829696.79</v>
      </c>
      <c r="F49" s="418">
        <v>886183.61</v>
      </c>
      <c r="G49" s="418">
        <v>944635.96000000008</v>
      </c>
      <c r="H49" s="418">
        <v>1012130.3</v>
      </c>
      <c r="I49" s="418">
        <v>1684238.69</v>
      </c>
      <c r="J49" s="418">
        <v>1874790.7799999998</v>
      </c>
      <c r="K49" s="418">
        <v>1958053.81</v>
      </c>
      <c r="L49" s="418">
        <v>2126680.7000000002</v>
      </c>
      <c r="M49" s="418">
        <v>2408254.66</v>
      </c>
      <c r="N49" s="418">
        <v>2706053.86</v>
      </c>
      <c r="O49" s="418">
        <v>1061701.46</v>
      </c>
      <c r="P49" s="418">
        <v>0</v>
      </c>
      <c r="Q49" s="905">
        <f t="shared" si="2"/>
        <v>1395368.8646153847</v>
      </c>
    </row>
    <row r="50" spans="1:17">
      <c r="A50" s="428"/>
      <c r="B50" s="915" t="s">
        <v>871</v>
      </c>
      <c r="C50" s="914"/>
      <c r="D50" s="418">
        <v>571905.91</v>
      </c>
      <c r="E50" s="418">
        <v>652625.67000000004</v>
      </c>
      <c r="F50" s="418">
        <v>620328.74999999988</v>
      </c>
      <c r="G50" s="418">
        <v>695072.52</v>
      </c>
      <c r="H50" s="418">
        <v>768907.4800000001</v>
      </c>
      <c r="I50" s="418">
        <v>861247.32</v>
      </c>
      <c r="J50" s="418">
        <v>1099573.07</v>
      </c>
      <c r="K50" s="418">
        <v>1398249.83</v>
      </c>
      <c r="L50" s="418">
        <v>1747053.06</v>
      </c>
      <c r="M50" s="418">
        <v>2058534.23</v>
      </c>
      <c r="N50" s="418">
        <v>2153350.2999999998</v>
      </c>
      <c r="O50" s="418">
        <v>2220517.66</v>
      </c>
      <c r="P50" s="418">
        <v>2505551.54</v>
      </c>
      <c r="Q50" s="905">
        <f t="shared" si="2"/>
        <v>1334839.7953846154</v>
      </c>
    </row>
    <row r="51" spans="1:17">
      <c r="A51" s="428"/>
      <c r="B51" s="911" t="s">
        <v>851</v>
      </c>
      <c r="C51" s="913"/>
      <c r="D51" s="418">
        <v>1341866.07</v>
      </c>
      <c r="E51" s="418">
        <v>1344837.41</v>
      </c>
      <c r="F51" s="418">
        <v>1349298.97</v>
      </c>
      <c r="G51" s="418">
        <v>1415175.09</v>
      </c>
      <c r="H51" s="418">
        <v>1433844.6</v>
      </c>
      <c r="I51" s="418">
        <v>1447133.66</v>
      </c>
      <c r="J51" s="418">
        <v>1449119.51</v>
      </c>
      <c r="K51" s="418">
        <v>1451236.53</v>
      </c>
      <c r="L51" s="418">
        <v>1454792.39</v>
      </c>
      <c r="M51" s="418">
        <v>1465239.66</v>
      </c>
      <c r="N51" s="418">
        <v>1473022.94</v>
      </c>
      <c r="O51" s="418">
        <v>1479632.45</v>
      </c>
      <c r="P51" s="418">
        <v>0</v>
      </c>
      <c r="Q51" s="905">
        <f t="shared" si="2"/>
        <v>1315784.56</v>
      </c>
    </row>
    <row r="52" spans="1:17">
      <c r="A52" s="428"/>
      <c r="B52" s="915" t="s">
        <v>872</v>
      </c>
      <c r="C52" s="914"/>
      <c r="D52" s="418">
        <v>608401.02</v>
      </c>
      <c r="E52" s="418">
        <v>728650.49</v>
      </c>
      <c r="F52" s="418">
        <v>803332.75999999989</v>
      </c>
      <c r="G52" s="418">
        <v>1109786.1100000001</v>
      </c>
      <c r="H52" s="418">
        <v>1511510.72</v>
      </c>
      <c r="I52" s="418">
        <v>1841660.5</v>
      </c>
      <c r="J52" s="418">
        <v>2522047.83</v>
      </c>
      <c r="K52" s="418">
        <v>3319856.38</v>
      </c>
      <c r="L52" s="418">
        <v>2701346.3000000003</v>
      </c>
      <c r="M52" s="418">
        <v>356221.32</v>
      </c>
      <c r="N52" s="418">
        <v>419837.58</v>
      </c>
      <c r="O52" s="418">
        <v>455247.45</v>
      </c>
      <c r="P52" s="418">
        <v>491078.44</v>
      </c>
      <c r="Q52" s="905">
        <f t="shared" si="2"/>
        <v>1297613.6076923076</v>
      </c>
    </row>
    <row r="53" spans="1:17">
      <c r="A53" s="428"/>
      <c r="B53" s="911" t="s">
        <v>849</v>
      </c>
      <c r="C53" s="913"/>
      <c r="D53" s="418">
        <v>2880362.8200000003</v>
      </c>
      <c r="E53" s="418">
        <v>3068466.85</v>
      </c>
      <c r="F53" s="418">
        <v>3175106.71</v>
      </c>
      <c r="G53" s="418">
        <v>3461001.91</v>
      </c>
      <c r="H53" s="418">
        <v>3677444.12</v>
      </c>
      <c r="I53" s="418">
        <v>0</v>
      </c>
      <c r="J53" s="418">
        <v>0</v>
      </c>
      <c r="K53" s="418">
        <v>0</v>
      </c>
      <c r="L53" s="418">
        <v>0</v>
      </c>
      <c r="M53" s="418">
        <v>0</v>
      </c>
      <c r="N53" s="418">
        <v>0</v>
      </c>
      <c r="O53" s="418">
        <v>0</v>
      </c>
      <c r="P53" s="418">
        <v>0</v>
      </c>
      <c r="Q53" s="905">
        <f t="shared" si="2"/>
        <v>1250952.4930769231</v>
      </c>
    </row>
    <row r="54" spans="1:17">
      <c r="A54" s="428"/>
      <c r="B54" s="915" t="s">
        <v>873</v>
      </c>
      <c r="C54" s="914"/>
      <c r="D54" s="418">
        <v>300150.82</v>
      </c>
      <c r="E54" s="418">
        <v>278257.63</v>
      </c>
      <c r="F54" s="418">
        <v>289586.48</v>
      </c>
      <c r="G54" s="418">
        <v>863810.34000000008</v>
      </c>
      <c r="H54" s="418">
        <v>895191.89</v>
      </c>
      <c r="I54" s="418">
        <v>936969.47000000009</v>
      </c>
      <c r="J54" s="418">
        <v>1013956.74</v>
      </c>
      <c r="K54" s="418">
        <v>1248106.52</v>
      </c>
      <c r="L54" s="418">
        <v>1520907.98</v>
      </c>
      <c r="M54" s="418">
        <v>1773612.7000000002</v>
      </c>
      <c r="N54" s="418">
        <v>2229631.6500000004</v>
      </c>
      <c r="O54" s="418">
        <v>2335863.73</v>
      </c>
      <c r="P54" s="418">
        <v>2418364.7000000002</v>
      </c>
      <c r="Q54" s="905">
        <f t="shared" si="2"/>
        <v>1238800.8192307693</v>
      </c>
    </row>
    <row r="55" spans="1:17">
      <c r="A55" s="428"/>
      <c r="B55" s="915" t="s">
        <v>874</v>
      </c>
      <c r="C55" s="914"/>
      <c r="D55" s="418">
        <v>982320.03999999992</v>
      </c>
      <c r="E55" s="418">
        <v>1020025.66</v>
      </c>
      <c r="F55" s="418">
        <v>1123029.53</v>
      </c>
      <c r="G55" s="418">
        <v>1283241</v>
      </c>
      <c r="H55" s="418">
        <v>1480734.5</v>
      </c>
      <c r="I55" s="418">
        <v>1554427.03</v>
      </c>
      <c r="J55" s="418">
        <v>1813412.4500000002</v>
      </c>
      <c r="K55" s="418">
        <v>2095267.4600000002</v>
      </c>
      <c r="L55" s="418">
        <v>2248145.75</v>
      </c>
      <c r="M55" s="418">
        <v>2359073.7799999998</v>
      </c>
      <c r="N55" s="418">
        <v>0</v>
      </c>
      <c r="O55" s="418">
        <v>0</v>
      </c>
      <c r="P55" s="418">
        <v>0</v>
      </c>
      <c r="Q55" s="905">
        <f t="shared" si="2"/>
        <v>1227667.4769230769</v>
      </c>
    </row>
    <row r="56" spans="1:17">
      <c r="A56" s="428"/>
      <c r="B56" s="915" t="s">
        <v>875</v>
      </c>
      <c r="C56" s="914"/>
      <c r="D56" s="418">
        <v>300957.62</v>
      </c>
      <c r="E56" s="418">
        <v>340815</v>
      </c>
      <c r="F56" s="418">
        <v>397783.76999999996</v>
      </c>
      <c r="G56" s="418">
        <v>457562.54</v>
      </c>
      <c r="H56" s="418">
        <v>542237.70000000007</v>
      </c>
      <c r="I56" s="418">
        <v>956883.61</v>
      </c>
      <c r="J56" s="418">
        <v>1174237.6199999999</v>
      </c>
      <c r="K56" s="418">
        <v>1261141.99</v>
      </c>
      <c r="L56" s="418">
        <v>1688667.87</v>
      </c>
      <c r="M56" s="418">
        <v>1769536.4400000002</v>
      </c>
      <c r="N56" s="418">
        <v>1997443.48</v>
      </c>
      <c r="O56" s="418">
        <v>2166378.0299999998</v>
      </c>
      <c r="P56" s="418">
        <v>2336899.2599999998</v>
      </c>
      <c r="Q56" s="905">
        <f t="shared" si="2"/>
        <v>1183888.0715384616</v>
      </c>
    </row>
    <row r="57" spans="1:17">
      <c r="A57" s="428"/>
      <c r="B57" s="915" t="s">
        <v>876</v>
      </c>
      <c r="C57" s="914"/>
      <c r="D57" s="418">
        <v>488482.06000000006</v>
      </c>
      <c r="E57" s="418">
        <v>515214.19000000006</v>
      </c>
      <c r="F57" s="418">
        <v>584097.91</v>
      </c>
      <c r="G57" s="418">
        <v>713426.75</v>
      </c>
      <c r="H57" s="418">
        <v>780789.79</v>
      </c>
      <c r="I57" s="418">
        <v>798919.42999999993</v>
      </c>
      <c r="J57" s="418">
        <v>1294601.05</v>
      </c>
      <c r="K57" s="418">
        <v>1751026.5999999999</v>
      </c>
      <c r="L57" s="418">
        <v>2333904.8600000003</v>
      </c>
      <c r="M57" s="418">
        <v>2556131.4299999997</v>
      </c>
      <c r="N57" s="418">
        <v>2881784.84</v>
      </c>
      <c r="O57" s="418">
        <v>506410.85</v>
      </c>
      <c r="P57" s="418">
        <v>0</v>
      </c>
      <c r="Q57" s="905">
        <f t="shared" si="2"/>
        <v>1169599.2123076923</v>
      </c>
    </row>
    <row r="58" spans="1:17">
      <c r="A58" s="428"/>
      <c r="B58" s="915" t="s">
        <v>853</v>
      </c>
      <c r="C58" s="914"/>
      <c r="D58" s="418">
        <v>476729.34</v>
      </c>
      <c r="E58" s="418">
        <v>514544.7</v>
      </c>
      <c r="F58" s="418">
        <v>569226.50999999989</v>
      </c>
      <c r="G58" s="418">
        <v>604981.93999999994</v>
      </c>
      <c r="H58" s="418">
        <v>628304.43999999994</v>
      </c>
      <c r="I58" s="418">
        <v>645017.90999999992</v>
      </c>
      <c r="J58" s="418">
        <v>1165124.6299999999</v>
      </c>
      <c r="K58" s="418">
        <v>1375143.8399999999</v>
      </c>
      <c r="L58" s="418">
        <v>1750703</v>
      </c>
      <c r="M58" s="418">
        <v>2155785.17</v>
      </c>
      <c r="N58" s="418">
        <v>2306342.56</v>
      </c>
      <c r="O58" s="418">
        <v>2459383.0100000002</v>
      </c>
      <c r="P58" s="418">
        <v>270656.49</v>
      </c>
      <c r="Q58" s="905">
        <f t="shared" si="2"/>
        <v>1147841.8107692308</v>
      </c>
    </row>
    <row r="59" spans="1:17">
      <c r="A59" s="428"/>
      <c r="B59" s="915" t="s">
        <v>877</v>
      </c>
      <c r="C59" s="914"/>
      <c r="D59" s="418">
        <v>50590.25</v>
      </c>
      <c r="E59" s="418">
        <v>56799.42</v>
      </c>
      <c r="F59" s="418">
        <v>68286.290000000008</v>
      </c>
      <c r="G59" s="418">
        <v>81254.16</v>
      </c>
      <c r="H59" s="418">
        <v>167716.51</v>
      </c>
      <c r="I59" s="418">
        <v>502946.51</v>
      </c>
      <c r="J59" s="418">
        <v>1348998.3099999998</v>
      </c>
      <c r="K59" s="418">
        <v>1728070.64</v>
      </c>
      <c r="L59" s="418">
        <v>2038583.04</v>
      </c>
      <c r="M59" s="418">
        <v>2472891.2699999996</v>
      </c>
      <c r="N59" s="418">
        <v>2898469.99</v>
      </c>
      <c r="O59" s="418">
        <v>1204534.68</v>
      </c>
      <c r="P59" s="418">
        <v>1341195.51</v>
      </c>
      <c r="Q59" s="905">
        <f t="shared" si="2"/>
        <v>1073872.0446153844</v>
      </c>
    </row>
    <row r="60" spans="1:17">
      <c r="A60" s="428"/>
      <c r="B60" s="915" t="s">
        <v>854</v>
      </c>
      <c r="C60" s="914"/>
      <c r="D60" s="418">
        <v>818803.27</v>
      </c>
      <c r="E60" s="418">
        <v>844106.78</v>
      </c>
      <c r="F60" s="418">
        <v>874001.41</v>
      </c>
      <c r="G60" s="418">
        <v>1491048.37</v>
      </c>
      <c r="H60" s="418">
        <v>1683854.8900000001</v>
      </c>
      <c r="I60" s="418">
        <v>2157242.81</v>
      </c>
      <c r="J60" s="418">
        <v>2498561.2400000002</v>
      </c>
      <c r="K60" s="418">
        <v>3203606.44</v>
      </c>
      <c r="L60" s="418">
        <v>0</v>
      </c>
      <c r="M60" s="418">
        <v>0</v>
      </c>
      <c r="N60" s="418">
        <v>0</v>
      </c>
      <c r="O60" s="418">
        <v>0</v>
      </c>
      <c r="P60" s="418">
        <v>0</v>
      </c>
      <c r="Q60" s="905">
        <f t="shared" si="2"/>
        <v>1043940.4007692308</v>
      </c>
    </row>
    <row r="61" spans="1:17">
      <c r="A61" s="428"/>
      <c r="B61" s="915" t="s">
        <v>855</v>
      </c>
      <c r="C61" s="914"/>
      <c r="D61" s="418">
        <v>358551.61</v>
      </c>
      <c r="E61" s="418">
        <v>366462.66000000003</v>
      </c>
      <c r="F61" s="418">
        <v>379890.93000000005</v>
      </c>
      <c r="G61" s="418">
        <v>445387.53</v>
      </c>
      <c r="H61" s="418">
        <v>512834.81</v>
      </c>
      <c r="I61" s="418">
        <v>632276.38</v>
      </c>
      <c r="J61" s="418">
        <v>981884.48</v>
      </c>
      <c r="K61" s="418">
        <v>1904824.2599999998</v>
      </c>
      <c r="L61" s="418">
        <v>3496312.98</v>
      </c>
      <c r="M61" s="418">
        <v>4278558.25</v>
      </c>
      <c r="N61" s="418">
        <v>0</v>
      </c>
      <c r="O61" s="418">
        <v>0</v>
      </c>
      <c r="P61" s="418">
        <v>0</v>
      </c>
      <c r="Q61" s="905">
        <f t="shared" si="2"/>
        <v>1027460.2992307693</v>
      </c>
    </row>
    <row r="62" spans="1:17">
      <c r="A62" s="428"/>
      <c r="B62" s="915" t="s">
        <v>878</v>
      </c>
      <c r="C62" s="914"/>
      <c r="D62" s="418">
        <v>571248.66</v>
      </c>
      <c r="E62" s="418">
        <v>583943.76</v>
      </c>
      <c r="F62" s="418">
        <v>568288.84</v>
      </c>
      <c r="G62" s="418">
        <v>630618.65000000014</v>
      </c>
      <c r="H62" s="418">
        <v>673785.33000000007</v>
      </c>
      <c r="I62" s="418">
        <v>784009.6</v>
      </c>
      <c r="J62" s="418">
        <v>878569.2</v>
      </c>
      <c r="K62" s="418">
        <v>983672.44000000018</v>
      </c>
      <c r="L62" s="418">
        <v>1073278.7899999998</v>
      </c>
      <c r="M62" s="418">
        <v>1193803.4100000001</v>
      </c>
      <c r="N62" s="418">
        <v>1310591.3999999997</v>
      </c>
      <c r="O62" s="418">
        <v>1885892.09</v>
      </c>
      <c r="P62" s="418">
        <v>2042038.59</v>
      </c>
      <c r="Q62" s="905">
        <f t="shared" si="2"/>
        <v>1013826.2123076923</v>
      </c>
    </row>
    <row r="63" spans="1:17">
      <c r="B63" s="911" t="s">
        <v>852</v>
      </c>
      <c r="C63" s="911"/>
      <c r="D63" s="418">
        <v>41947256</v>
      </c>
      <c r="E63" s="418">
        <v>47325283</v>
      </c>
      <c r="F63" s="418">
        <v>46412204</v>
      </c>
      <c r="G63" s="418">
        <v>38517490</v>
      </c>
      <c r="H63" s="418">
        <v>31580146</v>
      </c>
      <c r="I63" s="418">
        <v>33526584</v>
      </c>
      <c r="J63" s="418">
        <v>36968832</v>
      </c>
      <c r="K63" s="418">
        <v>36182214</v>
      </c>
      <c r="L63" s="418">
        <v>41676965</v>
      </c>
      <c r="M63" s="418">
        <v>47593769</v>
      </c>
      <c r="N63" s="418">
        <v>47357960</v>
      </c>
      <c r="O63" s="418">
        <v>47064680</v>
      </c>
      <c r="P63" s="418">
        <v>52011113</v>
      </c>
      <c r="Q63" s="905">
        <f t="shared" si="2"/>
        <v>42166499.692307696</v>
      </c>
    </row>
    <row r="64" spans="1:17">
      <c r="D64" s="418"/>
      <c r="E64" s="418"/>
      <c r="F64" s="418"/>
      <c r="G64" s="418"/>
      <c r="H64" s="418"/>
      <c r="I64" s="418"/>
      <c r="J64" s="418"/>
      <c r="K64" s="418"/>
      <c r="L64" s="418"/>
      <c r="M64" s="418"/>
      <c r="N64" s="418"/>
      <c r="O64" s="418"/>
      <c r="P64" s="418"/>
      <c r="Q64" s="909">
        <f>SUM(Q27:Q63)</f>
        <v>194171106.0123077</v>
      </c>
    </row>
    <row r="65" spans="4:16">
      <c r="D65" s="912"/>
      <c r="E65" s="912"/>
      <c r="F65" s="912"/>
      <c r="G65" s="912"/>
      <c r="H65" s="912"/>
      <c r="I65" s="912"/>
      <c r="J65" s="912"/>
      <c r="K65" s="912"/>
      <c r="L65" s="912"/>
      <c r="M65" s="912"/>
      <c r="N65" s="912"/>
      <c r="O65" s="912"/>
      <c r="P65" s="912"/>
    </row>
    <row r="67" spans="4:16">
      <c r="D67" s="434"/>
      <c r="E67" s="434"/>
      <c r="F67" s="434"/>
      <c r="G67" s="434"/>
      <c r="H67" s="434"/>
      <c r="I67" s="434"/>
      <c r="J67" s="434"/>
      <c r="K67" s="434"/>
      <c r="L67" s="434"/>
      <c r="M67" s="434"/>
      <c r="N67" s="434"/>
      <c r="O67" s="434"/>
      <c r="P67" s="434"/>
    </row>
    <row r="68" spans="4:16">
      <c r="H68" s="912"/>
    </row>
    <row r="70" spans="4:16">
      <c r="D70" s="434"/>
      <c r="E70" s="434"/>
      <c r="F70" s="434"/>
      <c r="G70" s="434"/>
      <c r="H70" s="434"/>
      <c r="I70" s="434"/>
      <c r="J70" s="434"/>
      <c r="K70" s="434"/>
      <c r="L70" s="434"/>
      <c r="M70" s="434"/>
      <c r="N70" s="434"/>
      <c r="O70" s="434"/>
      <c r="P70" s="434"/>
    </row>
    <row r="71" spans="4:16">
      <c r="D71" s="912"/>
      <c r="E71" s="912"/>
      <c r="F71" s="912"/>
      <c r="G71" s="912"/>
      <c r="H71" s="912"/>
      <c r="I71" s="912"/>
      <c r="J71" s="912"/>
      <c r="K71" s="912"/>
      <c r="L71" s="912"/>
      <c r="M71" s="912"/>
      <c r="N71" s="912"/>
      <c r="O71" s="912"/>
      <c r="P71" s="912"/>
    </row>
  </sheetData>
  <pageMargins left="0.7" right="0.7" top="0.75" bottom="0.75" header="0.3" footer="0.3"/>
  <pageSetup scale="46" fitToHeight="0"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3"/>
  <sheetViews>
    <sheetView zoomScaleNormal="100" workbookViewId="0">
      <selection activeCell="A3" sqref="A3"/>
    </sheetView>
  </sheetViews>
  <sheetFormatPr defaultColWidth="9.109375" defaultRowHeight="13.2"/>
  <cols>
    <col min="1" max="1" width="13" style="471" customWidth="1"/>
    <col min="2" max="2" width="9.109375" style="471" customWidth="1"/>
    <col min="3" max="3" width="17.109375" style="471" bestFit="1" customWidth="1"/>
    <col min="4" max="4" width="6" style="471" customWidth="1"/>
    <col min="5" max="245" width="9.109375" style="471"/>
    <col min="246" max="246" width="13" style="471" customWidth="1"/>
    <col min="247" max="247" width="9.109375" style="471" customWidth="1"/>
    <col min="248" max="248" width="15.44140625" style="471" bestFit="1" customWidth="1"/>
    <col min="249" max="249" width="13" style="471" bestFit="1" customWidth="1"/>
    <col min="250" max="250" width="7.6640625" style="471" bestFit="1" customWidth="1"/>
    <col min="251" max="251" width="21" style="471" bestFit="1" customWidth="1"/>
    <col min="252" max="252" width="15.109375" style="471" bestFit="1" customWidth="1"/>
    <col min="253" max="253" width="17.109375" style="471" bestFit="1" customWidth="1"/>
    <col min="254" max="254" width="6" style="471" customWidth="1"/>
    <col min="255" max="255" width="14.6640625" style="471" bestFit="1" customWidth="1"/>
    <col min="256" max="256" width="16.5546875" style="471" bestFit="1" customWidth="1"/>
    <col min="257" max="257" width="15.33203125" style="471" bestFit="1" customWidth="1"/>
    <col min="258" max="258" width="18.44140625" style="471" customWidth="1"/>
    <col min="259" max="501" width="9.109375" style="471"/>
    <col min="502" max="502" width="13" style="471" customWidth="1"/>
    <col min="503" max="503" width="9.109375" style="471" customWidth="1"/>
    <col min="504" max="504" width="15.44140625" style="471" bestFit="1" customWidth="1"/>
    <col min="505" max="505" width="13" style="471" bestFit="1" customWidth="1"/>
    <col min="506" max="506" width="7.6640625" style="471" bestFit="1" customWidth="1"/>
    <col min="507" max="507" width="21" style="471" bestFit="1" customWidth="1"/>
    <col min="508" max="508" width="15.109375" style="471" bestFit="1" customWidth="1"/>
    <col min="509" max="509" width="17.109375" style="471" bestFit="1" customWidth="1"/>
    <col min="510" max="510" width="6" style="471" customWidth="1"/>
    <col min="511" max="511" width="14.6640625" style="471" bestFit="1" customWidth="1"/>
    <col min="512" max="512" width="16.5546875" style="471" bestFit="1" customWidth="1"/>
    <col min="513" max="513" width="15.33203125" style="471" bestFit="1" customWidth="1"/>
    <col min="514" max="514" width="18.44140625" style="471" customWidth="1"/>
    <col min="515" max="757" width="9.109375" style="471"/>
    <col min="758" max="758" width="13" style="471" customWidth="1"/>
    <col min="759" max="759" width="9.109375" style="471" customWidth="1"/>
    <col min="760" max="760" width="15.44140625" style="471" bestFit="1" customWidth="1"/>
    <col min="761" max="761" width="13" style="471" bestFit="1" customWidth="1"/>
    <col min="762" max="762" width="7.6640625" style="471" bestFit="1" customWidth="1"/>
    <col min="763" max="763" width="21" style="471" bestFit="1" customWidth="1"/>
    <col min="764" max="764" width="15.109375" style="471" bestFit="1" customWidth="1"/>
    <col min="765" max="765" width="17.109375" style="471" bestFit="1" customWidth="1"/>
    <col min="766" max="766" width="6" style="471" customWidth="1"/>
    <col min="767" max="767" width="14.6640625" style="471" bestFit="1" customWidth="1"/>
    <col min="768" max="768" width="16.5546875" style="471" bestFit="1" customWidth="1"/>
    <col min="769" max="769" width="15.33203125" style="471" bestFit="1" customWidth="1"/>
    <col min="770" max="770" width="18.44140625" style="471" customWidth="1"/>
    <col min="771" max="1013" width="9.109375" style="471"/>
    <col min="1014" max="1014" width="13" style="471" customWidth="1"/>
    <col min="1015" max="1015" width="9.109375" style="471" customWidth="1"/>
    <col min="1016" max="1016" width="15.44140625" style="471" bestFit="1" customWidth="1"/>
    <col min="1017" max="1017" width="13" style="471" bestFit="1" customWidth="1"/>
    <col min="1018" max="1018" width="7.6640625" style="471" bestFit="1" customWidth="1"/>
    <col min="1019" max="1019" width="21" style="471" bestFit="1" customWidth="1"/>
    <col min="1020" max="1020" width="15.109375" style="471" bestFit="1" customWidth="1"/>
    <col min="1021" max="1021" width="17.109375" style="471" bestFit="1" customWidth="1"/>
    <col min="1022" max="1022" width="6" style="471" customWidth="1"/>
    <col min="1023" max="1023" width="14.6640625" style="471" bestFit="1" customWidth="1"/>
    <col min="1024" max="1024" width="16.5546875" style="471" bestFit="1" customWidth="1"/>
    <col min="1025" max="1025" width="15.33203125" style="471" bestFit="1" customWidth="1"/>
    <col min="1026" max="1026" width="18.44140625" style="471" customWidth="1"/>
    <col min="1027" max="1269" width="9.109375" style="471"/>
    <col min="1270" max="1270" width="13" style="471" customWidth="1"/>
    <col min="1271" max="1271" width="9.109375" style="471" customWidth="1"/>
    <col min="1272" max="1272" width="15.44140625" style="471" bestFit="1" customWidth="1"/>
    <col min="1273" max="1273" width="13" style="471" bestFit="1" customWidth="1"/>
    <col min="1274" max="1274" width="7.6640625" style="471" bestFit="1" customWidth="1"/>
    <col min="1275" max="1275" width="21" style="471" bestFit="1" customWidth="1"/>
    <col min="1276" max="1276" width="15.109375" style="471" bestFit="1" customWidth="1"/>
    <col min="1277" max="1277" width="17.109375" style="471" bestFit="1" customWidth="1"/>
    <col min="1278" max="1278" width="6" style="471" customWidth="1"/>
    <col min="1279" max="1279" width="14.6640625" style="471" bestFit="1" customWidth="1"/>
    <col min="1280" max="1280" width="16.5546875" style="471" bestFit="1" customWidth="1"/>
    <col min="1281" max="1281" width="15.33203125" style="471" bestFit="1" customWidth="1"/>
    <col min="1282" max="1282" width="18.44140625" style="471" customWidth="1"/>
    <col min="1283" max="1525" width="9.109375" style="471"/>
    <col min="1526" max="1526" width="13" style="471" customWidth="1"/>
    <col min="1527" max="1527" width="9.109375" style="471" customWidth="1"/>
    <col min="1528" max="1528" width="15.44140625" style="471" bestFit="1" customWidth="1"/>
    <col min="1529" max="1529" width="13" style="471" bestFit="1" customWidth="1"/>
    <col min="1530" max="1530" width="7.6640625" style="471" bestFit="1" customWidth="1"/>
    <col min="1531" max="1531" width="21" style="471" bestFit="1" customWidth="1"/>
    <col min="1532" max="1532" width="15.109375" style="471" bestFit="1" customWidth="1"/>
    <col min="1533" max="1533" width="17.109375" style="471" bestFit="1" customWidth="1"/>
    <col min="1534" max="1534" width="6" style="471" customWidth="1"/>
    <col min="1535" max="1535" width="14.6640625" style="471" bestFit="1" customWidth="1"/>
    <col min="1536" max="1536" width="16.5546875" style="471" bestFit="1" customWidth="1"/>
    <col min="1537" max="1537" width="15.33203125" style="471" bestFit="1" customWidth="1"/>
    <col min="1538" max="1538" width="18.44140625" style="471" customWidth="1"/>
    <col min="1539" max="1781" width="9.109375" style="471"/>
    <col min="1782" max="1782" width="13" style="471" customWidth="1"/>
    <col min="1783" max="1783" width="9.109375" style="471" customWidth="1"/>
    <col min="1784" max="1784" width="15.44140625" style="471" bestFit="1" customWidth="1"/>
    <col min="1785" max="1785" width="13" style="471" bestFit="1" customWidth="1"/>
    <col min="1786" max="1786" width="7.6640625" style="471" bestFit="1" customWidth="1"/>
    <col min="1787" max="1787" width="21" style="471" bestFit="1" customWidth="1"/>
    <col min="1788" max="1788" width="15.109375" style="471" bestFit="1" customWidth="1"/>
    <col min="1789" max="1789" width="17.109375" style="471" bestFit="1" customWidth="1"/>
    <col min="1790" max="1790" width="6" style="471" customWidth="1"/>
    <col min="1791" max="1791" width="14.6640625" style="471" bestFit="1" customWidth="1"/>
    <col min="1792" max="1792" width="16.5546875" style="471" bestFit="1" customWidth="1"/>
    <col min="1793" max="1793" width="15.33203125" style="471" bestFit="1" customWidth="1"/>
    <col min="1794" max="1794" width="18.44140625" style="471" customWidth="1"/>
    <col min="1795" max="2037" width="9.109375" style="471"/>
    <col min="2038" max="2038" width="13" style="471" customWidth="1"/>
    <col min="2039" max="2039" width="9.109375" style="471" customWidth="1"/>
    <col min="2040" max="2040" width="15.44140625" style="471" bestFit="1" customWidth="1"/>
    <col min="2041" max="2041" width="13" style="471" bestFit="1" customWidth="1"/>
    <col min="2042" max="2042" width="7.6640625" style="471" bestFit="1" customWidth="1"/>
    <col min="2043" max="2043" width="21" style="471" bestFit="1" customWidth="1"/>
    <col min="2044" max="2044" width="15.109375" style="471" bestFit="1" customWidth="1"/>
    <col min="2045" max="2045" width="17.109375" style="471" bestFit="1" customWidth="1"/>
    <col min="2046" max="2046" width="6" style="471" customWidth="1"/>
    <col min="2047" max="2047" width="14.6640625" style="471" bestFit="1" customWidth="1"/>
    <col min="2048" max="2048" width="16.5546875" style="471" bestFit="1" customWidth="1"/>
    <col min="2049" max="2049" width="15.33203125" style="471" bestFit="1" customWidth="1"/>
    <col min="2050" max="2050" width="18.44140625" style="471" customWidth="1"/>
    <col min="2051" max="2293" width="9.109375" style="471"/>
    <col min="2294" max="2294" width="13" style="471" customWidth="1"/>
    <col min="2295" max="2295" width="9.109375" style="471" customWidth="1"/>
    <col min="2296" max="2296" width="15.44140625" style="471" bestFit="1" customWidth="1"/>
    <col min="2297" max="2297" width="13" style="471" bestFit="1" customWidth="1"/>
    <col min="2298" max="2298" width="7.6640625" style="471" bestFit="1" customWidth="1"/>
    <col min="2299" max="2299" width="21" style="471" bestFit="1" customWidth="1"/>
    <col min="2300" max="2300" width="15.109375" style="471" bestFit="1" customWidth="1"/>
    <col min="2301" max="2301" width="17.109375" style="471" bestFit="1" customWidth="1"/>
    <col min="2302" max="2302" width="6" style="471" customWidth="1"/>
    <col min="2303" max="2303" width="14.6640625" style="471" bestFit="1" customWidth="1"/>
    <col min="2304" max="2304" width="16.5546875" style="471" bestFit="1" customWidth="1"/>
    <col min="2305" max="2305" width="15.33203125" style="471" bestFit="1" customWidth="1"/>
    <col min="2306" max="2306" width="18.44140625" style="471" customWidth="1"/>
    <col min="2307" max="2549" width="9.109375" style="471"/>
    <col min="2550" max="2550" width="13" style="471" customWidth="1"/>
    <col min="2551" max="2551" width="9.109375" style="471" customWidth="1"/>
    <col min="2552" max="2552" width="15.44140625" style="471" bestFit="1" customWidth="1"/>
    <col min="2553" max="2553" width="13" style="471" bestFit="1" customWidth="1"/>
    <col min="2554" max="2554" width="7.6640625" style="471" bestFit="1" customWidth="1"/>
    <col min="2555" max="2555" width="21" style="471" bestFit="1" customWidth="1"/>
    <col min="2556" max="2556" width="15.109375" style="471" bestFit="1" customWidth="1"/>
    <col min="2557" max="2557" width="17.109375" style="471" bestFit="1" customWidth="1"/>
    <col min="2558" max="2558" width="6" style="471" customWidth="1"/>
    <col min="2559" max="2559" width="14.6640625" style="471" bestFit="1" customWidth="1"/>
    <col min="2560" max="2560" width="16.5546875" style="471" bestFit="1" customWidth="1"/>
    <col min="2561" max="2561" width="15.33203125" style="471" bestFit="1" customWidth="1"/>
    <col min="2562" max="2562" width="18.44140625" style="471" customWidth="1"/>
    <col min="2563" max="2805" width="9.109375" style="471"/>
    <col min="2806" max="2806" width="13" style="471" customWidth="1"/>
    <col min="2807" max="2807" width="9.109375" style="471" customWidth="1"/>
    <col min="2808" max="2808" width="15.44140625" style="471" bestFit="1" customWidth="1"/>
    <col min="2809" max="2809" width="13" style="471" bestFit="1" customWidth="1"/>
    <col min="2810" max="2810" width="7.6640625" style="471" bestFit="1" customWidth="1"/>
    <col min="2811" max="2811" width="21" style="471" bestFit="1" customWidth="1"/>
    <col min="2812" max="2812" width="15.109375" style="471" bestFit="1" customWidth="1"/>
    <col min="2813" max="2813" width="17.109375" style="471" bestFit="1" customWidth="1"/>
    <col min="2814" max="2814" width="6" style="471" customWidth="1"/>
    <col min="2815" max="2815" width="14.6640625" style="471" bestFit="1" customWidth="1"/>
    <col min="2816" max="2816" width="16.5546875" style="471" bestFit="1" customWidth="1"/>
    <col min="2817" max="2817" width="15.33203125" style="471" bestFit="1" customWidth="1"/>
    <col min="2818" max="2818" width="18.44140625" style="471" customWidth="1"/>
    <col min="2819" max="3061" width="9.109375" style="471"/>
    <col min="3062" max="3062" width="13" style="471" customWidth="1"/>
    <col min="3063" max="3063" width="9.109375" style="471" customWidth="1"/>
    <col min="3064" max="3064" width="15.44140625" style="471" bestFit="1" customWidth="1"/>
    <col min="3065" max="3065" width="13" style="471" bestFit="1" customWidth="1"/>
    <col min="3066" max="3066" width="7.6640625" style="471" bestFit="1" customWidth="1"/>
    <col min="3067" max="3067" width="21" style="471" bestFit="1" customWidth="1"/>
    <col min="3068" max="3068" width="15.109375" style="471" bestFit="1" customWidth="1"/>
    <col min="3069" max="3069" width="17.109375" style="471" bestFit="1" customWidth="1"/>
    <col min="3070" max="3070" width="6" style="471" customWidth="1"/>
    <col min="3071" max="3071" width="14.6640625" style="471" bestFit="1" customWidth="1"/>
    <col min="3072" max="3072" width="16.5546875" style="471" bestFit="1" customWidth="1"/>
    <col min="3073" max="3073" width="15.33203125" style="471" bestFit="1" customWidth="1"/>
    <col min="3074" max="3074" width="18.44140625" style="471" customWidth="1"/>
    <col min="3075" max="3317" width="9.109375" style="471"/>
    <col min="3318" max="3318" width="13" style="471" customWidth="1"/>
    <col min="3319" max="3319" width="9.109375" style="471" customWidth="1"/>
    <col min="3320" max="3320" width="15.44140625" style="471" bestFit="1" customWidth="1"/>
    <col min="3321" max="3321" width="13" style="471" bestFit="1" customWidth="1"/>
    <col min="3322" max="3322" width="7.6640625" style="471" bestFit="1" customWidth="1"/>
    <col min="3323" max="3323" width="21" style="471" bestFit="1" customWidth="1"/>
    <col min="3324" max="3324" width="15.109375" style="471" bestFit="1" customWidth="1"/>
    <col min="3325" max="3325" width="17.109375" style="471" bestFit="1" customWidth="1"/>
    <col min="3326" max="3326" width="6" style="471" customWidth="1"/>
    <col min="3327" max="3327" width="14.6640625" style="471" bestFit="1" customWidth="1"/>
    <col min="3328" max="3328" width="16.5546875" style="471" bestFit="1" customWidth="1"/>
    <col min="3329" max="3329" width="15.33203125" style="471" bestFit="1" customWidth="1"/>
    <col min="3330" max="3330" width="18.44140625" style="471" customWidth="1"/>
    <col min="3331" max="3573" width="9.109375" style="471"/>
    <col min="3574" max="3574" width="13" style="471" customWidth="1"/>
    <col min="3575" max="3575" width="9.109375" style="471" customWidth="1"/>
    <col min="3576" max="3576" width="15.44140625" style="471" bestFit="1" customWidth="1"/>
    <col min="3577" max="3577" width="13" style="471" bestFit="1" customWidth="1"/>
    <col min="3578" max="3578" width="7.6640625" style="471" bestFit="1" customWidth="1"/>
    <col min="3579" max="3579" width="21" style="471" bestFit="1" customWidth="1"/>
    <col min="3580" max="3580" width="15.109375" style="471" bestFit="1" customWidth="1"/>
    <col min="3581" max="3581" width="17.109375" style="471" bestFit="1" customWidth="1"/>
    <col min="3582" max="3582" width="6" style="471" customWidth="1"/>
    <col min="3583" max="3583" width="14.6640625" style="471" bestFit="1" customWidth="1"/>
    <col min="3584" max="3584" width="16.5546875" style="471" bestFit="1" customWidth="1"/>
    <col min="3585" max="3585" width="15.33203125" style="471" bestFit="1" customWidth="1"/>
    <col min="3586" max="3586" width="18.44140625" style="471" customWidth="1"/>
    <col min="3587" max="3829" width="9.109375" style="471"/>
    <col min="3830" max="3830" width="13" style="471" customWidth="1"/>
    <col min="3831" max="3831" width="9.109375" style="471" customWidth="1"/>
    <col min="3832" max="3832" width="15.44140625" style="471" bestFit="1" customWidth="1"/>
    <col min="3833" max="3833" width="13" style="471" bestFit="1" customWidth="1"/>
    <col min="3834" max="3834" width="7.6640625" style="471" bestFit="1" customWidth="1"/>
    <col min="3835" max="3835" width="21" style="471" bestFit="1" customWidth="1"/>
    <col min="3836" max="3836" width="15.109375" style="471" bestFit="1" customWidth="1"/>
    <col min="3837" max="3837" width="17.109375" style="471" bestFit="1" customWidth="1"/>
    <col min="3838" max="3838" width="6" style="471" customWidth="1"/>
    <col min="3839" max="3839" width="14.6640625" style="471" bestFit="1" customWidth="1"/>
    <col min="3840" max="3840" width="16.5546875" style="471" bestFit="1" customWidth="1"/>
    <col min="3841" max="3841" width="15.33203125" style="471" bestFit="1" customWidth="1"/>
    <col min="3842" max="3842" width="18.44140625" style="471" customWidth="1"/>
    <col min="3843" max="4085" width="9.109375" style="471"/>
    <col min="4086" max="4086" width="13" style="471" customWidth="1"/>
    <col min="4087" max="4087" width="9.109375" style="471" customWidth="1"/>
    <col min="4088" max="4088" width="15.44140625" style="471" bestFit="1" customWidth="1"/>
    <col min="4089" max="4089" width="13" style="471" bestFit="1" customWidth="1"/>
    <col min="4090" max="4090" width="7.6640625" style="471" bestFit="1" customWidth="1"/>
    <col min="4091" max="4091" width="21" style="471" bestFit="1" customWidth="1"/>
    <col min="4092" max="4092" width="15.109375" style="471" bestFit="1" customWidth="1"/>
    <col min="4093" max="4093" width="17.109375" style="471" bestFit="1" customWidth="1"/>
    <col min="4094" max="4094" width="6" style="471" customWidth="1"/>
    <col min="4095" max="4095" width="14.6640625" style="471" bestFit="1" customWidth="1"/>
    <col min="4096" max="4096" width="16.5546875" style="471" bestFit="1" customWidth="1"/>
    <col min="4097" max="4097" width="15.33203125" style="471" bestFit="1" customWidth="1"/>
    <col min="4098" max="4098" width="18.44140625" style="471" customWidth="1"/>
    <col min="4099" max="4341" width="9.109375" style="471"/>
    <col min="4342" max="4342" width="13" style="471" customWidth="1"/>
    <col min="4343" max="4343" width="9.109375" style="471" customWidth="1"/>
    <col min="4344" max="4344" width="15.44140625" style="471" bestFit="1" customWidth="1"/>
    <col min="4345" max="4345" width="13" style="471" bestFit="1" customWidth="1"/>
    <col min="4346" max="4346" width="7.6640625" style="471" bestFit="1" customWidth="1"/>
    <col min="4347" max="4347" width="21" style="471" bestFit="1" customWidth="1"/>
    <col min="4348" max="4348" width="15.109375" style="471" bestFit="1" customWidth="1"/>
    <col min="4349" max="4349" width="17.109375" style="471" bestFit="1" customWidth="1"/>
    <col min="4350" max="4350" width="6" style="471" customWidth="1"/>
    <col min="4351" max="4351" width="14.6640625" style="471" bestFit="1" customWidth="1"/>
    <col min="4352" max="4352" width="16.5546875" style="471" bestFit="1" customWidth="1"/>
    <col min="4353" max="4353" width="15.33203125" style="471" bestFit="1" customWidth="1"/>
    <col min="4354" max="4354" width="18.44140625" style="471" customWidth="1"/>
    <col min="4355" max="4597" width="9.109375" style="471"/>
    <col min="4598" max="4598" width="13" style="471" customWidth="1"/>
    <col min="4599" max="4599" width="9.109375" style="471" customWidth="1"/>
    <col min="4600" max="4600" width="15.44140625" style="471" bestFit="1" customWidth="1"/>
    <col min="4601" max="4601" width="13" style="471" bestFit="1" customWidth="1"/>
    <col min="4602" max="4602" width="7.6640625" style="471" bestFit="1" customWidth="1"/>
    <col min="4603" max="4603" width="21" style="471" bestFit="1" customWidth="1"/>
    <col min="4604" max="4604" width="15.109375" style="471" bestFit="1" customWidth="1"/>
    <col min="4605" max="4605" width="17.109375" style="471" bestFit="1" customWidth="1"/>
    <col min="4606" max="4606" width="6" style="471" customWidth="1"/>
    <col min="4607" max="4607" width="14.6640625" style="471" bestFit="1" customWidth="1"/>
    <col min="4608" max="4608" width="16.5546875" style="471" bestFit="1" customWidth="1"/>
    <col min="4609" max="4609" width="15.33203125" style="471" bestFit="1" customWidth="1"/>
    <col min="4610" max="4610" width="18.44140625" style="471" customWidth="1"/>
    <col min="4611" max="4853" width="9.109375" style="471"/>
    <col min="4854" max="4854" width="13" style="471" customWidth="1"/>
    <col min="4855" max="4855" width="9.109375" style="471" customWidth="1"/>
    <col min="4856" max="4856" width="15.44140625" style="471" bestFit="1" customWidth="1"/>
    <col min="4857" max="4857" width="13" style="471" bestFit="1" customWidth="1"/>
    <col min="4858" max="4858" width="7.6640625" style="471" bestFit="1" customWidth="1"/>
    <col min="4859" max="4859" width="21" style="471" bestFit="1" customWidth="1"/>
    <col min="4860" max="4860" width="15.109375" style="471" bestFit="1" customWidth="1"/>
    <col min="4861" max="4861" width="17.109375" style="471" bestFit="1" customWidth="1"/>
    <col min="4862" max="4862" width="6" style="471" customWidth="1"/>
    <col min="4863" max="4863" width="14.6640625" style="471" bestFit="1" customWidth="1"/>
    <col min="4864" max="4864" width="16.5546875" style="471" bestFit="1" customWidth="1"/>
    <col min="4865" max="4865" width="15.33203125" style="471" bestFit="1" customWidth="1"/>
    <col min="4866" max="4866" width="18.44140625" style="471" customWidth="1"/>
    <col min="4867" max="5109" width="9.109375" style="471"/>
    <col min="5110" max="5110" width="13" style="471" customWidth="1"/>
    <col min="5111" max="5111" width="9.109375" style="471" customWidth="1"/>
    <col min="5112" max="5112" width="15.44140625" style="471" bestFit="1" customWidth="1"/>
    <col min="5113" max="5113" width="13" style="471" bestFit="1" customWidth="1"/>
    <col min="5114" max="5114" width="7.6640625" style="471" bestFit="1" customWidth="1"/>
    <col min="5115" max="5115" width="21" style="471" bestFit="1" customWidth="1"/>
    <col min="5116" max="5116" width="15.109375" style="471" bestFit="1" customWidth="1"/>
    <col min="5117" max="5117" width="17.109375" style="471" bestFit="1" customWidth="1"/>
    <col min="5118" max="5118" width="6" style="471" customWidth="1"/>
    <col min="5119" max="5119" width="14.6640625" style="471" bestFit="1" customWidth="1"/>
    <col min="5120" max="5120" width="16.5546875" style="471" bestFit="1" customWidth="1"/>
    <col min="5121" max="5121" width="15.33203125" style="471" bestFit="1" customWidth="1"/>
    <col min="5122" max="5122" width="18.44140625" style="471" customWidth="1"/>
    <col min="5123" max="5365" width="9.109375" style="471"/>
    <col min="5366" max="5366" width="13" style="471" customWidth="1"/>
    <col min="5367" max="5367" width="9.109375" style="471" customWidth="1"/>
    <col min="5368" max="5368" width="15.44140625" style="471" bestFit="1" customWidth="1"/>
    <col min="5369" max="5369" width="13" style="471" bestFit="1" customWidth="1"/>
    <col min="5370" max="5370" width="7.6640625" style="471" bestFit="1" customWidth="1"/>
    <col min="5371" max="5371" width="21" style="471" bestFit="1" customWidth="1"/>
    <col min="5372" max="5372" width="15.109375" style="471" bestFit="1" customWidth="1"/>
    <col min="5373" max="5373" width="17.109375" style="471" bestFit="1" customWidth="1"/>
    <col min="5374" max="5374" width="6" style="471" customWidth="1"/>
    <col min="5375" max="5375" width="14.6640625" style="471" bestFit="1" customWidth="1"/>
    <col min="5376" max="5376" width="16.5546875" style="471" bestFit="1" customWidth="1"/>
    <col min="5377" max="5377" width="15.33203125" style="471" bestFit="1" customWidth="1"/>
    <col min="5378" max="5378" width="18.44140625" style="471" customWidth="1"/>
    <col min="5379" max="5621" width="9.109375" style="471"/>
    <col min="5622" max="5622" width="13" style="471" customWidth="1"/>
    <col min="5623" max="5623" width="9.109375" style="471" customWidth="1"/>
    <col min="5624" max="5624" width="15.44140625" style="471" bestFit="1" customWidth="1"/>
    <col min="5625" max="5625" width="13" style="471" bestFit="1" customWidth="1"/>
    <col min="5626" max="5626" width="7.6640625" style="471" bestFit="1" customWidth="1"/>
    <col min="5627" max="5627" width="21" style="471" bestFit="1" customWidth="1"/>
    <col min="5628" max="5628" width="15.109375" style="471" bestFit="1" customWidth="1"/>
    <col min="5629" max="5629" width="17.109375" style="471" bestFit="1" customWidth="1"/>
    <col min="5630" max="5630" width="6" style="471" customWidth="1"/>
    <col min="5631" max="5631" width="14.6640625" style="471" bestFit="1" customWidth="1"/>
    <col min="5632" max="5632" width="16.5546875" style="471" bestFit="1" customWidth="1"/>
    <col min="5633" max="5633" width="15.33203125" style="471" bestFit="1" customWidth="1"/>
    <col min="5634" max="5634" width="18.44140625" style="471" customWidth="1"/>
    <col min="5635" max="5877" width="9.109375" style="471"/>
    <col min="5878" max="5878" width="13" style="471" customWidth="1"/>
    <col min="5879" max="5879" width="9.109375" style="471" customWidth="1"/>
    <col min="5880" max="5880" width="15.44140625" style="471" bestFit="1" customWidth="1"/>
    <col min="5881" max="5881" width="13" style="471" bestFit="1" customWidth="1"/>
    <col min="5882" max="5882" width="7.6640625" style="471" bestFit="1" customWidth="1"/>
    <col min="5883" max="5883" width="21" style="471" bestFit="1" customWidth="1"/>
    <col min="5884" max="5884" width="15.109375" style="471" bestFit="1" customWidth="1"/>
    <col min="5885" max="5885" width="17.109375" style="471" bestFit="1" customWidth="1"/>
    <col min="5886" max="5886" width="6" style="471" customWidth="1"/>
    <col min="5887" max="5887" width="14.6640625" style="471" bestFit="1" customWidth="1"/>
    <col min="5888" max="5888" width="16.5546875" style="471" bestFit="1" customWidth="1"/>
    <col min="5889" max="5889" width="15.33203125" style="471" bestFit="1" customWidth="1"/>
    <col min="5890" max="5890" width="18.44140625" style="471" customWidth="1"/>
    <col min="5891" max="6133" width="9.109375" style="471"/>
    <col min="6134" max="6134" width="13" style="471" customWidth="1"/>
    <col min="6135" max="6135" width="9.109375" style="471" customWidth="1"/>
    <col min="6136" max="6136" width="15.44140625" style="471" bestFit="1" customWidth="1"/>
    <col min="6137" max="6137" width="13" style="471" bestFit="1" customWidth="1"/>
    <col min="6138" max="6138" width="7.6640625" style="471" bestFit="1" customWidth="1"/>
    <col min="6139" max="6139" width="21" style="471" bestFit="1" customWidth="1"/>
    <col min="6140" max="6140" width="15.109375" style="471" bestFit="1" customWidth="1"/>
    <col min="6141" max="6141" width="17.109375" style="471" bestFit="1" customWidth="1"/>
    <col min="6142" max="6142" width="6" style="471" customWidth="1"/>
    <col min="6143" max="6143" width="14.6640625" style="471" bestFit="1" customWidth="1"/>
    <col min="6144" max="6144" width="16.5546875" style="471" bestFit="1" customWidth="1"/>
    <col min="6145" max="6145" width="15.33203125" style="471" bestFit="1" customWidth="1"/>
    <col min="6146" max="6146" width="18.44140625" style="471" customWidth="1"/>
    <col min="6147" max="6389" width="9.109375" style="471"/>
    <col min="6390" max="6390" width="13" style="471" customWidth="1"/>
    <col min="6391" max="6391" width="9.109375" style="471" customWidth="1"/>
    <col min="6392" max="6392" width="15.44140625" style="471" bestFit="1" customWidth="1"/>
    <col min="6393" max="6393" width="13" style="471" bestFit="1" customWidth="1"/>
    <col min="6394" max="6394" width="7.6640625" style="471" bestFit="1" customWidth="1"/>
    <col min="6395" max="6395" width="21" style="471" bestFit="1" customWidth="1"/>
    <col min="6396" max="6396" width="15.109375" style="471" bestFit="1" customWidth="1"/>
    <col min="6397" max="6397" width="17.109375" style="471" bestFit="1" customWidth="1"/>
    <col min="6398" max="6398" width="6" style="471" customWidth="1"/>
    <col min="6399" max="6399" width="14.6640625" style="471" bestFit="1" customWidth="1"/>
    <col min="6400" max="6400" width="16.5546875" style="471" bestFit="1" customWidth="1"/>
    <col min="6401" max="6401" width="15.33203125" style="471" bestFit="1" customWidth="1"/>
    <col min="6402" max="6402" width="18.44140625" style="471" customWidth="1"/>
    <col min="6403" max="6645" width="9.109375" style="471"/>
    <col min="6646" max="6646" width="13" style="471" customWidth="1"/>
    <col min="6647" max="6647" width="9.109375" style="471" customWidth="1"/>
    <col min="6648" max="6648" width="15.44140625" style="471" bestFit="1" customWidth="1"/>
    <col min="6649" max="6649" width="13" style="471" bestFit="1" customWidth="1"/>
    <col min="6650" max="6650" width="7.6640625" style="471" bestFit="1" customWidth="1"/>
    <col min="6651" max="6651" width="21" style="471" bestFit="1" customWidth="1"/>
    <col min="6652" max="6652" width="15.109375" style="471" bestFit="1" customWidth="1"/>
    <col min="6653" max="6653" width="17.109375" style="471" bestFit="1" customWidth="1"/>
    <col min="6654" max="6654" width="6" style="471" customWidth="1"/>
    <col min="6655" max="6655" width="14.6640625" style="471" bestFit="1" customWidth="1"/>
    <col min="6656" max="6656" width="16.5546875" style="471" bestFit="1" customWidth="1"/>
    <col min="6657" max="6657" width="15.33203125" style="471" bestFit="1" customWidth="1"/>
    <col min="6658" max="6658" width="18.44140625" style="471" customWidth="1"/>
    <col min="6659" max="6901" width="9.109375" style="471"/>
    <col min="6902" max="6902" width="13" style="471" customWidth="1"/>
    <col min="6903" max="6903" width="9.109375" style="471" customWidth="1"/>
    <col min="6904" max="6904" width="15.44140625" style="471" bestFit="1" customWidth="1"/>
    <col min="6905" max="6905" width="13" style="471" bestFit="1" customWidth="1"/>
    <col min="6906" max="6906" width="7.6640625" style="471" bestFit="1" customWidth="1"/>
    <col min="6907" max="6907" width="21" style="471" bestFit="1" customWidth="1"/>
    <col min="6908" max="6908" width="15.109375" style="471" bestFit="1" customWidth="1"/>
    <col min="6909" max="6909" width="17.109375" style="471" bestFit="1" customWidth="1"/>
    <col min="6910" max="6910" width="6" style="471" customWidth="1"/>
    <col min="6911" max="6911" width="14.6640625" style="471" bestFit="1" customWidth="1"/>
    <col min="6912" max="6912" width="16.5546875" style="471" bestFit="1" customWidth="1"/>
    <col min="6913" max="6913" width="15.33203125" style="471" bestFit="1" customWidth="1"/>
    <col min="6914" max="6914" width="18.44140625" style="471" customWidth="1"/>
    <col min="6915" max="7157" width="9.109375" style="471"/>
    <col min="7158" max="7158" width="13" style="471" customWidth="1"/>
    <col min="7159" max="7159" width="9.109375" style="471" customWidth="1"/>
    <col min="7160" max="7160" width="15.44140625" style="471" bestFit="1" customWidth="1"/>
    <col min="7161" max="7161" width="13" style="471" bestFit="1" customWidth="1"/>
    <col min="7162" max="7162" width="7.6640625" style="471" bestFit="1" customWidth="1"/>
    <col min="7163" max="7163" width="21" style="471" bestFit="1" customWidth="1"/>
    <col min="7164" max="7164" width="15.109375" style="471" bestFit="1" customWidth="1"/>
    <col min="7165" max="7165" width="17.109375" style="471" bestFit="1" customWidth="1"/>
    <col min="7166" max="7166" width="6" style="471" customWidth="1"/>
    <col min="7167" max="7167" width="14.6640625" style="471" bestFit="1" customWidth="1"/>
    <col min="7168" max="7168" width="16.5546875" style="471" bestFit="1" customWidth="1"/>
    <col min="7169" max="7169" width="15.33203125" style="471" bestFit="1" customWidth="1"/>
    <col min="7170" max="7170" width="18.44140625" style="471" customWidth="1"/>
    <col min="7171" max="7413" width="9.109375" style="471"/>
    <col min="7414" max="7414" width="13" style="471" customWidth="1"/>
    <col min="7415" max="7415" width="9.109375" style="471" customWidth="1"/>
    <col min="7416" max="7416" width="15.44140625" style="471" bestFit="1" customWidth="1"/>
    <col min="7417" max="7417" width="13" style="471" bestFit="1" customWidth="1"/>
    <col min="7418" max="7418" width="7.6640625" style="471" bestFit="1" customWidth="1"/>
    <col min="7419" max="7419" width="21" style="471" bestFit="1" customWidth="1"/>
    <col min="7420" max="7420" width="15.109375" style="471" bestFit="1" customWidth="1"/>
    <col min="7421" max="7421" width="17.109375" style="471" bestFit="1" customWidth="1"/>
    <col min="7422" max="7422" width="6" style="471" customWidth="1"/>
    <col min="7423" max="7423" width="14.6640625" style="471" bestFit="1" customWidth="1"/>
    <col min="7424" max="7424" width="16.5546875" style="471" bestFit="1" customWidth="1"/>
    <col min="7425" max="7425" width="15.33203125" style="471" bestFit="1" customWidth="1"/>
    <col min="7426" max="7426" width="18.44140625" style="471" customWidth="1"/>
    <col min="7427" max="7669" width="9.109375" style="471"/>
    <col min="7670" max="7670" width="13" style="471" customWidth="1"/>
    <col min="7671" max="7671" width="9.109375" style="471" customWidth="1"/>
    <col min="7672" max="7672" width="15.44140625" style="471" bestFit="1" customWidth="1"/>
    <col min="7673" max="7673" width="13" style="471" bestFit="1" customWidth="1"/>
    <col min="7674" max="7674" width="7.6640625" style="471" bestFit="1" customWidth="1"/>
    <col min="7675" max="7675" width="21" style="471" bestFit="1" customWidth="1"/>
    <col min="7676" max="7676" width="15.109375" style="471" bestFit="1" customWidth="1"/>
    <col min="7677" max="7677" width="17.109375" style="471" bestFit="1" customWidth="1"/>
    <col min="7678" max="7678" width="6" style="471" customWidth="1"/>
    <col min="7679" max="7679" width="14.6640625" style="471" bestFit="1" customWidth="1"/>
    <col min="7680" max="7680" width="16.5546875" style="471" bestFit="1" customWidth="1"/>
    <col min="7681" max="7681" width="15.33203125" style="471" bestFit="1" customWidth="1"/>
    <col min="7682" max="7682" width="18.44140625" style="471" customWidth="1"/>
    <col min="7683" max="7925" width="9.109375" style="471"/>
    <col min="7926" max="7926" width="13" style="471" customWidth="1"/>
    <col min="7927" max="7927" width="9.109375" style="471" customWidth="1"/>
    <col min="7928" max="7928" width="15.44140625" style="471" bestFit="1" customWidth="1"/>
    <col min="7929" max="7929" width="13" style="471" bestFit="1" customWidth="1"/>
    <col min="7930" max="7930" width="7.6640625" style="471" bestFit="1" customWidth="1"/>
    <col min="7931" max="7931" width="21" style="471" bestFit="1" customWidth="1"/>
    <col min="7932" max="7932" width="15.109375" style="471" bestFit="1" customWidth="1"/>
    <col min="7933" max="7933" width="17.109375" style="471" bestFit="1" customWidth="1"/>
    <col min="7934" max="7934" width="6" style="471" customWidth="1"/>
    <col min="7935" max="7935" width="14.6640625" style="471" bestFit="1" customWidth="1"/>
    <col min="7936" max="7936" width="16.5546875" style="471" bestFit="1" customWidth="1"/>
    <col min="7937" max="7937" width="15.33203125" style="471" bestFit="1" customWidth="1"/>
    <col min="7938" max="7938" width="18.44140625" style="471" customWidth="1"/>
    <col min="7939" max="8181" width="9.109375" style="471"/>
    <col min="8182" max="8182" width="13" style="471" customWidth="1"/>
    <col min="8183" max="8183" width="9.109375" style="471" customWidth="1"/>
    <col min="8184" max="8184" width="15.44140625" style="471" bestFit="1" customWidth="1"/>
    <col min="8185" max="8185" width="13" style="471" bestFit="1" customWidth="1"/>
    <col min="8186" max="8186" width="7.6640625" style="471" bestFit="1" customWidth="1"/>
    <col min="8187" max="8187" width="21" style="471" bestFit="1" customWidth="1"/>
    <col min="8188" max="8188" width="15.109375" style="471" bestFit="1" customWidth="1"/>
    <col min="8189" max="8189" width="17.109375" style="471" bestFit="1" customWidth="1"/>
    <col min="8190" max="8190" width="6" style="471" customWidth="1"/>
    <col min="8191" max="8191" width="14.6640625" style="471" bestFit="1" customWidth="1"/>
    <col min="8192" max="8192" width="16.5546875" style="471" bestFit="1" customWidth="1"/>
    <col min="8193" max="8193" width="15.33203125" style="471" bestFit="1" customWidth="1"/>
    <col min="8194" max="8194" width="18.44140625" style="471" customWidth="1"/>
    <col min="8195" max="8437" width="9.109375" style="471"/>
    <col min="8438" max="8438" width="13" style="471" customWidth="1"/>
    <col min="8439" max="8439" width="9.109375" style="471" customWidth="1"/>
    <col min="8440" max="8440" width="15.44140625" style="471" bestFit="1" customWidth="1"/>
    <col min="8441" max="8441" width="13" style="471" bestFit="1" customWidth="1"/>
    <col min="8442" max="8442" width="7.6640625" style="471" bestFit="1" customWidth="1"/>
    <col min="8443" max="8443" width="21" style="471" bestFit="1" customWidth="1"/>
    <col min="8444" max="8444" width="15.109375" style="471" bestFit="1" customWidth="1"/>
    <col min="8445" max="8445" width="17.109375" style="471" bestFit="1" customWidth="1"/>
    <col min="8446" max="8446" width="6" style="471" customWidth="1"/>
    <col min="8447" max="8447" width="14.6640625" style="471" bestFit="1" customWidth="1"/>
    <col min="8448" max="8448" width="16.5546875" style="471" bestFit="1" customWidth="1"/>
    <col min="8449" max="8449" width="15.33203125" style="471" bestFit="1" customWidth="1"/>
    <col min="8450" max="8450" width="18.44140625" style="471" customWidth="1"/>
    <col min="8451" max="8693" width="9.109375" style="471"/>
    <col min="8694" max="8694" width="13" style="471" customWidth="1"/>
    <col min="8695" max="8695" width="9.109375" style="471" customWidth="1"/>
    <col min="8696" max="8696" width="15.44140625" style="471" bestFit="1" customWidth="1"/>
    <col min="8697" max="8697" width="13" style="471" bestFit="1" customWidth="1"/>
    <col min="8698" max="8698" width="7.6640625" style="471" bestFit="1" customWidth="1"/>
    <col min="8699" max="8699" width="21" style="471" bestFit="1" customWidth="1"/>
    <col min="8700" max="8700" width="15.109375" style="471" bestFit="1" customWidth="1"/>
    <col min="8701" max="8701" width="17.109375" style="471" bestFit="1" customWidth="1"/>
    <col min="8702" max="8702" width="6" style="471" customWidth="1"/>
    <col min="8703" max="8703" width="14.6640625" style="471" bestFit="1" customWidth="1"/>
    <col min="8704" max="8704" width="16.5546875" style="471" bestFit="1" customWidth="1"/>
    <col min="8705" max="8705" width="15.33203125" style="471" bestFit="1" customWidth="1"/>
    <col min="8706" max="8706" width="18.44140625" style="471" customWidth="1"/>
    <col min="8707" max="8949" width="9.109375" style="471"/>
    <col min="8950" max="8950" width="13" style="471" customWidth="1"/>
    <col min="8951" max="8951" width="9.109375" style="471" customWidth="1"/>
    <col min="8952" max="8952" width="15.44140625" style="471" bestFit="1" customWidth="1"/>
    <col min="8953" max="8953" width="13" style="471" bestFit="1" customWidth="1"/>
    <col min="8954" max="8954" width="7.6640625" style="471" bestFit="1" customWidth="1"/>
    <col min="8955" max="8955" width="21" style="471" bestFit="1" customWidth="1"/>
    <col min="8956" max="8956" width="15.109375" style="471" bestFit="1" customWidth="1"/>
    <col min="8957" max="8957" width="17.109375" style="471" bestFit="1" customWidth="1"/>
    <col min="8958" max="8958" width="6" style="471" customWidth="1"/>
    <col min="8959" max="8959" width="14.6640625" style="471" bestFit="1" customWidth="1"/>
    <col min="8960" max="8960" width="16.5546875" style="471" bestFit="1" customWidth="1"/>
    <col min="8961" max="8961" width="15.33203125" style="471" bestFit="1" customWidth="1"/>
    <col min="8962" max="8962" width="18.44140625" style="471" customWidth="1"/>
    <col min="8963" max="9205" width="9.109375" style="471"/>
    <col min="9206" max="9206" width="13" style="471" customWidth="1"/>
    <col min="9207" max="9207" width="9.109375" style="471" customWidth="1"/>
    <col min="9208" max="9208" width="15.44140625" style="471" bestFit="1" customWidth="1"/>
    <col min="9209" max="9209" width="13" style="471" bestFit="1" customWidth="1"/>
    <col min="9210" max="9210" width="7.6640625" style="471" bestFit="1" customWidth="1"/>
    <col min="9211" max="9211" width="21" style="471" bestFit="1" customWidth="1"/>
    <col min="9212" max="9212" width="15.109375" style="471" bestFit="1" customWidth="1"/>
    <col min="9213" max="9213" width="17.109375" style="471" bestFit="1" customWidth="1"/>
    <col min="9214" max="9214" width="6" style="471" customWidth="1"/>
    <col min="9215" max="9215" width="14.6640625" style="471" bestFit="1" customWidth="1"/>
    <col min="9216" max="9216" width="16.5546875" style="471" bestFit="1" customWidth="1"/>
    <col min="9217" max="9217" width="15.33203125" style="471" bestFit="1" customWidth="1"/>
    <col min="9218" max="9218" width="18.44140625" style="471" customWidth="1"/>
    <col min="9219" max="9461" width="9.109375" style="471"/>
    <col min="9462" max="9462" width="13" style="471" customWidth="1"/>
    <col min="9463" max="9463" width="9.109375" style="471" customWidth="1"/>
    <col min="9464" max="9464" width="15.44140625" style="471" bestFit="1" customWidth="1"/>
    <col min="9465" max="9465" width="13" style="471" bestFit="1" customWidth="1"/>
    <col min="9466" max="9466" width="7.6640625" style="471" bestFit="1" customWidth="1"/>
    <col min="9467" max="9467" width="21" style="471" bestFit="1" customWidth="1"/>
    <col min="9468" max="9468" width="15.109375" style="471" bestFit="1" customWidth="1"/>
    <col min="9469" max="9469" width="17.109375" style="471" bestFit="1" customWidth="1"/>
    <col min="9470" max="9470" width="6" style="471" customWidth="1"/>
    <col min="9471" max="9471" width="14.6640625" style="471" bestFit="1" customWidth="1"/>
    <col min="9472" max="9472" width="16.5546875" style="471" bestFit="1" customWidth="1"/>
    <col min="9473" max="9473" width="15.33203125" style="471" bestFit="1" customWidth="1"/>
    <col min="9474" max="9474" width="18.44140625" style="471" customWidth="1"/>
    <col min="9475" max="9717" width="9.109375" style="471"/>
    <col min="9718" max="9718" width="13" style="471" customWidth="1"/>
    <col min="9719" max="9719" width="9.109375" style="471" customWidth="1"/>
    <col min="9720" max="9720" width="15.44140625" style="471" bestFit="1" customWidth="1"/>
    <col min="9721" max="9721" width="13" style="471" bestFit="1" customWidth="1"/>
    <col min="9722" max="9722" width="7.6640625" style="471" bestFit="1" customWidth="1"/>
    <col min="9723" max="9723" width="21" style="471" bestFit="1" customWidth="1"/>
    <col min="9724" max="9724" width="15.109375" style="471" bestFit="1" customWidth="1"/>
    <col min="9725" max="9725" width="17.109375" style="471" bestFit="1" customWidth="1"/>
    <col min="9726" max="9726" width="6" style="471" customWidth="1"/>
    <col min="9727" max="9727" width="14.6640625" style="471" bestFit="1" customWidth="1"/>
    <col min="9728" max="9728" width="16.5546875" style="471" bestFit="1" customWidth="1"/>
    <col min="9729" max="9729" width="15.33203125" style="471" bestFit="1" customWidth="1"/>
    <col min="9730" max="9730" width="18.44140625" style="471" customWidth="1"/>
    <col min="9731" max="9973" width="9.109375" style="471"/>
    <col min="9974" max="9974" width="13" style="471" customWidth="1"/>
    <col min="9975" max="9975" width="9.109375" style="471" customWidth="1"/>
    <col min="9976" max="9976" width="15.44140625" style="471" bestFit="1" customWidth="1"/>
    <col min="9977" max="9977" width="13" style="471" bestFit="1" customWidth="1"/>
    <col min="9978" max="9978" width="7.6640625" style="471" bestFit="1" customWidth="1"/>
    <col min="9979" max="9979" width="21" style="471" bestFit="1" customWidth="1"/>
    <col min="9980" max="9980" width="15.109375" style="471" bestFit="1" customWidth="1"/>
    <col min="9981" max="9981" width="17.109375" style="471" bestFit="1" customWidth="1"/>
    <col min="9982" max="9982" width="6" style="471" customWidth="1"/>
    <col min="9983" max="9983" width="14.6640625" style="471" bestFit="1" customWidth="1"/>
    <col min="9984" max="9984" width="16.5546875" style="471" bestFit="1" customWidth="1"/>
    <col min="9985" max="9985" width="15.33203125" style="471" bestFit="1" customWidth="1"/>
    <col min="9986" max="9986" width="18.44140625" style="471" customWidth="1"/>
    <col min="9987" max="10229" width="9.109375" style="471"/>
    <col min="10230" max="10230" width="13" style="471" customWidth="1"/>
    <col min="10231" max="10231" width="9.109375" style="471" customWidth="1"/>
    <col min="10232" max="10232" width="15.44140625" style="471" bestFit="1" customWidth="1"/>
    <col min="10233" max="10233" width="13" style="471" bestFit="1" customWidth="1"/>
    <col min="10234" max="10234" width="7.6640625" style="471" bestFit="1" customWidth="1"/>
    <col min="10235" max="10235" width="21" style="471" bestFit="1" customWidth="1"/>
    <col min="10236" max="10236" width="15.109375" style="471" bestFit="1" customWidth="1"/>
    <col min="10237" max="10237" width="17.109375" style="471" bestFit="1" customWidth="1"/>
    <col min="10238" max="10238" width="6" style="471" customWidth="1"/>
    <col min="10239" max="10239" width="14.6640625" style="471" bestFit="1" customWidth="1"/>
    <col min="10240" max="10240" width="16.5546875" style="471" bestFit="1" customWidth="1"/>
    <col min="10241" max="10241" width="15.33203125" style="471" bestFit="1" customWidth="1"/>
    <col min="10242" max="10242" width="18.44140625" style="471" customWidth="1"/>
    <col min="10243" max="10485" width="9.109375" style="471"/>
    <col min="10486" max="10486" width="13" style="471" customWidth="1"/>
    <col min="10487" max="10487" width="9.109375" style="471" customWidth="1"/>
    <col min="10488" max="10488" width="15.44140625" style="471" bestFit="1" customWidth="1"/>
    <col min="10489" max="10489" width="13" style="471" bestFit="1" customWidth="1"/>
    <col min="10490" max="10490" width="7.6640625" style="471" bestFit="1" customWidth="1"/>
    <col min="10491" max="10491" width="21" style="471" bestFit="1" customWidth="1"/>
    <col min="10492" max="10492" width="15.109375" style="471" bestFit="1" customWidth="1"/>
    <col min="10493" max="10493" width="17.109375" style="471" bestFit="1" customWidth="1"/>
    <col min="10494" max="10494" width="6" style="471" customWidth="1"/>
    <col min="10495" max="10495" width="14.6640625" style="471" bestFit="1" customWidth="1"/>
    <col min="10496" max="10496" width="16.5546875" style="471" bestFit="1" customWidth="1"/>
    <col min="10497" max="10497" width="15.33203125" style="471" bestFit="1" customWidth="1"/>
    <col min="10498" max="10498" width="18.44140625" style="471" customWidth="1"/>
    <col min="10499" max="10741" width="9.109375" style="471"/>
    <col min="10742" max="10742" width="13" style="471" customWidth="1"/>
    <col min="10743" max="10743" width="9.109375" style="471" customWidth="1"/>
    <col min="10744" max="10744" width="15.44140625" style="471" bestFit="1" customWidth="1"/>
    <col min="10745" max="10745" width="13" style="471" bestFit="1" customWidth="1"/>
    <col min="10746" max="10746" width="7.6640625" style="471" bestFit="1" customWidth="1"/>
    <col min="10747" max="10747" width="21" style="471" bestFit="1" customWidth="1"/>
    <col min="10748" max="10748" width="15.109375" style="471" bestFit="1" customWidth="1"/>
    <col min="10749" max="10749" width="17.109375" style="471" bestFit="1" customWidth="1"/>
    <col min="10750" max="10750" width="6" style="471" customWidth="1"/>
    <col min="10751" max="10751" width="14.6640625" style="471" bestFit="1" customWidth="1"/>
    <col min="10752" max="10752" width="16.5546875" style="471" bestFit="1" customWidth="1"/>
    <col min="10753" max="10753" width="15.33203125" style="471" bestFit="1" customWidth="1"/>
    <col min="10754" max="10754" width="18.44140625" style="471" customWidth="1"/>
    <col min="10755" max="10997" width="9.109375" style="471"/>
    <col min="10998" max="10998" width="13" style="471" customWidth="1"/>
    <col min="10999" max="10999" width="9.109375" style="471" customWidth="1"/>
    <col min="11000" max="11000" width="15.44140625" style="471" bestFit="1" customWidth="1"/>
    <col min="11001" max="11001" width="13" style="471" bestFit="1" customWidth="1"/>
    <col min="11002" max="11002" width="7.6640625" style="471" bestFit="1" customWidth="1"/>
    <col min="11003" max="11003" width="21" style="471" bestFit="1" customWidth="1"/>
    <col min="11004" max="11004" width="15.109375" style="471" bestFit="1" customWidth="1"/>
    <col min="11005" max="11005" width="17.109375" style="471" bestFit="1" customWidth="1"/>
    <col min="11006" max="11006" width="6" style="471" customWidth="1"/>
    <col min="11007" max="11007" width="14.6640625" style="471" bestFit="1" customWidth="1"/>
    <col min="11008" max="11008" width="16.5546875" style="471" bestFit="1" customWidth="1"/>
    <col min="11009" max="11009" width="15.33203125" style="471" bestFit="1" customWidth="1"/>
    <col min="11010" max="11010" width="18.44140625" style="471" customWidth="1"/>
    <col min="11011" max="11253" width="9.109375" style="471"/>
    <col min="11254" max="11254" width="13" style="471" customWidth="1"/>
    <col min="11255" max="11255" width="9.109375" style="471" customWidth="1"/>
    <col min="11256" max="11256" width="15.44140625" style="471" bestFit="1" customWidth="1"/>
    <col min="11257" max="11257" width="13" style="471" bestFit="1" customWidth="1"/>
    <col min="11258" max="11258" width="7.6640625" style="471" bestFit="1" customWidth="1"/>
    <col min="11259" max="11259" width="21" style="471" bestFit="1" customWidth="1"/>
    <col min="11260" max="11260" width="15.109375" style="471" bestFit="1" customWidth="1"/>
    <col min="11261" max="11261" width="17.109375" style="471" bestFit="1" customWidth="1"/>
    <col min="11262" max="11262" width="6" style="471" customWidth="1"/>
    <col min="11263" max="11263" width="14.6640625" style="471" bestFit="1" customWidth="1"/>
    <col min="11264" max="11264" width="16.5546875" style="471" bestFit="1" customWidth="1"/>
    <col min="11265" max="11265" width="15.33203125" style="471" bestFit="1" customWidth="1"/>
    <col min="11266" max="11266" width="18.44140625" style="471" customWidth="1"/>
    <col min="11267" max="11509" width="9.109375" style="471"/>
    <col min="11510" max="11510" width="13" style="471" customWidth="1"/>
    <col min="11511" max="11511" width="9.109375" style="471" customWidth="1"/>
    <col min="11512" max="11512" width="15.44140625" style="471" bestFit="1" customWidth="1"/>
    <col min="11513" max="11513" width="13" style="471" bestFit="1" customWidth="1"/>
    <col min="11514" max="11514" width="7.6640625" style="471" bestFit="1" customWidth="1"/>
    <col min="11515" max="11515" width="21" style="471" bestFit="1" customWidth="1"/>
    <col min="11516" max="11516" width="15.109375" style="471" bestFit="1" customWidth="1"/>
    <col min="11517" max="11517" width="17.109375" style="471" bestFit="1" customWidth="1"/>
    <col min="11518" max="11518" width="6" style="471" customWidth="1"/>
    <col min="11519" max="11519" width="14.6640625" style="471" bestFit="1" customWidth="1"/>
    <col min="11520" max="11520" width="16.5546875" style="471" bestFit="1" customWidth="1"/>
    <col min="11521" max="11521" width="15.33203125" style="471" bestFit="1" customWidth="1"/>
    <col min="11522" max="11522" width="18.44140625" style="471" customWidth="1"/>
    <col min="11523" max="11765" width="9.109375" style="471"/>
    <col min="11766" max="11766" width="13" style="471" customWidth="1"/>
    <col min="11767" max="11767" width="9.109375" style="471" customWidth="1"/>
    <col min="11768" max="11768" width="15.44140625" style="471" bestFit="1" customWidth="1"/>
    <col min="11769" max="11769" width="13" style="471" bestFit="1" customWidth="1"/>
    <col min="11770" max="11770" width="7.6640625" style="471" bestFit="1" customWidth="1"/>
    <col min="11771" max="11771" width="21" style="471" bestFit="1" customWidth="1"/>
    <col min="11772" max="11772" width="15.109375" style="471" bestFit="1" customWidth="1"/>
    <col min="11773" max="11773" width="17.109375" style="471" bestFit="1" customWidth="1"/>
    <col min="11774" max="11774" width="6" style="471" customWidth="1"/>
    <col min="11775" max="11775" width="14.6640625" style="471" bestFit="1" customWidth="1"/>
    <col min="11776" max="11776" width="16.5546875" style="471" bestFit="1" customWidth="1"/>
    <col min="11777" max="11777" width="15.33203125" style="471" bestFit="1" customWidth="1"/>
    <col min="11778" max="11778" width="18.44140625" style="471" customWidth="1"/>
    <col min="11779" max="12021" width="9.109375" style="471"/>
    <col min="12022" max="12022" width="13" style="471" customWidth="1"/>
    <col min="12023" max="12023" width="9.109375" style="471" customWidth="1"/>
    <col min="12024" max="12024" width="15.44140625" style="471" bestFit="1" customWidth="1"/>
    <col min="12025" max="12025" width="13" style="471" bestFit="1" customWidth="1"/>
    <col min="12026" max="12026" width="7.6640625" style="471" bestFit="1" customWidth="1"/>
    <col min="12027" max="12027" width="21" style="471" bestFit="1" customWidth="1"/>
    <col min="12028" max="12028" width="15.109375" style="471" bestFit="1" customWidth="1"/>
    <col min="12029" max="12029" width="17.109375" style="471" bestFit="1" customWidth="1"/>
    <col min="12030" max="12030" width="6" style="471" customWidth="1"/>
    <col min="12031" max="12031" width="14.6640625" style="471" bestFit="1" customWidth="1"/>
    <col min="12032" max="12032" width="16.5546875" style="471" bestFit="1" customWidth="1"/>
    <col min="12033" max="12033" width="15.33203125" style="471" bestFit="1" customWidth="1"/>
    <col min="12034" max="12034" width="18.44140625" style="471" customWidth="1"/>
    <col min="12035" max="12277" width="9.109375" style="471"/>
    <col min="12278" max="12278" width="13" style="471" customWidth="1"/>
    <col min="12279" max="12279" width="9.109375" style="471" customWidth="1"/>
    <col min="12280" max="12280" width="15.44140625" style="471" bestFit="1" customWidth="1"/>
    <col min="12281" max="12281" width="13" style="471" bestFit="1" customWidth="1"/>
    <col min="12282" max="12282" width="7.6640625" style="471" bestFit="1" customWidth="1"/>
    <col min="12283" max="12283" width="21" style="471" bestFit="1" customWidth="1"/>
    <col min="12284" max="12284" width="15.109375" style="471" bestFit="1" customWidth="1"/>
    <col min="12285" max="12285" width="17.109375" style="471" bestFit="1" customWidth="1"/>
    <col min="12286" max="12286" width="6" style="471" customWidth="1"/>
    <col min="12287" max="12287" width="14.6640625" style="471" bestFit="1" customWidth="1"/>
    <col min="12288" max="12288" width="16.5546875" style="471" bestFit="1" customWidth="1"/>
    <col min="12289" max="12289" width="15.33203125" style="471" bestFit="1" customWidth="1"/>
    <col min="12290" max="12290" width="18.44140625" style="471" customWidth="1"/>
    <col min="12291" max="12533" width="9.109375" style="471"/>
    <col min="12534" max="12534" width="13" style="471" customWidth="1"/>
    <col min="12535" max="12535" width="9.109375" style="471" customWidth="1"/>
    <col min="12536" max="12536" width="15.44140625" style="471" bestFit="1" customWidth="1"/>
    <col min="12537" max="12537" width="13" style="471" bestFit="1" customWidth="1"/>
    <col min="12538" max="12538" width="7.6640625" style="471" bestFit="1" customWidth="1"/>
    <col min="12539" max="12539" width="21" style="471" bestFit="1" customWidth="1"/>
    <col min="12540" max="12540" width="15.109375" style="471" bestFit="1" customWidth="1"/>
    <col min="12541" max="12541" width="17.109375" style="471" bestFit="1" customWidth="1"/>
    <col min="12542" max="12542" width="6" style="471" customWidth="1"/>
    <col min="12543" max="12543" width="14.6640625" style="471" bestFit="1" customWidth="1"/>
    <col min="12544" max="12544" width="16.5546875" style="471" bestFit="1" customWidth="1"/>
    <col min="12545" max="12545" width="15.33203125" style="471" bestFit="1" customWidth="1"/>
    <col min="12546" max="12546" width="18.44140625" style="471" customWidth="1"/>
    <col min="12547" max="12789" width="9.109375" style="471"/>
    <col min="12790" max="12790" width="13" style="471" customWidth="1"/>
    <col min="12791" max="12791" width="9.109375" style="471" customWidth="1"/>
    <col min="12792" max="12792" width="15.44140625" style="471" bestFit="1" customWidth="1"/>
    <col min="12793" max="12793" width="13" style="471" bestFit="1" customWidth="1"/>
    <col min="12794" max="12794" width="7.6640625" style="471" bestFit="1" customWidth="1"/>
    <col min="12795" max="12795" width="21" style="471" bestFit="1" customWidth="1"/>
    <col min="12796" max="12796" width="15.109375" style="471" bestFit="1" customWidth="1"/>
    <col min="12797" max="12797" width="17.109375" style="471" bestFit="1" customWidth="1"/>
    <col min="12798" max="12798" width="6" style="471" customWidth="1"/>
    <col min="12799" max="12799" width="14.6640625" style="471" bestFit="1" customWidth="1"/>
    <col min="12800" max="12800" width="16.5546875" style="471" bestFit="1" customWidth="1"/>
    <col min="12801" max="12801" width="15.33203125" style="471" bestFit="1" customWidth="1"/>
    <col min="12802" max="12802" width="18.44140625" style="471" customWidth="1"/>
    <col min="12803" max="13045" width="9.109375" style="471"/>
    <col min="13046" max="13046" width="13" style="471" customWidth="1"/>
    <col min="13047" max="13047" width="9.109375" style="471" customWidth="1"/>
    <col min="13048" max="13048" width="15.44140625" style="471" bestFit="1" customWidth="1"/>
    <col min="13049" max="13049" width="13" style="471" bestFit="1" customWidth="1"/>
    <col min="13050" max="13050" width="7.6640625" style="471" bestFit="1" customWidth="1"/>
    <col min="13051" max="13051" width="21" style="471" bestFit="1" customWidth="1"/>
    <col min="13052" max="13052" width="15.109375" style="471" bestFit="1" customWidth="1"/>
    <col min="13053" max="13053" width="17.109375" style="471" bestFit="1" customWidth="1"/>
    <col min="13054" max="13054" width="6" style="471" customWidth="1"/>
    <col min="13055" max="13055" width="14.6640625" style="471" bestFit="1" customWidth="1"/>
    <col min="13056" max="13056" width="16.5546875" style="471" bestFit="1" customWidth="1"/>
    <col min="13057" max="13057" width="15.33203125" style="471" bestFit="1" customWidth="1"/>
    <col min="13058" max="13058" width="18.44140625" style="471" customWidth="1"/>
    <col min="13059" max="13301" width="9.109375" style="471"/>
    <col min="13302" max="13302" width="13" style="471" customWidth="1"/>
    <col min="13303" max="13303" width="9.109375" style="471" customWidth="1"/>
    <col min="13304" max="13304" width="15.44140625" style="471" bestFit="1" customWidth="1"/>
    <col min="13305" max="13305" width="13" style="471" bestFit="1" customWidth="1"/>
    <col min="13306" max="13306" width="7.6640625" style="471" bestFit="1" customWidth="1"/>
    <col min="13307" max="13307" width="21" style="471" bestFit="1" customWidth="1"/>
    <col min="13308" max="13308" width="15.109375" style="471" bestFit="1" customWidth="1"/>
    <col min="13309" max="13309" width="17.109375" style="471" bestFit="1" customWidth="1"/>
    <col min="13310" max="13310" width="6" style="471" customWidth="1"/>
    <col min="13311" max="13311" width="14.6640625" style="471" bestFit="1" customWidth="1"/>
    <col min="13312" max="13312" width="16.5546875" style="471" bestFit="1" customWidth="1"/>
    <col min="13313" max="13313" width="15.33203125" style="471" bestFit="1" customWidth="1"/>
    <col min="13314" max="13314" width="18.44140625" style="471" customWidth="1"/>
    <col min="13315" max="13557" width="9.109375" style="471"/>
    <col min="13558" max="13558" width="13" style="471" customWidth="1"/>
    <col min="13559" max="13559" width="9.109375" style="471" customWidth="1"/>
    <col min="13560" max="13560" width="15.44140625" style="471" bestFit="1" customWidth="1"/>
    <col min="13561" max="13561" width="13" style="471" bestFit="1" customWidth="1"/>
    <col min="13562" max="13562" width="7.6640625" style="471" bestFit="1" customWidth="1"/>
    <col min="13563" max="13563" width="21" style="471" bestFit="1" customWidth="1"/>
    <col min="13564" max="13564" width="15.109375" style="471" bestFit="1" customWidth="1"/>
    <col min="13565" max="13565" width="17.109375" style="471" bestFit="1" customWidth="1"/>
    <col min="13566" max="13566" width="6" style="471" customWidth="1"/>
    <col min="13567" max="13567" width="14.6640625" style="471" bestFit="1" customWidth="1"/>
    <col min="13568" max="13568" width="16.5546875" style="471" bestFit="1" customWidth="1"/>
    <col min="13569" max="13569" width="15.33203125" style="471" bestFit="1" customWidth="1"/>
    <col min="13570" max="13570" width="18.44140625" style="471" customWidth="1"/>
    <col min="13571" max="13813" width="9.109375" style="471"/>
    <col min="13814" max="13814" width="13" style="471" customWidth="1"/>
    <col min="13815" max="13815" width="9.109375" style="471" customWidth="1"/>
    <col min="13816" max="13816" width="15.44140625" style="471" bestFit="1" customWidth="1"/>
    <col min="13817" max="13817" width="13" style="471" bestFit="1" customWidth="1"/>
    <col min="13818" max="13818" width="7.6640625" style="471" bestFit="1" customWidth="1"/>
    <col min="13819" max="13819" width="21" style="471" bestFit="1" customWidth="1"/>
    <col min="13820" max="13820" width="15.109375" style="471" bestFit="1" customWidth="1"/>
    <col min="13821" max="13821" width="17.109375" style="471" bestFit="1" customWidth="1"/>
    <col min="13822" max="13822" width="6" style="471" customWidth="1"/>
    <col min="13823" max="13823" width="14.6640625" style="471" bestFit="1" customWidth="1"/>
    <col min="13824" max="13824" width="16.5546875" style="471" bestFit="1" customWidth="1"/>
    <col min="13825" max="13825" width="15.33203125" style="471" bestFit="1" customWidth="1"/>
    <col min="13826" max="13826" width="18.44140625" style="471" customWidth="1"/>
    <col min="13827" max="14069" width="9.109375" style="471"/>
    <col min="14070" max="14070" width="13" style="471" customWidth="1"/>
    <col min="14071" max="14071" width="9.109375" style="471" customWidth="1"/>
    <col min="14072" max="14072" width="15.44140625" style="471" bestFit="1" customWidth="1"/>
    <col min="14073" max="14073" width="13" style="471" bestFit="1" customWidth="1"/>
    <col min="14074" max="14074" width="7.6640625" style="471" bestFit="1" customWidth="1"/>
    <col min="14075" max="14075" width="21" style="471" bestFit="1" customWidth="1"/>
    <col min="14076" max="14076" width="15.109375" style="471" bestFit="1" customWidth="1"/>
    <col min="14077" max="14077" width="17.109375" style="471" bestFit="1" customWidth="1"/>
    <col min="14078" max="14078" width="6" style="471" customWidth="1"/>
    <col min="14079" max="14079" width="14.6640625" style="471" bestFit="1" customWidth="1"/>
    <col min="14080" max="14080" width="16.5546875" style="471" bestFit="1" customWidth="1"/>
    <col min="14081" max="14081" width="15.33203125" style="471" bestFit="1" customWidth="1"/>
    <col min="14082" max="14082" width="18.44140625" style="471" customWidth="1"/>
    <col min="14083" max="14325" width="9.109375" style="471"/>
    <col min="14326" max="14326" width="13" style="471" customWidth="1"/>
    <col min="14327" max="14327" width="9.109375" style="471" customWidth="1"/>
    <col min="14328" max="14328" width="15.44140625" style="471" bestFit="1" customWidth="1"/>
    <col min="14329" max="14329" width="13" style="471" bestFit="1" customWidth="1"/>
    <col min="14330" max="14330" width="7.6640625" style="471" bestFit="1" customWidth="1"/>
    <col min="14331" max="14331" width="21" style="471" bestFit="1" customWidth="1"/>
    <col min="14332" max="14332" width="15.109375" style="471" bestFit="1" customWidth="1"/>
    <col min="14333" max="14333" width="17.109375" style="471" bestFit="1" customWidth="1"/>
    <col min="14334" max="14334" width="6" style="471" customWidth="1"/>
    <col min="14335" max="14335" width="14.6640625" style="471" bestFit="1" customWidth="1"/>
    <col min="14336" max="14336" width="16.5546875" style="471" bestFit="1" customWidth="1"/>
    <col min="14337" max="14337" width="15.33203125" style="471" bestFit="1" customWidth="1"/>
    <col min="14338" max="14338" width="18.44140625" style="471" customWidth="1"/>
    <col min="14339" max="14581" width="9.109375" style="471"/>
    <col min="14582" max="14582" width="13" style="471" customWidth="1"/>
    <col min="14583" max="14583" width="9.109375" style="471" customWidth="1"/>
    <col min="14584" max="14584" width="15.44140625" style="471" bestFit="1" customWidth="1"/>
    <col min="14585" max="14585" width="13" style="471" bestFit="1" customWidth="1"/>
    <col min="14586" max="14586" width="7.6640625" style="471" bestFit="1" customWidth="1"/>
    <col min="14587" max="14587" width="21" style="471" bestFit="1" customWidth="1"/>
    <col min="14588" max="14588" width="15.109375" style="471" bestFit="1" customWidth="1"/>
    <col min="14589" max="14589" width="17.109375" style="471" bestFit="1" customWidth="1"/>
    <col min="14590" max="14590" width="6" style="471" customWidth="1"/>
    <col min="14591" max="14591" width="14.6640625" style="471" bestFit="1" customWidth="1"/>
    <col min="14592" max="14592" width="16.5546875" style="471" bestFit="1" customWidth="1"/>
    <col min="14593" max="14593" width="15.33203125" style="471" bestFit="1" customWidth="1"/>
    <col min="14594" max="14594" width="18.44140625" style="471" customWidth="1"/>
    <col min="14595" max="14837" width="9.109375" style="471"/>
    <col min="14838" max="14838" width="13" style="471" customWidth="1"/>
    <col min="14839" max="14839" width="9.109375" style="471" customWidth="1"/>
    <col min="14840" max="14840" width="15.44140625" style="471" bestFit="1" customWidth="1"/>
    <col min="14841" max="14841" width="13" style="471" bestFit="1" customWidth="1"/>
    <col min="14842" max="14842" width="7.6640625" style="471" bestFit="1" customWidth="1"/>
    <col min="14843" max="14843" width="21" style="471" bestFit="1" customWidth="1"/>
    <col min="14844" max="14844" width="15.109375" style="471" bestFit="1" customWidth="1"/>
    <col min="14845" max="14845" width="17.109375" style="471" bestFit="1" customWidth="1"/>
    <col min="14846" max="14846" width="6" style="471" customWidth="1"/>
    <col min="14847" max="14847" width="14.6640625" style="471" bestFit="1" customWidth="1"/>
    <col min="14848" max="14848" width="16.5546875" style="471" bestFit="1" customWidth="1"/>
    <col min="14849" max="14849" width="15.33203125" style="471" bestFit="1" customWidth="1"/>
    <col min="14850" max="14850" width="18.44140625" style="471" customWidth="1"/>
    <col min="14851" max="15093" width="9.109375" style="471"/>
    <col min="15094" max="15094" width="13" style="471" customWidth="1"/>
    <col min="15095" max="15095" width="9.109375" style="471" customWidth="1"/>
    <col min="15096" max="15096" width="15.44140625" style="471" bestFit="1" customWidth="1"/>
    <col min="15097" max="15097" width="13" style="471" bestFit="1" customWidth="1"/>
    <col min="15098" max="15098" width="7.6640625" style="471" bestFit="1" customWidth="1"/>
    <col min="15099" max="15099" width="21" style="471" bestFit="1" customWidth="1"/>
    <col min="15100" max="15100" width="15.109375" style="471" bestFit="1" customWidth="1"/>
    <col min="15101" max="15101" width="17.109375" style="471" bestFit="1" customWidth="1"/>
    <col min="15102" max="15102" width="6" style="471" customWidth="1"/>
    <col min="15103" max="15103" width="14.6640625" style="471" bestFit="1" customWidth="1"/>
    <col min="15104" max="15104" width="16.5546875" style="471" bestFit="1" customWidth="1"/>
    <col min="15105" max="15105" width="15.33203125" style="471" bestFit="1" customWidth="1"/>
    <col min="15106" max="15106" width="18.44140625" style="471" customWidth="1"/>
    <col min="15107" max="15349" width="9.109375" style="471"/>
    <col min="15350" max="15350" width="13" style="471" customWidth="1"/>
    <col min="15351" max="15351" width="9.109375" style="471" customWidth="1"/>
    <col min="15352" max="15352" width="15.44140625" style="471" bestFit="1" customWidth="1"/>
    <col min="15353" max="15353" width="13" style="471" bestFit="1" customWidth="1"/>
    <col min="15354" max="15354" width="7.6640625" style="471" bestFit="1" customWidth="1"/>
    <col min="15355" max="15355" width="21" style="471" bestFit="1" customWidth="1"/>
    <col min="15356" max="15356" width="15.109375" style="471" bestFit="1" customWidth="1"/>
    <col min="15357" max="15357" width="17.109375" style="471" bestFit="1" customWidth="1"/>
    <col min="15358" max="15358" width="6" style="471" customWidth="1"/>
    <col min="15359" max="15359" width="14.6640625" style="471" bestFit="1" customWidth="1"/>
    <col min="15360" max="15360" width="16.5546875" style="471" bestFit="1" customWidth="1"/>
    <col min="15361" max="15361" width="15.33203125" style="471" bestFit="1" customWidth="1"/>
    <col min="15362" max="15362" width="18.44140625" style="471" customWidth="1"/>
    <col min="15363" max="15605" width="9.109375" style="471"/>
    <col min="15606" max="15606" width="13" style="471" customWidth="1"/>
    <col min="15607" max="15607" width="9.109375" style="471" customWidth="1"/>
    <col min="15608" max="15608" width="15.44140625" style="471" bestFit="1" customWidth="1"/>
    <col min="15609" max="15609" width="13" style="471" bestFit="1" customWidth="1"/>
    <col min="15610" max="15610" width="7.6640625" style="471" bestFit="1" customWidth="1"/>
    <col min="15611" max="15611" width="21" style="471" bestFit="1" customWidth="1"/>
    <col min="15612" max="15612" width="15.109375" style="471" bestFit="1" customWidth="1"/>
    <col min="15613" max="15613" width="17.109375" style="471" bestFit="1" customWidth="1"/>
    <col min="15614" max="15614" width="6" style="471" customWidth="1"/>
    <col min="15615" max="15615" width="14.6640625" style="471" bestFit="1" customWidth="1"/>
    <col min="15616" max="15616" width="16.5546875" style="471" bestFit="1" customWidth="1"/>
    <col min="15617" max="15617" width="15.33203125" style="471" bestFit="1" customWidth="1"/>
    <col min="15618" max="15618" width="18.44140625" style="471" customWidth="1"/>
    <col min="15619" max="15861" width="9.109375" style="471"/>
    <col min="15862" max="15862" width="13" style="471" customWidth="1"/>
    <col min="15863" max="15863" width="9.109375" style="471" customWidth="1"/>
    <col min="15864" max="15864" width="15.44140625" style="471" bestFit="1" customWidth="1"/>
    <col min="15865" max="15865" width="13" style="471" bestFit="1" customWidth="1"/>
    <col min="15866" max="15866" width="7.6640625" style="471" bestFit="1" customWidth="1"/>
    <col min="15867" max="15867" width="21" style="471" bestFit="1" customWidth="1"/>
    <col min="15868" max="15868" width="15.109375" style="471" bestFit="1" customWidth="1"/>
    <col min="15869" max="15869" width="17.109375" style="471" bestFit="1" customWidth="1"/>
    <col min="15870" max="15870" width="6" style="471" customWidth="1"/>
    <col min="15871" max="15871" width="14.6640625" style="471" bestFit="1" customWidth="1"/>
    <col min="15872" max="15872" width="16.5546875" style="471" bestFit="1" customWidth="1"/>
    <col min="15873" max="15873" width="15.33203125" style="471" bestFit="1" customWidth="1"/>
    <col min="15874" max="15874" width="18.44140625" style="471" customWidth="1"/>
    <col min="15875" max="16117" width="9.109375" style="471"/>
    <col min="16118" max="16118" width="13" style="471" customWidth="1"/>
    <col min="16119" max="16119" width="9.109375" style="471" customWidth="1"/>
    <col min="16120" max="16120" width="15.44140625" style="471" bestFit="1" customWidth="1"/>
    <col min="16121" max="16121" width="13" style="471" bestFit="1" customWidth="1"/>
    <col min="16122" max="16122" width="7.6640625" style="471" bestFit="1" customWidth="1"/>
    <col min="16123" max="16123" width="21" style="471" bestFit="1" customWidth="1"/>
    <col min="16124" max="16124" width="15.109375" style="471" bestFit="1" customWidth="1"/>
    <col min="16125" max="16125" width="17.109375" style="471" bestFit="1" customWidth="1"/>
    <col min="16126" max="16126" width="6" style="471" customWidth="1"/>
    <col min="16127" max="16127" width="14.6640625" style="471" bestFit="1" customWidth="1"/>
    <col min="16128" max="16128" width="16.5546875" style="471" bestFit="1" customWidth="1"/>
    <col min="16129" max="16129" width="15.33203125" style="471" bestFit="1" customWidth="1"/>
    <col min="16130" max="16130" width="18.44140625" style="471" customWidth="1"/>
    <col min="16131" max="16384" width="9.109375" style="471"/>
  </cols>
  <sheetData>
    <row r="1" spans="1:8">
      <c r="A1" s="470" t="s">
        <v>341</v>
      </c>
    </row>
    <row r="2" spans="1:8">
      <c r="A2" s="470" t="s">
        <v>638</v>
      </c>
    </row>
    <row r="3" spans="1:8">
      <c r="A3" s="472" t="s">
        <v>777</v>
      </c>
    </row>
    <row r="5" spans="1:8">
      <c r="A5" s="473" t="s">
        <v>639</v>
      </c>
      <c r="B5" s="474"/>
      <c r="C5" s="473" t="s">
        <v>641</v>
      </c>
      <c r="D5" s="475"/>
    </row>
    <row r="6" spans="1:8">
      <c r="A6" s="471" t="s">
        <v>642</v>
      </c>
    </row>
    <row r="7" spans="1:8">
      <c r="A7" s="476">
        <v>42004</v>
      </c>
      <c r="C7" s="477">
        <v>14823682</v>
      </c>
      <c r="D7" s="478"/>
      <c r="H7" s="479"/>
    </row>
    <row r="8" spans="1:8">
      <c r="A8" s="476">
        <v>42035</v>
      </c>
      <c r="C8" s="477">
        <v>15069505.91780822</v>
      </c>
      <c r="D8" s="479"/>
      <c r="H8" s="479"/>
    </row>
    <row r="9" spans="1:8">
      <c r="A9" s="476">
        <v>42063</v>
      </c>
      <c r="C9" s="477">
        <v>15090541.726027397</v>
      </c>
      <c r="D9" s="479"/>
      <c r="H9" s="479"/>
    </row>
    <row r="10" spans="1:8">
      <c r="A10" s="476">
        <v>42094</v>
      </c>
      <c r="C10" s="477">
        <v>12539338.37260274</v>
      </c>
      <c r="D10" s="479"/>
      <c r="H10" s="479"/>
    </row>
    <row r="11" spans="1:8">
      <c r="A11" s="476">
        <v>42124</v>
      </c>
      <c r="C11" s="477">
        <v>12813604.783561645</v>
      </c>
      <c r="D11" s="479"/>
      <c r="H11" s="479"/>
    </row>
    <row r="12" spans="1:8">
      <c r="A12" s="476">
        <v>42155</v>
      </c>
      <c r="C12" s="477">
        <v>13058593.454794522</v>
      </c>
      <c r="D12" s="479"/>
      <c r="H12" s="479"/>
    </row>
    <row r="13" spans="1:8">
      <c r="A13" s="476">
        <v>42185</v>
      </c>
      <c r="C13" s="477">
        <v>13271659.22191781</v>
      </c>
      <c r="D13" s="479"/>
      <c r="H13" s="479"/>
    </row>
    <row r="14" spans="1:8">
      <c r="A14" s="476">
        <v>42216</v>
      </c>
      <c r="C14" s="477">
        <v>13464011.128767125</v>
      </c>
      <c r="D14" s="479"/>
      <c r="H14" s="479"/>
    </row>
    <row r="15" spans="1:8">
      <c r="A15" s="476">
        <v>42247</v>
      </c>
      <c r="C15" s="477">
        <v>13599002.11232877</v>
      </c>
      <c r="D15" s="479"/>
      <c r="H15" s="479"/>
    </row>
    <row r="16" spans="1:8">
      <c r="A16" s="476">
        <v>42277</v>
      </c>
      <c r="C16" s="477">
        <v>13627116.430136988</v>
      </c>
      <c r="D16" s="479"/>
      <c r="H16" s="479"/>
    </row>
    <row r="17" spans="1:8">
      <c r="A17" s="476">
        <v>42308</v>
      </c>
      <c r="C17" s="477">
        <v>13730209.860273974</v>
      </c>
      <c r="D17" s="479"/>
      <c r="H17" s="479"/>
    </row>
    <row r="18" spans="1:8">
      <c r="A18" s="476">
        <v>42338</v>
      </c>
      <c r="C18" s="477">
        <v>13764472.391780823</v>
      </c>
      <c r="D18" s="479"/>
      <c r="H18" s="479"/>
    </row>
    <row r="19" spans="1:8">
      <c r="A19" s="476">
        <v>42369</v>
      </c>
      <c r="C19" s="477">
        <v>13765096.775342468</v>
      </c>
      <c r="D19" s="479"/>
    </row>
    <row r="20" spans="1:8">
      <c r="C20" s="477"/>
    </row>
    <row r="21" spans="1:8" ht="13.8" thickBot="1">
      <c r="C21" s="480">
        <f>SUM(C7:C19)/13</f>
        <v>13739756.475026343</v>
      </c>
      <c r="D21" s="481"/>
    </row>
    <row r="22" spans="1:8" ht="13.8" thickTop="1">
      <c r="A22" s="471" t="s">
        <v>643</v>
      </c>
      <c r="C22" s="477"/>
    </row>
    <row r="23" spans="1:8">
      <c r="A23" s="476">
        <v>42004</v>
      </c>
      <c r="C23" s="477">
        <v>-614247875</v>
      </c>
    </row>
    <row r="24" spans="1:8">
      <c r="A24" s="476">
        <v>42035</v>
      </c>
      <c r="C24" s="477">
        <v>-615397043.39726031</v>
      </c>
    </row>
    <row r="25" spans="1:8">
      <c r="A25" s="476">
        <v>42063</v>
      </c>
      <c r="C25" s="477">
        <v>-617109909.94520557</v>
      </c>
    </row>
    <row r="26" spans="1:8">
      <c r="A26" s="476">
        <v>42094</v>
      </c>
      <c r="C26" s="477">
        <v>-618744040.15890419</v>
      </c>
    </row>
    <row r="27" spans="1:8">
      <c r="A27" s="476">
        <v>42124</v>
      </c>
      <c r="C27" s="477">
        <v>-621867570.90410972</v>
      </c>
    </row>
    <row r="28" spans="1:8">
      <c r="A28" s="476">
        <v>42155</v>
      </c>
      <c r="C28" s="477">
        <v>-623949930.13698637</v>
      </c>
    </row>
    <row r="29" spans="1:8">
      <c r="A29" s="476">
        <v>42185</v>
      </c>
      <c r="C29" s="477">
        <v>-626011458.63013709</v>
      </c>
    </row>
    <row r="30" spans="1:8">
      <c r="A30" s="476">
        <v>42216</v>
      </c>
      <c r="C30" s="477">
        <v>-627898608.38356173</v>
      </c>
    </row>
    <row r="31" spans="1:8">
      <c r="A31" s="476">
        <v>42247</v>
      </c>
      <c r="C31" s="477">
        <v>-629455944.74520552</v>
      </c>
    </row>
    <row r="32" spans="1:8">
      <c r="A32" s="476">
        <v>42277</v>
      </c>
      <c r="C32" s="477">
        <v>-628617818.74246585</v>
      </c>
    </row>
    <row r="33" spans="1:3">
      <c r="A33" s="476">
        <v>42308</v>
      </c>
      <c r="C33" s="477">
        <v>-629551213.45479465</v>
      </c>
    </row>
    <row r="34" spans="1:3">
      <c r="A34" s="476">
        <v>42338</v>
      </c>
      <c r="C34" s="477">
        <v>-630047826.89041114</v>
      </c>
    </row>
    <row r="35" spans="1:3">
      <c r="A35" s="476">
        <v>42369</v>
      </c>
      <c r="C35" s="477">
        <v>-630121422.47945225</v>
      </c>
    </row>
    <row r="36" spans="1:3">
      <c r="C36" s="477"/>
    </row>
    <row r="37" spans="1:3" ht="13.8" thickBot="1">
      <c r="C37" s="480">
        <f>SUM(C23:C35)/13</f>
        <v>-624078512.52834582</v>
      </c>
    </row>
    <row r="38" spans="1:3" ht="13.8" thickTop="1">
      <c r="A38" s="471" t="s">
        <v>644</v>
      </c>
      <c r="C38" s="477"/>
    </row>
    <row r="39" spans="1:3">
      <c r="A39" s="476">
        <v>42004</v>
      </c>
      <c r="C39" s="477">
        <v>-3994307</v>
      </c>
    </row>
    <row r="40" spans="1:3">
      <c r="A40" s="476">
        <v>42035</v>
      </c>
      <c r="C40" s="477">
        <v>-3725021.1506849313</v>
      </c>
    </row>
    <row r="41" spans="1:3">
      <c r="A41" s="476">
        <v>42063</v>
      </c>
      <c r="C41" s="477">
        <v>-3674246.715068493</v>
      </c>
    </row>
    <row r="42" spans="1:3">
      <c r="A42" s="476">
        <v>42094</v>
      </c>
      <c r="C42" s="477">
        <v>-3651966.3315068493</v>
      </c>
    </row>
    <row r="43" spans="1:3">
      <c r="A43" s="476">
        <v>42124</v>
      </c>
      <c r="C43" s="477">
        <v>-3612513.323287671</v>
      </c>
    </row>
    <row r="44" spans="1:3">
      <c r="A44" s="476">
        <v>42155</v>
      </c>
      <c r="C44" s="477">
        <v>-3577028.8986301366</v>
      </c>
    </row>
    <row r="45" spans="1:3">
      <c r="A45" s="476">
        <v>42185</v>
      </c>
      <c r="C45" s="477">
        <v>-3811119.7890410954</v>
      </c>
    </row>
    <row r="46" spans="1:3">
      <c r="A46" s="476">
        <v>42216</v>
      </c>
      <c r="C46" s="477">
        <v>-3798495.5863013696</v>
      </c>
    </row>
    <row r="47" spans="1:3">
      <c r="A47" s="476">
        <v>42247</v>
      </c>
      <c r="C47" s="477">
        <v>-3786987.8410958899</v>
      </c>
    </row>
    <row r="48" spans="1:3">
      <c r="A48" s="476">
        <v>42277</v>
      </c>
      <c r="C48" s="477">
        <v>-4361133.117808219</v>
      </c>
    </row>
    <row r="49" spans="1:3">
      <c r="A49" s="476">
        <v>42308</v>
      </c>
      <c r="C49" s="477">
        <v>-4355332.1260273969</v>
      </c>
    </row>
    <row r="50" spans="1:3">
      <c r="A50" s="476">
        <v>42338</v>
      </c>
      <c r="C50" s="477">
        <v>-4352338.2410958903</v>
      </c>
    </row>
    <row r="51" spans="1:3">
      <c r="A51" s="476">
        <v>42369</v>
      </c>
      <c r="C51" s="477">
        <v>-4352244.6904109586</v>
      </c>
    </row>
    <row r="53" spans="1:3" ht="13.8" thickBot="1">
      <c r="C53" s="482">
        <f>SUM(C39:C51)/13</f>
        <v>-3927133.4469968379</v>
      </c>
    </row>
    <row r="54" spans="1:3" ht="13.8" thickTop="1"/>
    <row r="56" spans="1:3" s="470" customFormat="1" ht="13.8" thickBot="1">
      <c r="A56" s="470" t="s">
        <v>645</v>
      </c>
      <c r="C56" s="930">
        <f>C53+C37+C21</f>
        <v>-614265889.50031626</v>
      </c>
    </row>
    <row r="57" spans="1:3" ht="13.8" thickTop="1"/>
    <row r="58" spans="1:3">
      <c r="C58" s="524"/>
    </row>
    <row r="59" spans="1:3">
      <c r="C59" s="479"/>
    </row>
    <row r="61" spans="1:3">
      <c r="C61" s="477"/>
    </row>
    <row r="62" spans="1:3">
      <c r="C62" s="477"/>
    </row>
    <row r="63" spans="1:3">
      <c r="C63" s="477"/>
    </row>
    <row r="64" spans="1:3">
      <c r="C64" s="477"/>
    </row>
    <row r="65" spans="3:3">
      <c r="C65" s="477"/>
    </row>
    <row r="66" spans="3:3">
      <c r="C66" s="477"/>
    </row>
    <row r="67" spans="3:3">
      <c r="C67" s="477"/>
    </row>
    <row r="68" spans="3:3">
      <c r="C68" s="477"/>
    </row>
    <row r="69" spans="3:3">
      <c r="C69" s="477"/>
    </row>
    <row r="70" spans="3:3">
      <c r="C70" s="477"/>
    </row>
    <row r="71" spans="3:3">
      <c r="C71" s="477"/>
    </row>
    <row r="72" spans="3:3">
      <c r="C72" s="477"/>
    </row>
    <row r="73" spans="3:3">
      <c r="C73" s="477"/>
    </row>
  </sheetData>
  <pageMargins left="0.75" right="0.75" top="1" bottom="1" header="0.5" footer="0.5"/>
  <pageSetup scale="91" orientation="portrait"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
  <sheetViews>
    <sheetView zoomScale="90" zoomScaleNormal="90" workbookViewId="0">
      <selection activeCell="K18" sqref="K18"/>
    </sheetView>
  </sheetViews>
  <sheetFormatPr defaultRowHeight="13.2"/>
  <cols>
    <col min="1" max="1" width="40.6640625" style="427" customWidth="1"/>
    <col min="2" max="2" width="15.6640625" style="427" bestFit="1" customWidth="1"/>
    <col min="3" max="3" width="9.6640625" style="427" customWidth="1"/>
    <col min="4" max="4" width="17.33203125" style="427" bestFit="1" customWidth="1"/>
    <col min="5" max="5" width="14" style="427" customWidth="1"/>
    <col min="6" max="6" width="3.33203125" style="427" customWidth="1"/>
    <col min="7" max="7" width="11.109375" style="446" bestFit="1" customWidth="1"/>
    <col min="8" max="8" width="16.33203125" style="427" customWidth="1"/>
    <col min="9" max="256" width="9.109375" style="427"/>
    <col min="257" max="257" width="40.6640625" style="427" customWidth="1"/>
    <col min="258" max="258" width="15.6640625" style="427" bestFit="1" customWidth="1"/>
    <col min="259" max="259" width="9.6640625" style="427" customWidth="1"/>
    <col min="260" max="260" width="17.33203125" style="427" bestFit="1" customWidth="1"/>
    <col min="261" max="261" width="14" style="427" customWidth="1"/>
    <col min="262" max="262" width="3.33203125" style="427" customWidth="1"/>
    <col min="263" max="263" width="11.109375" style="427" bestFit="1" customWidth="1"/>
    <col min="264" max="264" width="16.33203125" style="427" customWidth="1"/>
    <col min="265" max="512" width="9.109375" style="427"/>
    <col min="513" max="513" width="40.6640625" style="427" customWidth="1"/>
    <col min="514" max="514" width="15.6640625" style="427" bestFit="1" customWidth="1"/>
    <col min="515" max="515" width="9.6640625" style="427" customWidth="1"/>
    <col min="516" max="516" width="17.33203125" style="427" bestFit="1" customWidth="1"/>
    <col min="517" max="517" width="14" style="427" customWidth="1"/>
    <col min="518" max="518" width="3.33203125" style="427" customWidth="1"/>
    <col min="519" max="519" width="11.109375" style="427" bestFit="1" customWidth="1"/>
    <col min="520" max="520" width="16.33203125" style="427" customWidth="1"/>
    <col min="521" max="768" width="9.109375" style="427"/>
    <col min="769" max="769" width="40.6640625" style="427" customWidth="1"/>
    <col min="770" max="770" width="15.6640625" style="427" bestFit="1" customWidth="1"/>
    <col min="771" max="771" width="9.6640625" style="427" customWidth="1"/>
    <col min="772" max="772" width="17.33203125" style="427" bestFit="1" customWidth="1"/>
    <col min="773" max="773" width="14" style="427" customWidth="1"/>
    <col min="774" max="774" width="3.33203125" style="427" customWidth="1"/>
    <col min="775" max="775" width="11.109375" style="427" bestFit="1" customWidth="1"/>
    <col min="776" max="776" width="16.33203125" style="427" customWidth="1"/>
    <col min="777" max="1024" width="9.109375" style="427"/>
    <col min="1025" max="1025" width="40.6640625" style="427" customWidth="1"/>
    <col min="1026" max="1026" width="15.6640625" style="427" bestFit="1" customWidth="1"/>
    <col min="1027" max="1027" width="9.6640625" style="427" customWidth="1"/>
    <col min="1028" max="1028" width="17.33203125" style="427" bestFit="1" customWidth="1"/>
    <col min="1029" max="1029" width="14" style="427" customWidth="1"/>
    <col min="1030" max="1030" width="3.33203125" style="427" customWidth="1"/>
    <col min="1031" max="1031" width="11.109375" style="427" bestFit="1" customWidth="1"/>
    <col min="1032" max="1032" width="16.33203125" style="427" customWidth="1"/>
    <col min="1033" max="1280" width="9.109375" style="427"/>
    <col min="1281" max="1281" width="40.6640625" style="427" customWidth="1"/>
    <col min="1282" max="1282" width="15.6640625" style="427" bestFit="1" customWidth="1"/>
    <col min="1283" max="1283" width="9.6640625" style="427" customWidth="1"/>
    <col min="1284" max="1284" width="17.33203125" style="427" bestFit="1" customWidth="1"/>
    <col min="1285" max="1285" width="14" style="427" customWidth="1"/>
    <col min="1286" max="1286" width="3.33203125" style="427" customWidth="1"/>
    <col min="1287" max="1287" width="11.109375" style="427" bestFit="1" customWidth="1"/>
    <col min="1288" max="1288" width="16.33203125" style="427" customWidth="1"/>
    <col min="1289" max="1536" width="9.109375" style="427"/>
    <col min="1537" max="1537" width="40.6640625" style="427" customWidth="1"/>
    <col min="1538" max="1538" width="15.6640625" style="427" bestFit="1" customWidth="1"/>
    <col min="1539" max="1539" width="9.6640625" style="427" customWidth="1"/>
    <col min="1540" max="1540" width="17.33203125" style="427" bestFit="1" customWidth="1"/>
    <col min="1541" max="1541" width="14" style="427" customWidth="1"/>
    <col min="1542" max="1542" width="3.33203125" style="427" customWidth="1"/>
    <col min="1543" max="1543" width="11.109375" style="427" bestFit="1" customWidth="1"/>
    <col min="1544" max="1544" width="16.33203125" style="427" customWidth="1"/>
    <col min="1545" max="1792" width="9.109375" style="427"/>
    <col min="1793" max="1793" width="40.6640625" style="427" customWidth="1"/>
    <col min="1794" max="1794" width="15.6640625" style="427" bestFit="1" customWidth="1"/>
    <col min="1795" max="1795" width="9.6640625" style="427" customWidth="1"/>
    <col min="1796" max="1796" width="17.33203125" style="427" bestFit="1" customWidth="1"/>
    <col min="1797" max="1797" width="14" style="427" customWidth="1"/>
    <col min="1798" max="1798" width="3.33203125" style="427" customWidth="1"/>
    <col min="1799" max="1799" width="11.109375" style="427" bestFit="1" customWidth="1"/>
    <col min="1800" max="1800" width="16.33203125" style="427" customWidth="1"/>
    <col min="1801" max="2048" width="9.109375" style="427"/>
    <col min="2049" max="2049" width="40.6640625" style="427" customWidth="1"/>
    <col min="2050" max="2050" width="15.6640625" style="427" bestFit="1" customWidth="1"/>
    <col min="2051" max="2051" width="9.6640625" style="427" customWidth="1"/>
    <col min="2052" max="2052" width="17.33203125" style="427" bestFit="1" customWidth="1"/>
    <col min="2053" max="2053" width="14" style="427" customWidth="1"/>
    <col min="2054" max="2054" width="3.33203125" style="427" customWidth="1"/>
    <col min="2055" max="2055" width="11.109375" style="427" bestFit="1" customWidth="1"/>
    <col min="2056" max="2056" width="16.33203125" style="427" customWidth="1"/>
    <col min="2057" max="2304" width="9.109375" style="427"/>
    <col min="2305" max="2305" width="40.6640625" style="427" customWidth="1"/>
    <col min="2306" max="2306" width="15.6640625" style="427" bestFit="1" customWidth="1"/>
    <col min="2307" max="2307" width="9.6640625" style="427" customWidth="1"/>
    <col min="2308" max="2308" width="17.33203125" style="427" bestFit="1" customWidth="1"/>
    <col min="2309" max="2309" width="14" style="427" customWidth="1"/>
    <col min="2310" max="2310" width="3.33203125" style="427" customWidth="1"/>
    <col min="2311" max="2311" width="11.109375" style="427" bestFit="1" customWidth="1"/>
    <col min="2312" max="2312" width="16.33203125" style="427" customWidth="1"/>
    <col min="2313" max="2560" width="9.109375" style="427"/>
    <col min="2561" max="2561" width="40.6640625" style="427" customWidth="1"/>
    <col min="2562" max="2562" width="15.6640625" style="427" bestFit="1" customWidth="1"/>
    <col min="2563" max="2563" width="9.6640625" style="427" customWidth="1"/>
    <col min="2564" max="2564" width="17.33203125" style="427" bestFit="1" customWidth="1"/>
    <col min="2565" max="2565" width="14" style="427" customWidth="1"/>
    <col min="2566" max="2566" width="3.33203125" style="427" customWidth="1"/>
    <col min="2567" max="2567" width="11.109375" style="427" bestFit="1" customWidth="1"/>
    <col min="2568" max="2568" width="16.33203125" style="427" customWidth="1"/>
    <col min="2569" max="2816" width="9.109375" style="427"/>
    <col min="2817" max="2817" width="40.6640625" style="427" customWidth="1"/>
    <col min="2818" max="2818" width="15.6640625" style="427" bestFit="1" customWidth="1"/>
    <col min="2819" max="2819" width="9.6640625" style="427" customWidth="1"/>
    <col min="2820" max="2820" width="17.33203125" style="427" bestFit="1" customWidth="1"/>
    <col min="2821" max="2821" width="14" style="427" customWidth="1"/>
    <col min="2822" max="2822" width="3.33203125" style="427" customWidth="1"/>
    <col min="2823" max="2823" width="11.109375" style="427" bestFit="1" customWidth="1"/>
    <col min="2824" max="2824" width="16.33203125" style="427" customWidth="1"/>
    <col min="2825" max="3072" width="9.109375" style="427"/>
    <col min="3073" max="3073" width="40.6640625" style="427" customWidth="1"/>
    <col min="3074" max="3074" width="15.6640625" style="427" bestFit="1" customWidth="1"/>
    <col min="3075" max="3075" width="9.6640625" style="427" customWidth="1"/>
    <col min="3076" max="3076" width="17.33203125" style="427" bestFit="1" customWidth="1"/>
    <col min="3077" max="3077" width="14" style="427" customWidth="1"/>
    <col min="3078" max="3078" width="3.33203125" style="427" customWidth="1"/>
    <col min="3079" max="3079" width="11.109375" style="427" bestFit="1" customWidth="1"/>
    <col min="3080" max="3080" width="16.33203125" style="427" customWidth="1"/>
    <col min="3081" max="3328" width="9.109375" style="427"/>
    <col min="3329" max="3329" width="40.6640625" style="427" customWidth="1"/>
    <col min="3330" max="3330" width="15.6640625" style="427" bestFit="1" customWidth="1"/>
    <col min="3331" max="3331" width="9.6640625" style="427" customWidth="1"/>
    <col min="3332" max="3332" width="17.33203125" style="427" bestFit="1" customWidth="1"/>
    <col min="3333" max="3333" width="14" style="427" customWidth="1"/>
    <col min="3334" max="3334" width="3.33203125" style="427" customWidth="1"/>
    <col min="3335" max="3335" width="11.109375" style="427" bestFit="1" customWidth="1"/>
    <col min="3336" max="3336" width="16.33203125" style="427" customWidth="1"/>
    <col min="3337" max="3584" width="9.109375" style="427"/>
    <col min="3585" max="3585" width="40.6640625" style="427" customWidth="1"/>
    <col min="3586" max="3586" width="15.6640625" style="427" bestFit="1" customWidth="1"/>
    <col min="3587" max="3587" width="9.6640625" style="427" customWidth="1"/>
    <col min="3588" max="3588" width="17.33203125" style="427" bestFit="1" customWidth="1"/>
    <col min="3589" max="3589" width="14" style="427" customWidth="1"/>
    <col min="3590" max="3590" width="3.33203125" style="427" customWidth="1"/>
    <col min="3591" max="3591" width="11.109375" style="427" bestFit="1" customWidth="1"/>
    <col min="3592" max="3592" width="16.33203125" style="427" customWidth="1"/>
    <col min="3593" max="3840" width="9.109375" style="427"/>
    <col min="3841" max="3841" width="40.6640625" style="427" customWidth="1"/>
    <col min="3842" max="3842" width="15.6640625" style="427" bestFit="1" customWidth="1"/>
    <col min="3843" max="3843" width="9.6640625" style="427" customWidth="1"/>
    <col min="3844" max="3844" width="17.33203125" style="427" bestFit="1" customWidth="1"/>
    <col min="3845" max="3845" width="14" style="427" customWidth="1"/>
    <col min="3846" max="3846" width="3.33203125" style="427" customWidth="1"/>
    <col min="3847" max="3847" width="11.109375" style="427" bestFit="1" customWidth="1"/>
    <col min="3848" max="3848" width="16.33203125" style="427" customWidth="1"/>
    <col min="3849" max="4096" width="9.109375" style="427"/>
    <col min="4097" max="4097" width="40.6640625" style="427" customWidth="1"/>
    <col min="4098" max="4098" width="15.6640625" style="427" bestFit="1" customWidth="1"/>
    <col min="4099" max="4099" width="9.6640625" style="427" customWidth="1"/>
    <col min="4100" max="4100" width="17.33203125" style="427" bestFit="1" customWidth="1"/>
    <col min="4101" max="4101" width="14" style="427" customWidth="1"/>
    <col min="4102" max="4102" width="3.33203125" style="427" customWidth="1"/>
    <col min="4103" max="4103" width="11.109375" style="427" bestFit="1" customWidth="1"/>
    <col min="4104" max="4104" width="16.33203125" style="427" customWidth="1"/>
    <col min="4105" max="4352" width="9.109375" style="427"/>
    <col min="4353" max="4353" width="40.6640625" style="427" customWidth="1"/>
    <col min="4354" max="4354" width="15.6640625" style="427" bestFit="1" customWidth="1"/>
    <col min="4355" max="4355" width="9.6640625" style="427" customWidth="1"/>
    <col min="4356" max="4356" width="17.33203125" style="427" bestFit="1" customWidth="1"/>
    <col min="4357" max="4357" width="14" style="427" customWidth="1"/>
    <col min="4358" max="4358" width="3.33203125" style="427" customWidth="1"/>
    <col min="4359" max="4359" width="11.109375" style="427" bestFit="1" customWidth="1"/>
    <col min="4360" max="4360" width="16.33203125" style="427" customWidth="1"/>
    <col min="4361" max="4608" width="9.109375" style="427"/>
    <col min="4609" max="4609" width="40.6640625" style="427" customWidth="1"/>
    <col min="4610" max="4610" width="15.6640625" style="427" bestFit="1" customWidth="1"/>
    <col min="4611" max="4611" width="9.6640625" style="427" customWidth="1"/>
    <col min="4612" max="4612" width="17.33203125" style="427" bestFit="1" customWidth="1"/>
    <col min="4613" max="4613" width="14" style="427" customWidth="1"/>
    <col min="4614" max="4614" width="3.33203125" style="427" customWidth="1"/>
    <col min="4615" max="4615" width="11.109375" style="427" bestFit="1" customWidth="1"/>
    <col min="4616" max="4616" width="16.33203125" style="427" customWidth="1"/>
    <col min="4617" max="4864" width="9.109375" style="427"/>
    <col min="4865" max="4865" width="40.6640625" style="427" customWidth="1"/>
    <col min="4866" max="4866" width="15.6640625" style="427" bestFit="1" customWidth="1"/>
    <col min="4867" max="4867" width="9.6640625" style="427" customWidth="1"/>
    <col min="4868" max="4868" width="17.33203125" style="427" bestFit="1" customWidth="1"/>
    <col min="4869" max="4869" width="14" style="427" customWidth="1"/>
    <col min="4870" max="4870" width="3.33203125" style="427" customWidth="1"/>
    <col min="4871" max="4871" width="11.109375" style="427" bestFit="1" customWidth="1"/>
    <col min="4872" max="4872" width="16.33203125" style="427" customWidth="1"/>
    <col min="4873" max="5120" width="9.109375" style="427"/>
    <col min="5121" max="5121" width="40.6640625" style="427" customWidth="1"/>
    <col min="5122" max="5122" width="15.6640625" style="427" bestFit="1" customWidth="1"/>
    <col min="5123" max="5123" width="9.6640625" style="427" customWidth="1"/>
    <col min="5124" max="5124" width="17.33203125" style="427" bestFit="1" customWidth="1"/>
    <col min="5125" max="5125" width="14" style="427" customWidth="1"/>
    <col min="5126" max="5126" width="3.33203125" style="427" customWidth="1"/>
    <col min="5127" max="5127" width="11.109375" style="427" bestFit="1" customWidth="1"/>
    <col min="5128" max="5128" width="16.33203125" style="427" customWidth="1"/>
    <col min="5129" max="5376" width="9.109375" style="427"/>
    <col min="5377" max="5377" width="40.6640625" style="427" customWidth="1"/>
    <col min="5378" max="5378" width="15.6640625" style="427" bestFit="1" customWidth="1"/>
    <col min="5379" max="5379" width="9.6640625" style="427" customWidth="1"/>
    <col min="5380" max="5380" width="17.33203125" style="427" bestFit="1" customWidth="1"/>
    <col min="5381" max="5381" width="14" style="427" customWidth="1"/>
    <col min="5382" max="5382" width="3.33203125" style="427" customWidth="1"/>
    <col min="5383" max="5383" width="11.109375" style="427" bestFit="1" customWidth="1"/>
    <col min="5384" max="5384" width="16.33203125" style="427" customWidth="1"/>
    <col min="5385" max="5632" width="9.109375" style="427"/>
    <col min="5633" max="5633" width="40.6640625" style="427" customWidth="1"/>
    <col min="5634" max="5634" width="15.6640625" style="427" bestFit="1" customWidth="1"/>
    <col min="5635" max="5635" width="9.6640625" style="427" customWidth="1"/>
    <col min="5636" max="5636" width="17.33203125" style="427" bestFit="1" customWidth="1"/>
    <col min="5637" max="5637" width="14" style="427" customWidth="1"/>
    <col min="5638" max="5638" width="3.33203125" style="427" customWidth="1"/>
    <col min="5639" max="5639" width="11.109375" style="427" bestFit="1" customWidth="1"/>
    <col min="5640" max="5640" width="16.33203125" style="427" customWidth="1"/>
    <col min="5641" max="5888" width="9.109375" style="427"/>
    <col min="5889" max="5889" width="40.6640625" style="427" customWidth="1"/>
    <col min="5890" max="5890" width="15.6640625" style="427" bestFit="1" customWidth="1"/>
    <col min="5891" max="5891" width="9.6640625" style="427" customWidth="1"/>
    <col min="5892" max="5892" width="17.33203125" style="427" bestFit="1" customWidth="1"/>
    <col min="5893" max="5893" width="14" style="427" customWidth="1"/>
    <col min="5894" max="5894" width="3.33203125" style="427" customWidth="1"/>
    <col min="5895" max="5895" width="11.109375" style="427" bestFit="1" customWidth="1"/>
    <col min="5896" max="5896" width="16.33203125" style="427" customWidth="1"/>
    <col min="5897" max="6144" width="9.109375" style="427"/>
    <col min="6145" max="6145" width="40.6640625" style="427" customWidth="1"/>
    <col min="6146" max="6146" width="15.6640625" style="427" bestFit="1" customWidth="1"/>
    <col min="6147" max="6147" width="9.6640625" style="427" customWidth="1"/>
    <col min="6148" max="6148" width="17.33203125" style="427" bestFit="1" customWidth="1"/>
    <col min="6149" max="6149" width="14" style="427" customWidth="1"/>
    <col min="6150" max="6150" width="3.33203125" style="427" customWidth="1"/>
    <col min="6151" max="6151" width="11.109375" style="427" bestFit="1" customWidth="1"/>
    <col min="6152" max="6152" width="16.33203125" style="427" customWidth="1"/>
    <col min="6153" max="6400" width="9.109375" style="427"/>
    <col min="6401" max="6401" width="40.6640625" style="427" customWidth="1"/>
    <col min="6402" max="6402" width="15.6640625" style="427" bestFit="1" customWidth="1"/>
    <col min="6403" max="6403" width="9.6640625" style="427" customWidth="1"/>
    <col min="6404" max="6404" width="17.33203125" style="427" bestFit="1" customWidth="1"/>
    <col min="6405" max="6405" width="14" style="427" customWidth="1"/>
    <col min="6406" max="6406" width="3.33203125" style="427" customWidth="1"/>
    <col min="6407" max="6407" width="11.109375" style="427" bestFit="1" customWidth="1"/>
    <col min="6408" max="6408" width="16.33203125" style="427" customWidth="1"/>
    <col min="6409" max="6656" width="9.109375" style="427"/>
    <col min="6657" max="6657" width="40.6640625" style="427" customWidth="1"/>
    <col min="6658" max="6658" width="15.6640625" style="427" bestFit="1" customWidth="1"/>
    <col min="6659" max="6659" width="9.6640625" style="427" customWidth="1"/>
    <col min="6660" max="6660" width="17.33203125" style="427" bestFit="1" customWidth="1"/>
    <col min="6661" max="6661" width="14" style="427" customWidth="1"/>
    <col min="6662" max="6662" width="3.33203125" style="427" customWidth="1"/>
    <col min="6663" max="6663" width="11.109375" style="427" bestFit="1" customWidth="1"/>
    <col min="6664" max="6664" width="16.33203125" style="427" customWidth="1"/>
    <col min="6665" max="6912" width="9.109375" style="427"/>
    <col min="6913" max="6913" width="40.6640625" style="427" customWidth="1"/>
    <col min="6914" max="6914" width="15.6640625" style="427" bestFit="1" customWidth="1"/>
    <col min="6915" max="6915" width="9.6640625" style="427" customWidth="1"/>
    <col min="6916" max="6916" width="17.33203125" style="427" bestFit="1" customWidth="1"/>
    <col min="6917" max="6917" width="14" style="427" customWidth="1"/>
    <col min="6918" max="6918" width="3.33203125" style="427" customWidth="1"/>
    <col min="6919" max="6919" width="11.109375" style="427" bestFit="1" customWidth="1"/>
    <col min="6920" max="6920" width="16.33203125" style="427" customWidth="1"/>
    <col min="6921" max="7168" width="9.109375" style="427"/>
    <col min="7169" max="7169" width="40.6640625" style="427" customWidth="1"/>
    <col min="7170" max="7170" width="15.6640625" style="427" bestFit="1" customWidth="1"/>
    <col min="7171" max="7171" width="9.6640625" style="427" customWidth="1"/>
    <col min="7172" max="7172" width="17.33203125" style="427" bestFit="1" customWidth="1"/>
    <col min="7173" max="7173" width="14" style="427" customWidth="1"/>
    <col min="7174" max="7174" width="3.33203125" style="427" customWidth="1"/>
    <col min="7175" max="7175" width="11.109375" style="427" bestFit="1" customWidth="1"/>
    <col min="7176" max="7176" width="16.33203125" style="427" customWidth="1"/>
    <col min="7177" max="7424" width="9.109375" style="427"/>
    <col min="7425" max="7425" width="40.6640625" style="427" customWidth="1"/>
    <col min="7426" max="7426" width="15.6640625" style="427" bestFit="1" customWidth="1"/>
    <col min="7427" max="7427" width="9.6640625" style="427" customWidth="1"/>
    <col min="7428" max="7428" width="17.33203125" style="427" bestFit="1" customWidth="1"/>
    <col min="7429" max="7429" width="14" style="427" customWidth="1"/>
    <col min="7430" max="7430" width="3.33203125" style="427" customWidth="1"/>
    <col min="7431" max="7431" width="11.109375" style="427" bestFit="1" customWidth="1"/>
    <col min="7432" max="7432" width="16.33203125" style="427" customWidth="1"/>
    <col min="7433" max="7680" width="9.109375" style="427"/>
    <col min="7681" max="7681" width="40.6640625" style="427" customWidth="1"/>
    <col min="7682" max="7682" width="15.6640625" style="427" bestFit="1" customWidth="1"/>
    <col min="7683" max="7683" width="9.6640625" style="427" customWidth="1"/>
    <col min="7684" max="7684" width="17.33203125" style="427" bestFit="1" customWidth="1"/>
    <col min="7685" max="7685" width="14" style="427" customWidth="1"/>
    <col min="7686" max="7686" width="3.33203125" style="427" customWidth="1"/>
    <col min="7687" max="7687" width="11.109375" style="427" bestFit="1" customWidth="1"/>
    <col min="7688" max="7688" width="16.33203125" style="427" customWidth="1"/>
    <col min="7689" max="7936" width="9.109375" style="427"/>
    <col min="7937" max="7937" width="40.6640625" style="427" customWidth="1"/>
    <col min="7938" max="7938" width="15.6640625" style="427" bestFit="1" customWidth="1"/>
    <col min="7939" max="7939" width="9.6640625" style="427" customWidth="1"/>
    <col min="7940" max="7940" width="17.33203125" style="427" bestFit="1" customWidth="1"/>
    <col min="7941" max="7941" width="14" style="427" customWidth="1"/>
    <col min="7942" max="7942" width="3.33203125" style="427" customWidth="1"/>
    <col min="7943" max="7943" width="11.109375" style="427" bestFit="1" customWidth="1"/>
    <col min="7944" max="7944" width="16.33203125" style="427" customWidth="1"/>
    <col min="7945" max="8192" width="9.109375" style="427"/>
    <col min="8193" max="8193" width="40.6640625" style="427" customWidth="1"/>
    <col min="8194" max="8194" width="15.6640625" style="427" bestFit="1" customWidth="1"/>
    <col min="8195" max="8195" width="9.6640625" style="427" customWidth="1"/>
    <col min="8196" max="8196" width="17.33203125" style="427" bestFit="1" customWidth="1"/>
    <col min="8197" max="8197" width="14" style="427" customWidth="1"/>
    <col min="8198" max="8198" width="3.33203125" style="427" customWidth="1"/>
    <col min="8199" max="8199" width="11.109375" style="427" bestFit="1" customWidth="1"/>
    <col min="8200" max="8200" width="16.33203125" style="427" customWidth="1"/>
    <col min="8201" max="8448" width="9.109375" style="427"/>
    <col min="8449" max="8449" width="40.6640625" style="427" customWidth="1"/>
    <col min="8450" max="8450" width="15.6640625" style="427" bestFit="1" customWidth="1"/>
    <col min="8451" max="8451" width="9.6640625" style="427" customWidth="1"/>
    <col min="8452" max="8452" width="17.33203125" style="427" bestFit="1" customWidth="1"/>
    <col min="8453" max="8453" width="14" style="427" customWidth="1"/>
    <col min="8454" max="8454" width="3.33203125" style="427" customWidth="1"/>
    <col min="8455" max="8455" width="11.109375" style="427" bestFit="1" customWidth="1"/>
    <col min="8456" max="8456" width="16.33203125" style="427" customWidth="1"/>
    <col min="8457" max="8704" width="9.109375" style="427"/>
    <col min="8705" max="8705" width="40.6640625" style="427" customWidth="1"/>
    <col min="8706" max="8706" width="15.6640625" style="427" bestFit="1" customWidth="1"/>
    <col min="8707" max="8707" width="9.6640625" style="427" customWidth="1"/>
    <col min="8708" max="8708" width="17.33203125" style="427" bestFit="1" customWidth="1"/>
    <col min="8709" max="8709" width="14" style="427" customWidth="1"/>
    <col min="8710" max="8710" width="3.33203125" style="427" customWidth="1"/>
    <col min="8711" max="8711" width="11.109375" style="427" bestFit="1" customWidth="1"/>
    <col min="8712" max="8712" width="16.33203125" style="427" customWidth="1"/>
    <col min="8713" max="8960" width="9.109375" style="427"/>
    <col min="8961" max="8961" width="40.6640625" style="427" customWidth="1"/>
    <col min="8962" max="8962" width="15.6640625" style="427" bestFit="1" customWidth="1"/>
    <col min="8963" max="8963" width="9.6640625" style="427" customWidth="1"/>
    <col min="8964" max="8964" width="17.33203125" style="427" bestFit="1" customWidth="1"/>
    <col min="8965" max="8965" width="14" style="427" customWidth="1"/>
    <col min="8966" max="8966" width="3.33203125" style="427" customWidth="1"/>
    <col min="8967" max="8967" width="11.109375" style="427" bestFit="1" customWidth="1"/>
    <col min="8968" max="8968" width="16.33203125" style="427" customWidth="1"/>
    <col min="8969" max="9216" width="9.109375" style="427"/>
    <col min="9217" max="9217" width="40.6640625" style="427" customWidth="1"/>
    <col min="9218" max="9218" width="15.6640625" style="427" bestFit="1" customWidth="1"/>
    <col min="9219" max="9219" width="9.6640625" style="427" customWidth="1"/>
    <col min="9220" max="9220" width="17.33203125" style="427" bestFit="1" customWidth="1"/>
    <col min="9221" max="9221" width="14" style="427" customWidth="1"/>
    <col min="9222" max="9222" width="3.33203125" style="427" customWidth="1"/>
    <col min="9223" max="9223" width="11.109375" style="427" bestFit="1" customWidth="1"/>
    <col min="9224" max="9224" width="16.33203125" style="427" customWidth="1"/>
    <col min="9225" max="9472" width="9.109375" style="427"/>
    <col min="9473" max="9473" width="40.6640625" style="427" customWidth="1"/>
    <col min="9474" max="9474" width="15.6640625" style="427" bestFit="1" customWidth="1"/>
    <col min="9475" max="9475" width="9.6640625" style="427" customWidth="1"/>
    <col min="9476" max="9476" width="17.33203125" style="427" bestFit="1" customWidth="1"/>
    <col min="9477" max="9477" width="14" style="427" customWidth="1"/>
    <col min="9478" max="9478" width="3.33203125" style="427" customWidth="1"/>
    <col min="9479" max="9479" width="11.109375" style="427" bestFit="1" customWidth="1"/>
    <col min="9480" max="9480" width="16.33203125" style="427" customWidth="1"/>
    <col min="9481" max="9728" width="9.109375" style="427"/>
    <col min="9729" max="9729" width="40.6640625" style="427" customWidth="1"/>
    <col min="9730" max="9730" width="15.6640625" style="427" bestFit="1" customWidth="1"/>
    <col min="9731" max="9731" width="9.6640625" style="427" customWidth="1"/>
    <col min="9732" max="9732" width="17.33203125" style="427" bestFit="1" customWidth="1"/>
    <col min="9733" max="9733" width="14" style="427" customWidth="1"/>
    <col min="9734" max="9734" width="3.33203125" style="427" customWidth="1"/>
    <col min="9735" max="9735" width="11.109375" style="427" bestFit="1" customWidth="1"/>
    <col min="9736" max="9736" width="16.33203125" style="427" customWidth="1"/>
    <col min="9737" max="9984" width="9.109375" style="427"/>
    <col min="9985" max="9985" width="40.6640625" style="427" customWidth="1"/>
    <col min="9986" max="9986" width="15.6640625" style="427" bestFit="1" customWidth="1"/>
    <col min="9987" max="9987" width="9.6640625" style="427" customWidth="1"/>
    <col min="9988" max="9988" width="17.33203125" style="427" bestFit="1" customWidth="1"/>
    <col min="9989" max="9989" width="14" style="427" customWidth="1"/>
    <col min="9990" max="9990" width="3.33203125" style="427" customWidth="1"/>
    <col min="9991" max="9991" width="11.109375" style="427" bestFit="1" customWidth="1"/>
    <col min="9992" max="9992" width="16.33203125" style="427" customWidth="1"/>
    <col min="9993" max="10240" width="9.109375" style="427"/>
    <col min="10241" max="10241" width="40.6640625" style="427" customWidth="1"/>
    <col min="10242" max="10242" width="15.6640625" style="427" bestFit="1" customWidth="1"/>
    <col min="10243" max="10243" width="9.6640625" style="427" customWidth="1"/>
    <col min="10244" max="10244" width="17.33203125" style="427" bestFit="1" customWidth="1"/>
    <col min="10245" max="10245" width="14" style="427" customWidth="1"/>
    <col min="10246" max="10246" width="3.33203125" style="427" customWidth="1"/>
    <col min="10247" max="10247" width="11.109375" style="427" bestFit="1" customWidth="1"/>
    <col min="10248" max="10248" width="16.33203125" style="427" customWidth="1"/>
    <col min="10249" max="10496" width="9.109375" style="427"/>
    <col min="10497" max="10497" width="40.6640625" style="427" customWidth="1"/>
    <col min="10498" max="10498" width="15.6640625" style="427" bestFit="1" customWidth="1"/>
    <col min="10499" max="10499" width="9.6640625" style="427" customWidth="1"/>
    <col min="10500" max="10500" width="17.33203125" style="427" bestFit="1" customWidth="1"/>
    <col min="10501" max="10501" width="14" style="427" customWidth="1"/>
    <col min="10502" max="10502" width="3.33203125" style="427" customWidth="1"/>
    <col min="10503" max="10503" width="11.109375" style="427" bestFit="1" customWidth="1"/>
    <col min="10504" max="10504" width="16.33203125" style="427" customWidth="1"/>
    <col min="10505" max="10752" width="9.109375" style="427"/>
    <col min="10753" max="10753" width="40.6640625" style="427" customWidth="1"/>
    <col min="10754" max="10754" width="15.6640625" style="427" bestFit="1" customWidth="1"/>
    <col min="10755" max="10755" width="9.6640625" style="427" customWidth="1"/>
    <col min="10756" max="10756" width="17.33203125" style="427" bestFit="1" customWidth="1"/>
    <col min="10757" max="10757" width="14" style="427" customWidth="1"/>
    <col min="10758" max="10758" width="3.33203125" style="427" customWidth="1"/>
    <col min="10759" max="10759" width="11.109375" style="427" bestFit="1" customWidth="1"/>
    <col min="10760" max="10760" width="16.33203125" style="427" customWidth="1"/>
    <col min="10761" max="11008" width="9.109375" style="427"/>
    <col min="11009" max="11009" width="40.6640625" style="427" customWidth="1"/>
    <col min="11010" max="11010" width="15.6640625" style="427" bestFit="1" customWidth="1"/>
    <col min="11011" max="11011" width="9.6640625" style="427" customWidth="1"/>
    <col min="11012" max="11012" width="17.33203125" style="427" bestFit="1" customWidth="1"/>
    <col min="11013" max="11013" width="14" style="427" customWidth="1"/>
    <col min="11014" max="11014" width="3.33203125" style="427" customWidth="1"/>
    <col min="11015" max="11015" width="11.109375" style="427" bestFit="1" customWidth="1"/>
    <col min="11016" max="11016" width="16.33203125" style="427" customWidth="1"/>
    <col min="11017" max="11264" width="9.109375" style="427"/>
    <col min="11265" max="11265" width="40.6640625" style="427" customWidth="1"/>
    <col min="11266" max="11266" width="15.6640625" style="427" bestFit="1" customWidth="1"/>
    <col min="11267" max="11267" width="9.6640625" style="427" customWidth="1"/>
    <col min="11268" max="11268" width="17.33203125" style="427" bestFit="1" customWidth="1"/>
    <col min="11269" max="11269" width="14" style="427" customWidth="1"/>
    <col min="11270" max="11270" width="3.33203125" style="427" customWidth="1"/>
    <col min="11271" max="11271" width="11.109375" style="427" bestFit="1" customWidth="1"/>
    <col min="11272" max="11272" width="16.33203125" style="427" customWidth="1"/>
    <col min="11273" max="11520" width="9.109375" style="427"/>
    <col min="11521" max="11521" width="40.6640625" style="427" customWidth="1"/>
    <col min="11522" max="11522" width="15.6640625" style="427" bestFit="1" customWidth="1"/>
    <col min="11523" max="11523" width="9.6640625" style="427" customWidth="1"/>
    <col min="11524" max="11524" width="17.33203125" style="427" bestFit="1" customWidth="1"/>
    <col min="11525" max="11525" width="14" style="427" customWidth="1"/>
    <col min="11526" max="11526" width="3.33203125" style="427" customWidth="1"/>
    <col min="11527" max="11527" width="11.109375" style="427" bestFit="1" customWidth="1"/>
    <col min="11528" max="11528" width="16.33203125" style="427" customWidth="1"/>
    <col min="11529" max="11776" width="9.109375" style="427"/>
    <col min="11777" max="11777" width="40.6640625" style="427" customWidth="1"/>
    <col min="11778" max="11778" width="15.6640625" style="427" bestFit="1" customWidth="1"/>
    <col min="11779" max="11779" width="9.6640625" style="427" customWidth="1"/>
    <col min="11780" max="11780" width="17.33203125" style="427" bestFit="1" customWidth="1"/>
    <col min="11781" max="11781" width="14" style="427" customWidth="1"/>
    <col min="11782" max="11782" width="3.33203125" style="427" customWidth="1"/>
    <col min="11783" max="11783" width="11.109375" style="427" bestFit="1" customWidth="1"/>
    <col min="11784" max="11784" width="16.33203125" style="427" customWidth="1"/>
    <col min="11785" max="12032" width="9.109375" style="427"/>
    <col min="12033" max="12033" width="40.6640625" style="427" customWidth="1"/>
    <col min="12034" max="12034" width="15.6640625" style="427" bestFit="1" customWidth="1"/>
    <col min="12035" max="12035" width="9.6640625" style="427" customWidth="1"/>
    <col min="12036" max="12036" width="17.33203125" style="427" bestFit="1" customWidth="1"/>
    <col min="12037" max="12037" width="14" style="427" customWidth="1"/>
    <col min="12038" max="12038" width="3.33203125" style="427" customWidth="1"/>
    <col min="12039" max="12039" width="11.109375" style="427" bestFit="1" customWidth="1"/>
    <col min="12040" max="12040" width="16.33203125" style="427" customWidth="1"/>
    <col min="12041" max="12288" width="9.109375" style="427"/>
    <col min="12289" max="12289" width="40.6640625" style="427" customWidth="1"/>
    <col min="12290" max="12290" width="15.6640625" style="427" bestFit="1" customWidth="1"/>
    <col min="12291" max="12291" width="9.6640625" style="427" customWidth="1"/>
    <col min="12292" max="12292" width="17.33203125" style="427" bestFit="1" customWidth="1"/>
    <col min="12293" max="12293" width="14" style="427" customWidth="1"/>
    <col min="12294" max="12294" width="3.33203125" style="427" customWidth="1"/>
    <col min="12295" max="12295" width="11.109375" style="427" bestFit="1" customWidth="1"/>
    <col min="12296" max="12296" width="16.33203125" style="427" customWidth="1"/>
    <col min="12297" max="12544" width="9.109375" style="427"/>
    <col min="12545" max="12545" width="40.6640625" style="427" customWidth="1"/>
    <col min="12546" max="12546" width="15.6640625" style="427" bestFit="1" customWidth="1"/>
    <col min="12547" max="12547" width="9.6640625" style="427" customWidth="1"/>
    <col min="12548" max="12548" width="17.33203125" style="427" bestFit="1" customWidth="1"/>
    <col min="12549" max="12549" width="14" style="427" customWidth="1"/>
    <col min="12550" max="12550" width="3.33203125" style="427" customWidth="1"/>
    <col min="12551" max="12551" width="11.109375" style="427" bestFit="1" customWidth="1"/>
    <col min="12552" max="12552" width="16.33203125" style="427" customWidth="1"/>
    <col min="12553" max="12800" width="9.109375" style="427"/>
    <col min="12801" max="12801" width="40.6640625" style="427" customWidth="1"/>
    <col min="12802" max="12802" width="15.6640625" style="427" bestFit="1" customWidth="1"/>
    <col min="12803" max="12803" width="9.6640625" style="427" customWidth="1"/>
    <col min="12804" max="12804" width="17.33203125" style="427" bestFit="1" customWidth="1"/>
    <col min="12805" max="12805" width="14" style="427" customWidth="1"/>
    <col min="12806" max="12806" width="3.33203125" style="427" customWidth="1"/>
    <col min="12807" max="12807" width="11.109375" style="427" bestFit="1" customWidth="1"/>
    <col min="12808" max="12808" width="16.33203125" style="427" customWidth="1"/>
    <col min="12809" max="13056" width="9.109375" style="427"/>
    <col min="13057" max="13057" width="40.6640625" style="427" customWidth="1"/>
    <col min="13058" max="13058" width="15.6640625" style="427" bestFit="1" customWidth="1"/>
    <col min="13059" max="13059" width="9.6640625" style="427" customWidth="1"/>
    <col min="13060" max="13060" width="17.33203125" style="427" bestFit="1" customWidth="1"/>
    <col min="13061" max="13061" width="14" style="427" customWidth="1"/>
    <col min="13062" max="13062" width="3.33203125" style="427" customWidth="1"/>
    <col min="13063" max="13063" width="11.109375" style="427" bestFit="1" customWidth="1"/>
    <col min="13064" max="13064" width="16.33203125" style="427" customWidth="1"/>
    <col min="13065" max="13312" width="9.109375" style="427"/>
    <col min="13313" max="13313" width="40.6640625" style="427" customWidth="1"/>
    <col min="13314" max="13314" width="15.6640625" style="427" bestFit="1" customWidth="1"/>
    <col min="13315" max="13315" width="9.6640625" style="427" customWidth="1"/>
    <col min="13316" max="13316" width="17.33203125" style="427" bestFit="1" customWidth="1"/>
    <col min="13317" max="13317" width="14" style="427" customWidth="1"/>
    <col min="13318" max="13318" width="3.33203125" style="427" customWidth="1"/>
    <col min="13319" max="13319" width="11.109375" style="427" bestFit="1" customWidth="1"/>
    <col min="13320" max="13320" width="16.33203125" style="427" customWidth="1"/>
    <col min="13321" max="13568" width="9.109375" style="427"/>
    <col min="13569" max="13569" width="40.6640625" style="427" customWidth="1"/>
    <col min="13570" max="13570" width="15.6640625" style="427" bestFit="1" customWidth="1"/>
    <col min="13571" max="13571" width="9.6640625" style="427" customWidth="1"/>
    <col min="13572" max="13572" width="17.33203125" style="427" bestFit="1" customWidth="1"/>
    <col min="13573" max="13573" width="14" style="427" customWidth="1"/>
    <col min="13574" max="13574" width="3.33203125" style="427" customWidth="1"/>
    <col min="13575" max="13575" width="11.109375" style="427" bestFit="1" customWidth="1"/>
    <col min="13576" max="13576" width="16.33203125" style="427" customWidth="1"/>
    <col min="13577" max="13824" width="9.109375" style="427"/>
    <col min="13825" max="13825" width="40.6640625" style="427" customWidth="1"/>
    <col min="13826" max="13826" width="15.6640625" style="427" bestFit="1" customWidth="1"/>
    <col min="13827" max="13827" width="9.6640625" style="427" customWidth="1"/>
    <col min="13828" max="13828" width="17.33203125" style="427" bestFit="1" customWidth="1"/>
    <col min="13829" max="13829" width="14" style="427" customWidth="1"/>
    <col min="13830" max="13830" width="3.33203125" style="427" customWidth="1"/>
    <col min="13831" max="13831" width="11.109375" style="427" bestFit="1" customWidth="1"/>
    <col min="13832" max="13832" width="16.33203125" style="427" customWidth="1"/>
    <col min="13833" max="14080" width="9.109375" style="427"/>
    <col min="14081" max="14081" width="40.6640625" style="427" customWidth="1"/>
    <col min="14082" max="14082" width="15.6640625" style="427" bestFit="1" customWidth="1"/>
    <col min="14083" max="14083" width="9.6640625" style="427" customWidth="1"/>
    <col min="14084" max="14084" width="17.33203125" style="427" bestFit="1" customWidth="1"/>
    <col min="14085" max="14085" width="14" style="427" customWidth="1"/>
    <col min="14086" max="14086" width="3.33203125" style="427" customWidth="1"/>
    <col min="14087" max="14087" width="11.109375" style="427" bestFit="1" customWidth="1"/>
    <col min="14088" max="14088" width="16.33203125" style="427" customWidth="1"/>
    <col min="14089" max="14336" width="9.109375" style="427"/>
    <col min="14337" max="14337" width="40.6640625" style="427" customWidth="1"/>
    <col min="14338" max="14338" width="15.6640625" style="427" bestFit="1" customWidth="1"/>
    <col min="14339" max="14339" width="9.6640625" style="427" customWidth="1"/>
    <col min="14340" max="14340" width="17.33203125" style="427" bestFit="1" customWidth="1"/>
    <col min="14341" max="14341" width="14" style="427" customWidth="1"/>
    <col min="14342" max="14342" width="3.33203125" style="427" customWidth="1"/>
    <col min="14343" max="14343" width="11.109375" style="427" bestFit="1" customWidth="1"/>
    <col min="14344" max="14344" width="16.33203125" style="427" customWidth="1"/>
    <col min="14345" max="14592" width="9.109375" style="427"/>
    <col min="14593" max="14593" width="40.6640625" style="427" customWidth="1"/>
    <col min="14594" max="14594" width="15.6640625" style="427" bestFit="1" customWidth="1"/>
    <col min="14595" max="14595" width="9.6640625" style="427" customWidth="1"/>
    <col min="14596" max="14596" width="17.33203125" style="427" bestFit="1" customWidth="1"/>
    <col min="14597" max="14597" width="14" style="427" customWidth="1"/>
    <col min="14598" max="14598" width="3.33203125" style="427" customWidth="1"/>
    <col min="14599" max="14599" width="11.109375" style="427" bestFit="1" customWidth="1"/>
    <col min="14600" max="14600" width="16.33203125" style="427" customWidth="1"/>
    <col min="14601" max="14848" width="9.109375" style="427"/>
    <col min="14849" max="14849" width="40.6640625" style="427" customWidth="1"/>
    <col min="14850" max="14850" width="15.6640625" style="427" bestFit="1" customWidth="1"/>
    <col min="14851" max="14851" width="9.6640625" style="427" customWidth="1"/>
    <col min="14852" max="14852" width="17.33203125" style="427" bestFit="1" customWidth="1"/>
    <col min="14853" max="14853" width="14" style="427" customWidth="1"/>
    <col min="14854" max="14854" width="3.33203125" style="427" customWidth="1"/>
    <col min="14855" max="14855" width="11.109375" style="427" bestFit="1" customWidth="1"/>
    <col min="14856" max="14856" width="16.33203125" style="427" customWidth="1"/>
    <col min="14857" max="15104" width="9.109375" style="427"/>
    <col min="15105" max="15105" width="40.6640625" style="427" customWidth="1"/>
    <col min="15106" max="15106" width="15.6640625" style="427" bestFit="1" customWidth="1"/>
    <col min="15107" max="15107" width="9.6640625" style="427" customWidth="1"/>
    <col min="15108" max="15108" width="17.33203125" style="427" bestFit="1" customWidth="1"/>
    <col min="15109" max="15109" width="14" style="427" customWidth="1"/>
    <col min="15110" max="15110" width="3.33203125" style="427" customWidth="1"/>
    <col min="15111" max="15111" width="11.109375" style="427" bestFit="1" customWidth="1"/>
    <col min="15112" max="15112" width="16.33203125" style="427" customWidth="1"/>
    <col min="15113" max="15360" width="9.109375" style="427"/>
    <col min="15361" max="15361" width="40.6640625" style="427" customWidth="1"/>
    <col min="15362" max="15362" width="15.6640625" style="427" bestFit="1" customWidth="1"/>
    <col min="15363" max="15363" width="9.6640625" style="427" customWidth="1"/>
    <col min="15364" max="15364" width="17.33203125" style="427" bestFit="1" customWidth="1"/>
    <col min="15365" max="15365" width="14" style="427" customWidth="1"/>
    <col min="15366" max="15366" width="3.33203125" style="427" customWidth="1"/>
    <col min="15367" max="15367" width="11.109375" style="427" bestFit="1" customWidth="1"/>
    <col min="15368" max="15368" width="16.33203125" style="427" customWidth="1"/>
    <col min="15369" max="15616" width="9.109375" style="427"/>
    <col min="15617" max="15617" width="40.6640625" style="427" customWidth="1"/>
    <col min="15618" max="15618" width="15.6640625" style="427" bestFit="1" customWidth="1"/>
    <col min="15619" max="15619" width="9.6640625" style="427" customWidth="1"/>
    <col min="15620" max="15620" width="17.33203125" style="427" bestFit="1" customWidth="1"/>
    <col min="15621" max="15621" width="14" style="427" customWidth="1"/>
    <col min="15622" max="15622" width="3.33203125" style="427" customWidth="1"/>
    <col min="15623" max="15623" width="11.109375" style="427" bestFit="1" customWidth="1"/>
    <col min="15624" max="15624" width="16.33203125" style="427" customWidth="1"/>
    <col min="15625" max="15872" width="9.109375" style="427"/>
    <col min="15873" max="15873" width="40.6640625" style="427" customWidth="1"/>
    <col min="15874" max="15874" width="15.6640625" style="427" bestFit="1" customWidth="1"/>
    <col min="15875" max="15875" width="9.6640625" style="427" customWidth="1"/>
    <col min="15876" max="15876" width="17.33203125" style="427" bestFit="1" customWidth="1"/>
    <col min="15877" max="15877" width="14" style="427" customWidth="1"/>
    <col min="15878" max="15878" width="3.33203125" style="427" customWidth="1"/>
    <col min="15879" max="15879" width="11.109375" style="427" bestFit="1" customWidth="1"/>
    <col min="15880" max="15880" width="16.33203125" style="427" customWidth="1"/>
    <col min="15881" max="16128" width="9.109375" style="427"/>
    <col min="16129" max="16129" width="40.6640625" style="427" customWidth="1"/>
    <col min="16130" max="16130" width="15.6640625" style="427" bestFit="1" customWidth="1"/>
    <col min="16131" max="16131" width="9.6640625" style="427" customWidth="1"/>
    <col min="16132" max="16132" width="17.33203125" style="427" bestFit="1" customWidth="1"/>
    <col min="16133" max="16133" width="14" style="427" customWidth="1"/>
    <col min="16134" max="16134" width="3.33203125" style="427" customWidth="1"/>
    <col min="16135" max="16135" width="11.109375" style="427" bestFit="1" customWidth="1"/>
    <col min="16136" max="16136" width="16.33203125" style="427" customWidth="1"/>
    <col min="16137" max="16384" width="9.109375" style="427"/>
  </cols>
  <sheetData>
    <row r="1" spans="1:13">
      <c r="A1" s="470" t="s">
        <v>341</v>
      </c>
      <c r="B1"/>
      <c r="C1"/>
      <c r="D1"/>
      <c r="E1"/>
      <c r="F1"/>
      <c r="G1" s="553"/>
      <c r="H1"/>
    </row>
    <row r="2" spans="1:13">
      <c r="A2" s="932" t="s">
        <v>893</v>
      </c>
      <c r="B2"/>
      <c r="C2"/>
      <c r="D2"/>
      <c r="E2"/>
      <c r="F2"/>
      <c r="G2" s="553"/>
      <c r="H2"/>
    </row>
    <row r="3" spans="1:13">
      <c r="A3" s="426" t="s">
        <v>759</v>
      </c>
      <c r="B3"/>
      <c r="C3"/>
      <c r="D3"/>
      <c r="E3"/>
      <c r="F3"/>
      <c r="G3" s="553"/>
      <c r="H3"/>
    </row>
    <row r="4" spans="1:13">
      <c r="A4"/>
      <c r="B4"/>
      <c r="C4"/>
      <c r="D4"/>
      <c r="E4"/>
      <c r="F4"/>
      <c r="G4" s="553"/>
      <c r="H4"/>
    </row>
    <row r="5" spans="1:13" ht="52.8">
      <c r="A5" s="948" t="s">
        <v>600</v>
      </c>
      <c r="B5" s="948" t="s">
        <v>601</v>
      </c>
      <c r="C5" s="552" t="s">
        <v>602</v>
      </c>
      <c r="D5" s="551" t="s">
        <v>603</v>
      </c>
      <c r="E5" s="551"/>
      <c r="F5" s="551"/>
      <c r="G5" s="550" t="s">
        <v>604</v>
      </c>
      <c r="H5" s="551" t="s">
        <v>605</v>
      </c>
    </row>
    <row r="6" spans="1:13">
      <c r="A6"/>
      <c r="B6" s="418"/>
      <c r="C6"/>
      <c r="D6" s="418"/>
      <c r="E6" s="447"/>
      <c r="F6" s="418"/>
      <c r="G6" s="448"/>
      <c r="H6" s="449"/>
    </row>
    <row r="7" spans="1:13" ht="15" customHeight="1">
      <c r="A7" s="417" t="s">
        <v>606</v>
      </c>
      <c r="B7"/>
      <c r="C7"/>
      <c r="D7"/>
      <c r="E7"/>
      <c r="F7"/>
      <c r="G7" s="553"/>
      <c r="H7"/>
      <c r="L7" s="450"/>
    </row>
    <row r="8" spans="1:13">
      <c r="A8" t="s">
        <v>607</v>
      </c>
      <c r="B8" s="451">
        <v>50000000</v>
      </c>
      <c r="C8" s="931">
        <v>12</v>
      </c>
      <c r="D8" s="451">
        <f>B8*C8</f>
        <v>600000000</v>
      </c>
      <c r="E8" s="452">
        <f t="shared" ref="E8:E41" si="0">D8/D$42</f>
        <v>2.5622357928992898E-2</v>
      </c>
      <c r="F8" s="451"/>
      <c r="G8" s="453">
        <v>7.1199999999999999E-2</v>
      </c>
      <c r="H8" s="454">
        <f t="shared" ref="H8:H29" si="1">E8*G8</f>
        <v>1.8243118845442943E-3</v>
      </c>
      <c r="I8" s="429"/>
      <c r="J8" s="453"/>
      <c r="K8" s="455"/>
      <c r="L8" s="456"/>
      <c r="M8" s="455"/>
    </row>
    <row r="9" spans="1:13">
      <c r="A9" t="s">
        <v>608</v>
      </c>
      <c r="B9" s="451">
        <f>70000000+30000000</f>
        <v>100000000</v>
      </c>
      <c r="C9" s="422">
        <f>C$8</f>
        <v>12</v>
      </c>
      <c r="D9" s="451">
        <f t="shared" ref="D9:D41" si="2">B9*C9</f>
        <v>1200000000</v>
      </c>
      <c r="E9" s="452">
        <f t="shared" si="0"/>
        <v>5.1244715857985797E-2</v>
      </c>
      <c r="F9" s="451"/>
      <c r="G9" s="453">
        <v>6.8513000000000004E-2</v>
      </c>
      <c r="H9" s="454">
        <f t="shared" si="1"/>
        <v>3.510929217578181E-3</v>
      </c>
      <c r="I9" s="429"/>
      <c r="J9" s="453"/>
      <c r="K9" s="455"/>
      <c r="L9" s="456"/>
      <c r="M9" s="455"/>
    </row>
    <row r="10" spans="1:13">
      <c r="A10" t="s">
        <v>609</v>
      </c>
      <c r="B10" s="451">
        <v>100000000</v>
      </c>
      <c r="C10" s="949">
        <f>3+(14/30)</f>
        <v>3.4666666666666668</v>
      </c>
      <c r="D10" s="451">
        <f t="shared" si="2"/>
        <v>346666666.66666669</v>
      </c>
      <c r="E10" s="452">
        <f t="shared" si="0"/>
        <v>1.4804029025640344E-2</v>
      </c>
      <c r="F10" s="451"/>
      <c r="G10" s="453">
        <v>5.0705E-2</v>
      </c>
      <c r="H10" s="454">
        <f t="shared" si="1"/>
        <v>7.5063829174509366E-4</v>
      </c>
      <c r="I10" s="429"/>
      <c r="J10" s="453"/>
      <c r="K10" s="455"/>
      <c r="L10" s="456"/>
      <c r="M10" s="455"/>
    </row>
    <row r="11" spans="1:13">
      <c r="A11" t="s">
        <v>610</v>
      </c>
      <c r="B11" s="451">
        <v>100000000</v>
      </c>
      <c r="C11" s="422">
        <f t="shared" ref="C11:C26" si="3">C$8</f>
        <v>12</v>
      </c>
      <c r="D11" s="451">
        <f t="shared" si="2"/>
        <v>1200000000</v>
      </c>
      <c r="E11" s="452">
        <f t="shared" si="0"/>
        <v>5.1244715857985797E-2</v>
      </c>
      <c r="F11" s="451"/>
      <c r="G11" s="453">
        <v>5.6383999999999997E-2</v>
      </c>
      <c r="H11" s="454">
        <f t="shared" si="1"/>
        <v>2.8893820589366709E-3</v>
      </c>
      <c r="I11" s="429"/>
      <c r="J11" s="453"/>
      <c r="K11" s="455"/>
      <c r="L11" s="456"/>
      <c r="M11" s="455"/>
    </row>
    <row r="12" spans="1:13">
      <c r="A12" t="s">
        <v>611</v>
      </c>
      <c r="B12" s="451">
        <v>250000000</v>
      </c>
      <c r="C12" s="422">
        <f t="shared" si="3"/>
        <v>12</v>
      </c>
      <c r="D12" s="451">
        <f t="shared" si="2"/>
        <v>3000000000</v>
      </c>
      <c r="E12" s="452">
        <f t="shared" si="0"/>
        <v>0.1281117896449645</v>
      </c>
      <c r="F12" s="451"/>
      <c r="G12" s="453">
        <v>5.9595000000000002E-2</v>
      </c>
      <c r="H12" s="454">
        <f t="shared" si="1"/>
        <v>7.6348221038916595E-3</v>
      </c>
      <c r="I12" s="429"/>
      <c r="J12" s="453"/>
      <c r="K12" s="455"/>
      <c r="L12" s="456"/>
      <c r="M12" s="455"/>
    </row>
    <row r="13" spans="1:13">
      <c r="A13" t="s">
        <v>612</v>
      </c>
      <c r="B13" s="451">
        <v>200000000</v>
      </c>
      <c r="C13" s="422">
        <f t="shared" si="3"/>
        <v>12</v>
      </c>
      <c r="D13" s="451">
        <f t="shared" si="2"/>
        <v>2400000000</v>
      </c>
      <c r="E13" s="452">
        <f t="shared" si="0"/>
        <v>0.10248943171597159</v>
      </c>
      <c r="F13" s="451"/>
      <c r="G13" s="453">
        <v>5.6633999999999997E-2</v>
      </c>
      <c r="H13" s="454">
        <f t="shared" si="1"/>
        <v>5.804386475802335E-3</v>
      </c>
      <c r="I13" s="429"/>
      <c r="J13" s="453"/>
      <c r="K13" s="455"/>
      <c r="L13" s="456"/>
      <c r="M13" s="455"/>
    </row>
    <row r="14" spans="1:13">
      <c r="A14" s="545" t="s">
        <v>613</v>
      </c>
      <c r="B14" s="451">
        <v>115000000</v>
      </c>
      <c r="C14" s="422">
        <f t="shared" si="3"/>
        <v>12</v>
      </c>
      <c r="D14" s="451">
        <f t="shared" si="2"/>
        <v>1380000000</v>
      </c>
      <c r="E14" s="452">
        <f t="shared" si="0"/>
        <v>5.8931423236683669E-2</v>
      </c>
      <c r="F14" s="451"/>
      <c r="G14" s="453">
        <v>5.4828000000000002E-2</v>
      </c>
      <c r="H14" s="454">
        <f t="shared" si="1"/>
        <v>3.2310920732208925E-3</v>
      </c>
      <c r="I14" s="429"/>
      <c r="J14" s="453"/>
      <c r="K14" s="455"/>
      <c r="L14" s="456"/>
      <c r="M14" s="455"/>
    </row>
    <row r="15" spans="1:13">
      <c r="A15" s="545" t="s">
        <v>614</v>
      </c>
      <c r="B15" s="451">
        <v>35000000</v>
      </c>
      <c r="C15" s="422">
        <f t="shared" si="3"/>
        <v>12</v>
      </c>
      <c r="D15" s="451">
        <f t="shared" si="2"/>
        <v>420000000</v>
      </c>
      <c r="E15" s="452">
        <f t="shared" si="0"/>
        <v>1.7935650550295029E-2</v>
      </c>
      <c r="F15" s="451"/>
      <c r="G15" s="453">
        <v>5.4828000000000002E-2</v>
      </c>
      <c r="H15" s="454">
        <f t="shared" si="1"/>
        <v>9.8337584837157599E-4</v>
      </c>
      <c r="I15" s="429"/>
      <c r="J15" s="457"/>
      <c r="K15" s="455"/>
      <c r="L15" s="456"/>
      <c r="M15" s="455"/>
    </row>
    <row r="16" spans="1:13">
      <c r="A16" s="545" t="s">
        <v>615</v>
      </c>
      <c r="B16" s="451">
        <v>100000000</v>
      </c>
      <c r="C16" s="422">
        <f t="shared" si="3"/>
        <v>12</v>
      </c>
      <c r="D16" s="451">
        <f t="shared" si="2"/>
        <v>1200000000</v>
      </c>
      <c r="E16" s="452">
        <f t="shared" si="0"/>
        <v>5.1244715857985797E-2</v>
      </c>
      <c r="F16" s="451"/>
      <c r="G16" s="457">
        <v>4.6550000000000001E-2</v>
      </c>
      <c r="H16" s="454">
        <f t="shared" si="1"/>
        <v>2.3854415231892388E-3</v>
      </c>
      <c r="I16" s="429"/>
      <c r="J16" s="457"/>
      <c r="K16" s="455"/>
      <c r="L16" s="456"/>
      <c r="M16" s="455"/>
    </row>
    <row r="17" spans="1:13">
      <c r="A17" s="545" t="s">
        <v>616</v>
      </c>
      <c r="B17" s="458">
        <v>50000000</v>
      </c>
      <c r="C17" s="422">
        <f t="shared" si="3"/>
        <v>12</v>
      </c>
      <c r="D17" s="451">
        <f t="shared" si="2"/>
        <v>600000000</v>
      </c>
      <c r="E17" s="452">
        <f t="shared" si="0"/>
        <v>2.5622357928992898E-2</v>
      </c>
      <c r="F17" s="451"/>
      <c r="G17" s="457">
        <v>5.7703999999999998E-2</v>
      </c>
      <c r="H17" s="454">
        <f t="shared" si="1"/>
        <v>1.4785125419346061E-3</v>
      </c>
      <c r="I17" s="429"/>
      <c r="J17" s="457"/>
      <c r="K17" s="455"/>
      <c r="L17" s="456"/>
      <c r="M17" s="455"/>
    </row>
    <row r="18" spans="1:13">
      <c r="A18" s="420" t="s">
        <v>617</v>
      </c>
      <c r="B18" s="458">
        <v>75000000</v>
      </c>
      <c r="C18" s="422">
        <f t="shared" si="3"/>
        <v>12</v>
      </c>
      <c r="D18" s="451">
        <f t="shared" si="2"/>
        <v>900000000</v>
      </c>
      <c r="E18" s="452">
        <f t="shared" si="0"/>
        <v>3.8433536893489349E-2</v>
      </c>
      <c r="F18" s="451"/>
      <c r="G18" s="457">
        <v>4.2229999999999997E-2</v>
      </c>
      <c r="H18" s="454">
        <f t="shared" si="1"/>
        <v>1.623048263012055E-3</v>
      </c>
      <c r="I18" s="429"/>
      <c r="J18" s="457"/>
      <c r="K18" s="455"/>
      <c r="L18" s="456"/>
      <c r="M18" s="455"/>
    </row>
    <row r="19" spans="1:13">
      <c r="A19" s="459" t="s">
        <v>618</v>
      </c>
      <c r="B19" s="458">
        <v>75000000</v>
      </c>
      <c r="C19" s="422">
        <f t="shared" si="3"/>
        <v>12</v>
      </c>
      <c r="D19" s="451">
        <f t="shared" si="2"/>
        <v>900000000</v>
      </c>
      <c r="E19" s="452">
        <f t="shared" si="0"/>
        <v>3.8433536893489349E-2</v>
      </c>
      <c r="F19" s="451"/>
      <c r="G19" s="457">
        <v>4.3235999999999997E-2</v>
      </c>
      <c r="H19" s="454">
        <f t="shared" si="1"/>
        <v>1.6617124011269054E-3</v>
      </c>
      <c r="I19" s="429"/>
      <c r="J19" s="457"/>
      <c r="K19" s="455"/>
      <c r="L19" s="456"/>
      <c r="M19" s="455"/>
    </row>
    <row r="20" spans="1:13">
      <c r="A20" s="460" t="s">
        <v>619</v>
      </c>
      <c r="B20" s="458">
        <v>150000000</v>
      </c>
      <c r="C20" s="422">
        <f t="shared" si="3"/>
        <v>12</v>
      </c>
      <c r="D20" s="451">
        <f t="shared" si="2"/>
        <v>1800000000</v>
      </c>
      <c r="E20" s="452">
        <f t="shared" si="0"/>
        <v>7.6867073786978699E-2</v>
      </c>
      <c r="F20" s="451"/>
      <c r="G20" s="457">
        <v>5.2138999999999998E-2</v>
      </c>
      <c r="H20" s="454">
        <f t="shared" si="1"/>
        <v>4.007772360179282E-3</v>
      </c>
      <c r="I20" s="429"/>
      <c r="J20" s="453"/>
      <c r="K20" s="455"/>
      <c r="L20" s="456"/>
      <c r="M20" s="455"/>
    </row>
    <row r="21" spans="1:13">
      <c r="A21" t="s">
        <v>620</v>
      </c>
      <c r="B21" s="458">
        <v>150000000</v>
      </c>
      <c r="C21" s="422">
        <f t="shared" si="3"/>
        <v>12</v>
      </c>
      <c r="D21" s="451">
        <f t="shared" si="2"/>
        <v>1800000000</v>
      </c>
      <c r="E21" s="452">
        <f t="shared" si="0"/>
        <v>7.6867073786978699E-2</v>
      </c>
      <c r="F21" s="451"/>
      <c r="G21" s="453">
        <v>4.4116000000000002E-2</v>
      </c>
      <c r="H21" s="454">
        <f t="shared" si="1"/>
        <v>3.3910678271863526E-3</v>
      </c>
      <c r="I21" s="429"/>
      <c r="J21" s="453"/>
      <c r="K21" s="455"/>
      <c r="L21" s="456"/>
      <c r="M21" s="455"/>
    </row>
    <row r="22" spans="1:13">
      <c r="A22" s="423" t="s">
        <v>621</v>
      </c>
      <c r="B22" s="458">
        <v>50000000</v>
      </c>
      <c r="C22" s="422">
        <f t="shared" si="3"/>
        <v>12</v>
      </c>
      <c r="D22" s="451">
        <f t="shared" si="2"/>
        <v>600000000</v>
      </c>
      <c r="E22" s="452">
        <f t="shared" si="0"/>
        <v>2.5622357928992898E-2</v>
      </c>
      <c r="F22" s="451"/>
      <c r="G22" s="453">
        <v>3.7962000000000003E-2</v>
      </c>
      <c r="H22" s="454">
        <f t="shared" si="1"/>
        <v>9.7267595170042853E-4</v>
      </c>
      <c r="I22" s="429"/>
      <c r="J22" s="457"/>
      <c r="K22" s="455"/>
      <c r="L22" s="456"/>
      <c r="M22" s="455"/>
    </row>
    <row r="23" spans="1:13" s="431" customFormat="1">
      <c r="A23" s="425" t="s">
        <v>622</v>
      </c>
      <c r="B23" s="461">
        <v>50000000</v>
      </c>
      <c r="C23" s="422">
        <f t="shared" si="3"/>
        <v>12</v>
      </c>
      <c r="D23" s="458">
        <f t="shared" si="2"/>
        <v>600000000</v>
      </c>
      <c r="E23" s="454">
        <f t="shared" si="0"/>
        <v>2.5622357928992898E-2</v>
      </c>
      <c r="F23" s="458"/>
      <c r="G23" s="457">
        <v>4.7147000000000001E-2</v>
      </c>
      <c r="H23" s="454">
        <f t="shared" si="1"/>
        <v>1.2080173092782283E-3</v>
      </c>
      <c r="I23" s="442"/>
      <c r="J23" s="453"/>
      <c r="K23" s="455"/>
      <c r="L23" s="456"/>
      <c r="M23" s="455"/>
    </row>
    <row r="24" spans="1:13" s="431" customFormat="1">
      <c r="A24" s="425" t="s">
        <v>623</v>
      </c>
      <c r="B24" s="461">
        <v>75000000</v>
      </c>
      <c r="C24" s="422">
        <f t="shared" si="3"/>
        <v>12</v>
      </c>
      <c r="D24" s="458">
        <f t="shared" si="2"/>
        <v>900000000</v>
      </c>
      <c r="E24" s="454">
        <f t="shared" si="0"/>
        <v>3.8433536893489349E-2</v>
      </c>
      <c r="F24" s="458"/>
      <c r="G24" s="457">
        <v>3.4189999999999998E-2</v>
      </c>
      <c r="H24" s="454">
        <f t="shared" si="1"/>
        <v>1.3140426263884009E-3</v>
      </c>
      <c r="I24" s="442"/>
      <c r="J24" s="453"/>
      <c r="K24" s="455"/>
      <c r="L24" s="456"/>
      <c r="M24" s="455"/>
    </row>
    <row r="25" spans="1:13" s="431" customFormat="1">
      <c r="A25" s="425" t="s">
        <v>624</v>
      </c>
      <c r="B25" s="461">
        <v>29000000</v>
      </c>
      <c r="C25" s="422">
        <f t="shared" si="3"/>
        <v>12</v>
      </c>
      <c r="D25" s="458">
        <f t="shared" si="2"/>
        <v>348000000</v>
      </c>
      <c r="E25" s="454">
        <f t="shared" si="0"/>
        <v>1.4860967598815882E-2</v>
      </c>
      <c r="F25" s="458"/>
      <c r="G25" s="457">
        <v>3.6534999999999998E-2</v>
      </c>
      <c r="H25" s="454">
        <f t="shared" si="1"/>
        <v>5.4294545122273818E-4</v>
      </c>
      <c r="I25" s="442"/>
      <c r="J25" s="453"/>
      <c r="K25" s="455"/>
      <c r="L25" s="456"/>
      <c r="M25" s="455"/>
    </row>
    <row r="26" spans="1:13" s="431" customFormat="1">
      <c r="A26" s="425" t="s">
        <v>625</v>
      </c>
      <c r="B26" s="461">
        <v>47000000</v>
      </c>
      <c r="C26" s="422">
        <f t="shared" si="3"/>
        <v>12</v>
      </c>
      <c r="D26" s="458">
        <f t="shared" si="2"/>
        <v>564000000</v>
      </c>
      <c r="E26" s="454">
        <f t="shared" si="0"/>
        <v>2.4085016453253325E-2</v>
      </c>
      <c r="F26" s="458"/>
      <c r="G26" s="457">
        <v>4.3498000000000002E-2</v>
      </c>
      <c r="H26" s="454">
        <f t="shared" si="1"/>
        <v>1.0476500456836132E-3</v>
      </c>
      <c r="I26" s="442"/>
      <c r="J26" s="453"/>
      <c r="K26" s="455"/>
      <c r="L26" s="456"/>
      <c r="M26" s="455"/>
    </row>
    <row r="27" spans="1:13">
      <c r="A27" s="425" t="s">
        <v>774</v>
      </c>
      <c r="B27" s="461">
        <v>50000000</v>
      </c>
      <c r="C27" s="949">
        <f>8+(17/30)</f>
        <v>8.5666666666666664</v>
      </c>
      <c r="D27" s="458">
        <f t="shared" si="2"/>
        <v>428333333.33333331</v>
      </c>
      <c r="E27" s="454">
        <f t="shared" si="0"/>
        <v>1.8291516632642151E-2</v>
      </c>
      <c r="F27" s="458"/>
      <c r="G27" s="457">
        <v>3.5195999999999998E-2</v>
      </c>
      <c r="H27" s="454">
        <f t="shared" si="1"/>
        <v>6.4378821940247314E-4</v>
      </c>
      <c r="I27" s="429"/>
    </row>
    <row r="28" spans="1:13">
      <c r="A28" s="425" t="s">
        <v>775</v>
      </c>
      <c r="B28" s="461">
        <v>21000000</v>
      </c>
      <c r="C28" s="949">
        <f t="shared" ref="C28:C29" si="4">8+(17/30)</f>
        <v>8.5666666666666664</v>
      </c>
      <c r="D28" s="458">
        <f>B28*C28</f>
        <v>179900000</v>
      </c>
      <c r="E28" s="454">
        <f>D28/D$42</f>
        <v>7.6824369857097048E-3</v>
      </c>
      <c r="F28" s="458"/>
      <c r="G28" s="457">
        <v>3.7555999999999999E-2</v>
      </c>
      <c r="H28" s="454">
        <f t="shared" si="1"/>
        <v>2.8852160343531368E-4</v>
      </c>
      <c r="I28" s="429"/>
    </row>
    <row r="29" spans="1:13">
      <c r="A29" s="425" t="s">
        <v>776</v>
      </c>
      <c r="B29" s="461">
        <v>28000000</v>
      </c>
      <c r="C29" s="949">
        <f t="shared" si="4"/>
        <v>8.5666666666666664</v>
      </c>
      <c r="D29" s="458">
        <f>B29*C29</f>
        <v>239866666.66666666</v>
      </c>
      <c r="E29" s="454">
        <f>D29/D$42</f>
        <v>1.0243249314279605E-2</v>
      </c>
      <c r="F29" s="458"/>
      <c r="G29" s="457">
        <v>4.4517000000000001E-2</v>
      </c>
      <c r="H29" s="454">
        <f t="shared" si="1"/>
        <v>4.5599872972378519E-4</v>
      </c>
      <c r="I29" s="429"/>
    </row>
    <row r="30" spans="1:13">
      <c r="A30" s="545" t="s">
        <v>626</v>
      </c>
      <c r="B30" s="462">
        <v>98739000.000000015</v>
      </c>
      <c r="C30" s="527">
        <v>1</v>
      </c>
      <c r="D30" s="451">
        <f t="shared" si="2"/>
        <v>98739000.000000015</v>
      </c>
      <c r="E30" s="452">
        <f t="shared" si="0"/>
        <v>4.2165433325847173E-3</v>
      </c>
      <c r="F30" s="451"/>
      <c r="G30" s="463">
        <v>1.9938050102110191E-3</v>
      </c>
      <c r="H30" s="454">
        <f>E30*G30</f>
        <v>8.4069652222792773E-6</v>
      </c>
      <c r="I30" s="429"/>
    </row>
    <row r="31" spans="1:13">
      <c r="A31" t="s">
        <v>627</v>
      </c>
      <c r="B31" s="462">
        <v>121333571.42857142</v>
      </c>
      <c r="C31" s="527">
        <f>IF(C$8-SUM(C$30:C30)&lt;=0,0,1)</f>
        <v>1</v>
      </c>
      <c r="D31" s="451">
        <f t="shared" si="2"/>
        <v>121333571.42857142</v>
      </c>
      <c r="E31" s="452">
        <f t="shared" si="0"/>
        <v>5.1814203265764724E-3</v>
      </c>
      <c r="F31" s="451"/>
      <c r="G31" s="463">
        <v>1.9526538998157381E-3</v>
      </c>
      <c r="H31" s="454">
        <f t="shared" ref="H31:H41" si="5">E31*G31</f>
        <v>1.0117520607274084E-5</v>
      </c>
      <c r="I31" s="429"/>
    </row>
    <row r="32" spans="1:13">
      <c r="A32" t="s">
        <v>628</v>
      </c>
      <c r="B32" s="462">
        <v>120428580.64516129</v>
      </c>
      <c r="C32" s="527">
        <f>IF(C$8-SUM(C$30:C31)&lt;=0,0,1)</f>
        <v>1</v>
      </c>
      <c r="D32" s="451">
        <f t="shared" si="2"/>
        <v>120428580.64516129</v>
      </c>
      <c r="E32" s="452">
        <f t="shared" si="0"/>
        <v>5.1427736636181819E-3</v>
      </c>
      <c r="F32" s="451"/>
      <c r="G32" s="463">
        <v>2.0166746935541503E-3</v>
      </c>
      <c r="H32" s="454">
        <f t="shared" si="5"/>
        <v>1.0371301502095552E-5</v>
      </c>
      <c r="I32" s="429"/>
    </row>
    <row r="33" spans="1:9">
      <c r="A33" t="s">
        <v>629</v>
      </c>
      <c r="B33" s="462">
        <v>113463566.66666667</v>
      </c>
      <c r="C33" s="527">
        <f>IF(C$8-SUM(C$30:C32)&lt;=0,0,1)</f>
        <v>1</v>
      </c>
      <c r="D33" s="451">
        <f t="shared" si="2"/>
        <v>113463566.66666667</v>
      </c>
      <c r="E33" s="452">
        <f t="shared" si="0"/>
        <v>4.8453401950558023E-3</v>
      </c>
      <c r="F33" s="451"/>
      <c r="G33" s="463">
        <v>2.1065984470198511E-3</v>
      </c>
      <c r="H33" s="454">
        <f t="shared" si="5"/>
        <v>1.0207186130187415E-5</v>
      </c>
      <c r="I33" s="429"/>
    </row>
    <row r="34" spans="1:9">
      <c r="A34" t="s">
        <v>630</v>
      </c>
      <c r="B34" s="462">
        <v>144462838.7096774</v>
      </c>
      <c r="C34" s="527">
        <f>IF(C$8-SUM(C$30:C33)&lt;=0,0,1)</f>
        <v>1</v>
      </c>
      <c r="D34" s="451">
        <f t="shared" si="2"/>
        <v>144462838.7096774</v>
      </c>
      <c r="E34" s="452">
        <f t="shared" si="0"/>
        <v>6.1691309347628748E-3</v>
      </c>
      <c r="F34" s="451"/>
      <c r="G34" s="463">
        <v>2.0803771390700324E-3</v>
      </c>
      <c r="H34" s="454">
        <f t="shared" si="5"/>
        <v>1.2834118964610425E-5</v>
      </c>
      <c r="I34" s="429"/>
    </row>
    <row r="35" spans="1:9">
      <c r="A35" t="s">
        <v>631</v>
      </c>
      <c r="B35" s="462">
        <v>138643633.33333331</v>
      </c>
      <c r="C35" s="527">
        <f>IF(C$8-SUM(C$30:C34)&lt;=0,0,1)</f>
        <v>1</v>
      </c>
      <c r="D35" s="451">
        <f t="shared" si="2"/>
        <v>138643633.33333331</v>
      </c>
      <c r="E35" s="452">
        <f t="shared" si="0"/>
        <v>5.9206279964045287E-3</v>
      </c>
      <c r="F35" s="451"/>
      <c r="G35" s="463">
        <v>2.0767362078652975E-3</v>
      </c>
      <c r="H35" s="454">
        <f t="shared" si="5"/>
        <v>1.2295582533434256E-5</v>
      </c>
      <c r="I35" s="429"/>
    </row>
    <row r="36" spans="1:9">
      <c r="A36" t="s">
        <v>632</v>
      </c>
      <c r="B36" s="462">
        <v>130838645.16129033</v>
      </c>
      <c r="C36" s="527">
        <f>IF(C$8-SUM(C$30:C35)&lt;=0,0,1)</f>
        <v>1</v>
      </c>
      <c r="D36" s="451">
        <f t="shared" si="2"/>
        <v>130838645.16129033</v>
      </c>
      <c r="E36" s="452">
        <f t="shared" si="0"/>
        <v>5.5873243287784596E-3</v>
      </c>
      <c r="F36" s="451"/>
      <c r="G36" s="463">
        <v>2.1205788069915224E-3</v>
      </c>
      <c r="H36" s="454">
        <f t="shared" si="5"/>
        <v>1.1848361559395734E-5</v>
      </c>
      <c r="I36" s="430"/>
    </row>
    <row r="37" spans="1:9">
      <c r="A37" s="545" t="s">
        <v>633</v>
      </c>
      <c r="B37" s="462">
        <v>172770483.87096775</v>
      </c>
      <c r="C37" s="527">
        <f>IF(C$8-SUM(C$30:C36)&lt;=0,0,1)</f>
        <v>1</v>
      </c>
      <c r="D37" s="451">
        <f t="shared" si="2"/>
        <v>172770483.87096775</v>
      </c>
      <c r="E37" s="452">
        <f t="shared" si="0"/>
        <v>7.3779786288453841E-3</v>
      </c>
      <c r="F37" s="451"/>
      <c r="G37" s="463">
        <v>2.1948552480122335E-3</v>
      </c>
      <c r="H37" s="454">
        <f t="shared" si="5"/>
        <v>1.6193595113243392E-5</v>
      </c>
      <c r="I37" s="429"/>
    </row>
    <row r="38" spans="1:9">
      <c r="A38" s="545" t="s">
        <v>634</v>
      </c>
      <c r="B38" s="462">
        <v>168514733.33333331</v>
      </c>
      <c r="C38" s="527">
        <f>IF(C$8-SUM(C$30:C37)&lt;=0,0,1)</f>
        <v>1</v>
      </c>
      <c r="D38" s="451">
        <f t="shared" si="2"/>
        <v>168514733.33333331</v>
      </c>
      <c r="E38" s="452">
        <f t="shared" si="0"/>
        <v>7.1962413562924286E-3</v>
      </c>
      <c r="F38" s="451"/>
      <c r="G38" s="463">
        <v>2.2118934012100222E-3</v>
      </c>
      <c r="H38" s="454">
        <f t="shared" si="5"/>
        <v>1.5917318769497882E-5</v>
      </c>
      <c r="I38" s="429"/>
    </row>
    <row r="39" spans="1:9">
      <c r="A39" s="545" t="s">
        <v>635</v>
      </c>
      <c r="B39" s="462">
        <v>173725833.33333331</v>
      </c>
      <c r="C39" s="527">
        <f>IF(C$8-SUM(C$30:C38)&lt;=0,0,1)</f>
        <v>1</v>
      </c>
      <c r="D39" s="451">
        <f t="shared" si="2"/>
        <v>173725833.33333331</v>
      </c>
      <c r="E39" s="452">
        <f t="shared" si="0"/>
        <v>7.4187758052987199E-3</v>
      </c>
      <c r="F39" s="451"/>
      <c r="G39" s="463">
        <v>2.2894950952410649E-3</v>
      </c>
      <c r="H39" s="454">
        <f t="shared" si="5"/>
        <v>1.6985250818924503E-5</v>
      </c>
      <c r="I39" s="429"/>
    </row>
    <row r="40" spans="1:9">
      <c r="A40" s="545" t="s">
        <v>636</v>
      </c>
      <c r="B40" s="462">
        <v>214261400.00000003</v>
      </c>
      <c r="C40" s="527">
        <f>IF(C$8-SUM(C$30:C39)&lt;=0,0,1)</f>
        <v>1</v>
      </c>
      <c r="D40" s="451">
        <f t="shared" si="2"/>
        <v>214261400.00000003</v>
      </c>
      <c r="E40" s="452">
        <f t="shared" si="0"/>
        <v>9.149803801945201E-3</v>
      </c>
      <c r="F40" s="451"/>
      <c r="G40" s="463">
        <v>2.3300940813417628E-3</v>
      </c>
      <c r="H40" s="454">
        <f t="shared" si="5"/>
        <v>2.1319903684350872E-5</v>
      </c>
      <c r="I40" s="429"/>
    </row>
    <row r="41" spans="1:9">
      <c r="A41" s="545" t="s">
        <v>637</v>
      </c>
      <c r="B41" s="464">
        <v>213099612.90322575</v>
      </c>
      <c r="C41" s="527">
        <f>IF(C$8-SUM(C$30:C40)&lt;=0,0,1)</f>
        <v>1</v>
      </c>
      <c r="D41" s="465">
        <f t="shared" si="2"/>
        <v>213099612.90322575</v>
      </c>
      <c r="E41" s="466">
        <f t="shared" si="0"/>
        <v>9.1001909272271399E-3</v>
      </c>
      <c r="F41" s="451"/>
      <c r="G41" s="463">
        <v>3.2791869711696255E-3</v>
      </c>
      <c r="H41" s="454">
        <f t="shared" si="5"/>
        <v>2.9841227523719271E-5</v>
      </c>
      <c r="I41" s="429"/>
    </row>
    <row r="42" spans="1:9" ht="13.8" thickBot="1">
      <c r="A42"/>
      <c r="B42" s="419">
        <f>SUM(B8:B41)</f>
        <v>3710281899.385561</v>
      </c>
      <c r="C42"/>
      <c r="D42" s="419">
        <f>SUM(D8:D41)</f>
        <v>23417048566.052223</v>
      </c>
      <c r="E42" s="452">
        <f>SUM(E8:E41)</f>
        <v>1.0000000000000002</v>
      </c>
      <c r="F42" s="526"/>
      <c r="G42" s="525"/>
      <c r="H42" s="467">
        <f>SUM(H8:H41)</f>
        <v>4.7826471139983132E-2</v>
      </c>
    </row>
    <row r="43" spans="1:9" ht="13.8" thickTop="1">
      <c r="G43" s="468"/>
      <c r="H43" s="431"/>
    </row>
    <row r="44" spans="1:9">
      <c r="G44" s="468"/>
      <c r="H44" s="431"/>
    </row>
    <row r="47" spans="1:9">
      <c r="H47" s="469"/>
    </row>
  </sheetData>
  <sheetProtection formatCells="0" formatColumns="0" formatRows="0" insertRows="0"/>
  <pageMargins left="0.75" right="0.75" top="1" bottom="1" header="0.5" footer="0.5"/>
  <pageSetup scale="82" orientation="landscape" r:id="rId1"/>
  <headerFooter alignWithMargins="0"/>
  <ignoredErrors>
    <ignoredError sqref="C31 C32:C41" unlockedFormula="1"/>
    <ignoredError sqref="C10"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F32" sqref="F32"/>
    </sheetView>
  </sheetViews>
  <sheetFormatPr defaultRowHeight="13.2"/>
  <cols>
    <col min="1" max="1" width="23.33203125" style="427" customWidth="1"/>
    <col min="2" max="2" width="11.109375" style="427" customWidth="1"/>
    <col min="3" max="3" width="12.109375" style="427" customWidth="1"/>
    <col min="4" max="4" width="14.5546875" style="427" customWidth="1"/>
    <col min="5" max="5" width="9.109375" style="427"/>
    <col min="6" max="6" width="9.6640625" style="427" bestFit="1" customWidth="1"/>
    <col min="7" max="256" width="9.109375" style="427"/>
    <col min="257" max="257" width="23.33203125" style="427" customWidth="1"/>
    <col min="258" max="258" width="11.109375" style="427" customWidth="1"/>
    <col min="259" max="259" width="12.109375" style="427" customWidth="1"/>
    <col min="260" max="260" width="14.5546875" style="427" customWidth="1"/>
    <col min="261" max="261" width="9.109375" style="427"/>
    <col min="262" max="262" width="9.6640625" style="427" bestFit="1" customWidth="1"/>
    <col min="263" max="512" width="9.109375" style="427"/>
    <col min="513" max="513" width="23.33203125" style="427" customWidth="1"/>
    <col min="514" max="514" width="11.109375" style="427" customWidth="1"/>
    <col min="515" max="515" width="12.109375" style="427" customWidth="1"/>
    <col min="516" max="516" width="14.5546875" style="427" customWidth="1"/>
    <col min="517" max="517" width="9.109375" style="427"/>
    <col min="518" max="518" width="9.6640625" style="427" bestFit="1" customWidth="1"/>
    <col min="519" max="768" width="9.109375" style="427"/>
    <col min="769" max="769" width="23.33203125" style="427" customWidth="1"/>
    <col min="770" max="770" width="11.109375" style="427" customWidth="1"/>
    <col min="771" max="771" width="12.109375" style="427" customWidth="1"/>
    <col min="772" max="772" width="14.5546875" style="427" customWidth="1"/>
    <col min="773" max="773" width="9.109375" style="427"/>
    <col min="774" max="774" width="9.6640625" style="427" bestFit="1" customWidth="1"/>
    <col min="775" max="1024" width="9.109375" style="427"/>
    <col min="1025" max="1025" width="23.33203125" style="427" customWidth="1"/>
    <col min="1026" max="1026" width="11.109375" style="427" customWidth="1"/>
    <col min="1027" max="1027" width="12.109375" style="427" customWidth="1"/>
    <col min="1028" max="1028" width="14.5546875" style="427" customWidth="1"/>
    <col min="1029" max="1029" width="9.109375" style="427"/>
    <col min="1030" max="1030" width="9.6640625" style="427" bestFit="1" customWidth="1"/>
    <col min="1031" max="1280" width="9.109375" style="427"/>
    <col min="1281" max="1281" width="23.33203125" style="427" customWidth="1"/>
    <col min="1282" max="1282" width="11.109375" style="427" customWidth="1"/>
    <col min="1283" max="1283" width="12.109375" style="427" customWidth="1"/>
    <col min="1284" max="1284" width="14.5546875" style="427" customWidth="1"/>
    <col min="1285" max="1285" width="9.109375" style="427"/>
    <col min="1286" max="1286" width="9.6640625" style="427" bestFit="1" customWidth="1"/>
    <col min="1287" max="1536" width="9.109375" style="427"/>
    <col min="1537" max="1537" width="23.33203125" style="427" customWidth="1"/>
    <col min="1538" max="1538" width="11.109375" style="427" customWidth="1"/>
    <col min="1539" max="1539" width="12.109375" style="427" customWidth="1"/>
    <col min="1540" max="1540" width="14.5546875" style="427" customWidth="1"/>
    <col min="1541" max="1541" width="9.109375" style="427"/>
    <col min="1542" max="1542" width="9.6640625" style="427" bestFit="1" customWidth="1"/>
    <col min="1543" max="1792" width="9.109375" style="427"/>
    <col min="1793" max="1793" width="23.33203125" style="427" customWidth="1"/>
    <col min="1794" max="1794" width="11.109375" style="427" customWidth="1"/>
    <col min="1795" max="1795" width="12.109375" style="427" customWidth="1"/>
    <col min="1796" max="1796" width="14.5546875" style="427" customWidth="1"/>
    <col min="1797" max="1797" width="9.109375" style="427"/>
    <col min="1798" max="1798" width="9.6640625" style="427" bestFit="1" customWidth="1"/>
    <col min="1799" max="2048" width="9.109375" style="427"/>
    <col min="2049" max="2049" width="23.33203125" style="427" customWidth="1"/>
    <col min="2050" max="2050" width="11.109375" style="427" customWidth="1"/>
    <col min="2051" max="2051" width="12.109375" style="427" customWidth="1"/>
    <col min="2052" max="2052" width="14.5546875" style="427" customWidth="1"/>
    <col min="2053" max="2053" width="9.109375" style="427"/>
    <col min="2054" max="2054" width="9.6640625" style="427" bestFit="1" customWidth="1"/>
    <col min="2055" max="2304" width="9.109375" style="427"/>
    <col min="2305" max="2305" width="23.33203125" style="427" customWidth="1"/>
    <col min="2306" max="2306" width="11.109375" style="427" customWidth="1"/>
    <col min="2307" max="2307" width="12.109375" style="427" customWidth="1"/>
    <col min="2308" max="2308" width="14.5546875" style="427" customWidth="1"/>
    <col min="2309" max="2309" width="9.109375" style="427"/>
    <col min="2310" max="2310" width="9.6640625" style="427" bestFit="1" customWidth="1"/>
    <col min="2311" max="2560" width="9.109375" style="427"/>
    <col min="2561" max="2561" width="23.33203125" style="427" customWidth="1"/>
    <col min="2562" max="2562" width="11.109375" style="427" customWidth="1"/>
    <col min="2563" max="2563" width="12.109375" style="427" customWidth="1"/>
    <col min="2564" max="2564" width="14.5546875" style="427" customWidth="1"/>
    <col min="2565" max="2565" width="9.109375" style="427"/>
    <col min="2566" max="2566" width="9.6640625" style="427" bestFit="1" customWidth="1"/>
    <col min="2567" max="2816" width="9.109375" style="427"/>
    <col min="2817" max="2817" width="23.33203125" style="427" customWidth="1"/>
    <col min="2818" max="2818" width="11.109375" style="427" customWidth="1"/>
    <col min="2819" max="2819" width="12.109375" style="427" customWidth="1"/>
    <col min="2820" max="2820" width="14.5546875" style="427" customWidth="1"/>
    <col min="2821" max="2821" width="9.109375" style="427"/>
    <col min="2822" max="2822" width="9.6640625" style="427" bestFit="1" customWidth="1"/>
    <col min="2823" max="3072" width="9.109375" style="427"/>
    <col min="3073" max="3073" width="23.33203125" style="427" customWidth="1"/>
    <col min="3074" max="3074" width="11.109375" style="427" customWidth="1"/>
    <col min="3075" max="3075" width="12.109375" style="427" customWidth="1"/>
    <col min="3076" max="3076" width="14.5546875" style="427" customWidth="1"/>
    <col min="3077" max="3077" width="9.109375" style="427"/>
    <col min="3078" max="3078" width="9.6640625" style="427" bestFit="1" customWidth="1"/>
    <col min="3079" max="3328" width="9.109375" style="427"/>
    <col min="3329" max="3329" width="23.33203125" style="427" customWidth="1"/>
    <col min="3330" max="3330" width="11.109375" style="427" customWidth="1"/>
    <col min="3331" max="3331" width="12.109375" style="427" customWidth="1"/>
    <col min="3332" max="3332" width="14.5546875" style="427" customWidth="1"/>
    <col min="3333" max="3333" width="9.109375" style="427"/>
    <col min="3334" max="3334" width="9.6640625" style="427" bestFit="1" customWidth="1"/>
    <col min="3335" max="3584" width="9.109375" style="427"/>
    <col min="3585" max="3585" width="23.33203125" style="427" customWidth="1"/>
    <col min="3586" max="3586" width="11.109375" style="427" customWidth="1"/>
    <col min="3587" max="3587" width="12.109375" style="427" customWidth="1"/>
    <col min="3588" max="3588" width="14.5546875" style="427" customWidth="1"/>
    <col min="3589" max="3589" width="9.109375" style="427"/>
    <col min="3590" max="3590" width="9.6640625" style="427" bestFit="1" customWidth="1"/>
    <col min="3591" max="3840" width="9.109375" style="427"/>
    <col min="3841" max="3841" width="23.33203125" style="427" customWidth="1"/>
    <col min="3842" max="3842" width="11.109375" style="427" customWidth="1"/>
    <col min="3843" max="3843" width="12.109375" style="427" customWidth="1"/>
    <col min="3844" max="3844" width="14.5546875" style="427" customWidth="1"/>
    <col min="3845" max="3845" width="9.109375" style="427"/>
    <col min="3846" max="3846" width="9.6640625" style="427" bestFit="1" customWidth="1"/>
    <col min="3847" max="4096" width="9.109375" style="427"/>
    <col min="4097" max="4097" width="23.33203125" style="427" customWidth="1"/>
    <col min="4098" max="4098" width="11.109375" style="427" customWidth="1"/>
    <col min="4099" max="4099" width="12.109375" style="427" customWidth="1"/>
    <col min="4100" max="4100" width="14.5546875" style="427" customWidth="1"/>
    <col min="4101" max="4101" width="9.109375" style="427"/>
    <col min="4102" max="4102" width="9.6640625" style="427" bestFit="1" customWidth="1"/>
    <col min="4103" max="4352" width="9.109375" style="427"/>
    <col min="4353" max="4353" width="23.33203125" style="427" customWidth="1"/>
    <col min="4354" max="4354" width="11.109375" style="427" customWidth="1"/>
    <col min="4355" max="4355" width="12.109375" style="427" customWidth="1"/>
    <col min="4356" max="4356" width="14.5546875" style="427" customWidth="1"/>
    <col min="4357" max="4357" width="9.109375" style="427"/>
    <col min="4358" max="4358" width="9.6640625" style="427" bestFit="1" customWidth="1"/>
    <col min="4359" max="4608" width="9.109375" style="427"/>
    <col min="4609" max="4609" width="23.33203125" style="427" customWidth="1"/>
    <col min="4610" max="4610" width="11.109375" style="427" customWidth="1"/>
    <col min="4611" max="4611" width="12.109375" style="427" customWidth="1"/>
    <col min="4612" max="4612" width="14.5546875" style="427" customWidth="1"/>
    <col min="4613" max="4613" width="9.109375" style="427"/>
    <col min="4614" max="4614" width="9.6640625" style="427" bestFit="1" customWidth="1"/>
    <col min="4615" max="4864" width="9.109375" style="427"/>
    <col min="4865" max="4865" width="23.33203125" style="427" customWidth="1"/>
    <col min="4866" max="4866" width="11.109375" style="427" customWidth="1"/>
    <col min="4867" max="4867" width="12.109375" style="427" customWidth="1"/>
    <col min="4868" max="4868" width="14.5546875" style="427" customWidth="1"/>
    <col min="4869" max="4869" width="9.109375" style="427"/>
    <col min="4870" max="4870" width="9.6640625" style="427" bestFit="1" customWidth="1"/>
    <col min="4871" max="5120" width="9.109375" style="427"/>
    <col min="5121" max="5121" width="23.33203125" style="427" customWidth="1"/>
    <col min="5122" max="5122" width="11.109375" style="427" customWidth="1"/>
    <col min="5123" max="5123" width="12.109375" style="427" customWidth="1"/>
    <col min="5124" max="5124" width="14.5546875" style="427" customWidth="1"/>
    <col min="5125" max="5125" width="9.109375" style="427"/>
    <col min="5126" max="5126" width="9.6640625" style="427" bestFit="1" customWidth="1"/>
    <col min="5127" max="5376" width="9.109375" style="427"/>
    <col min="5377" max="5377" width="23.33203125" style="427" customWidth="1"/>
    <col min="5378" max="5378" width="11.109375" style="427" customWidth="1"/>
    <col min="5379" max="5379" width="12.109375" style="427" customWidth="1"/>
    <col min="5380" max="5380" width="14.5546875" style="427" customWidth="1"/>
    <col min="5381" max="5381" width="9.109375" style="427"/>
    <col min="5382" max="5382" width="9.6640625" style="427" bestFit="1" customWidth="1"/>
    <col min="5383" max="5632" width="9.109375" style="427"/>
    <col min="5633" max="5633" width="23.33203125" style="427" customWidth="1"/>
    <col min="5634" max="5634" width="11.109375" style="427" customWidth="1"/>
    <col min="5635" max="5635" width="12.109375" style="427" customWidth="1"/>
    <col min="5636" max="5636" width="14.5546875" style="427" customWidth="1"/>
    <col min="5637" max="5637" width="9.109375" style="427"/>
    <col min="5638" max="5638" width="9.6640625" style="427" bestFit="1" customWidth="1"/>
    <col min="5639" max="5888" width="9.109375" style="427"/>
    <col min="5889" max="5889" width="23.33203125" style="427" customWidth="1"/>
    <col min="5890" max="5890" width="11.109375" style="427" customWidth="1"/>
    <col min="5891" max="5891" width="12.109375" style="427" customWidth="1"/>
    <col min="5892" max="5892" width="14.5546875" style="427" customWidth="1"/>
    <col min="5893" max="5893" width="9.109375" style="427"/>
    <col min="5894" max="5894" width="9.6640625" style="427" bestFit="1" customWidth="1"/>
    <col min="5895" max="6144" width="9.109375" style="427"/>
    <col min="6145" max="6145" width="23.33203125" style="427" customWidth="1"/>
    <col min="6146" max="6146" width="11.109375" style="427" customWidth="1"/>
    <col min="6147" max="6147" width="12.109375" style="427" customWidth="1"/>
    <col min="6148" max="6148" width="14.5546875" style="427" customWidth="1"/>
    <col min="6149" max="6149" width="9.109375" style="427"/>
    <col min="6150" max="6150" width="9.6640625" style="427" bestFit="1" customWidth="1"/>
    <col min="6151" max="6400" width="9.109375" style="427"/>
    <col min="6401" max="6401" width="23.33203125" style="427" customWidth="1"/>
    <col min="6402" max="6402" width="11.109375" style="427" customWidth="1"/>
    <col min="6403" max="6403" width="12.109375" style="427" customWidth="1"/>
    <col min="6404" max="6404" width="14.5546875" style="427" customWidth="1"/>
    <col min="6405" max="6405" width="9.109375" style="427"/>
    <col min="6406" max="6406" width="9.6640625" style="427" bestFit="1" customWidth="1"/>
    <col min="6407" max="6656" width="9.109375" style="427"/>
    <col min="6657" max="6657" width="23.33203125" style="427" customWidth="1"/>
    <col min="6658" max="6658" width="11.109375" style="427" customWidth="1"/>
    <col min="6659" max="6659" width="12.109375" style="427" customWidth="1"/>
    <col min="6660" max="6660" width="14.5546875" style="427" customWidth="1"/>
    <col min="6661" max="6661" width="9.109375" style="427"/>
    <col min="6662" max="6662" width="9.6640625" style="427" bestFit="1" customWidth="1"/>
    <col min="6663" max="6912" width="9.109375" style="427"/>
    <col min="6913" max="6913" width="23.33203125" style="427" customWidth="1"/>
    <col min="6914" max="6914" width="11.109375" style="427" customWidth="1"/>
    <col min="6915" max="6915" width="12.109375" style="427" customWidth="1"/>
    <col min="6916" max="6916" width="14.5546875" style="427" customWidth="1"/>
    <col min="6917" max="6917" width="9.109375" style="427"/>
    <col min="6918" max="6918" width="9.6640625" style="427" bestFit="1" customWidth="1"/>
    <col min="6919" max="7168" width="9.109375" style="427"/>
    <col min="7169" max="7169" width="23.33203125" style="427" customWidth="1"/>
    <col min="7170" max="7170" width="11.109375" style="427" customWidth="1"/>
    <col min="7171" max="7171" width="12.109375" style="427" customWidth="1"/>
    <col min="7172" max="7172" width="14.5546875" style="427" customWidth="1"/>
    <col min="7173" max="7173" width="9.109375" style="427"/>
    <col min="7174" max="7174" width="9.6640625" style="427" bestFit="1" customWidth="1"/>
    <col min="7175" max="7424" width="9.109375" style="427"/>
    <col min="7425" max="7425" width="23.33203125" style="427" customWidth="1"/>
    <col min="7426" max="7426" width="11.109375" style="427" customWidth="1"/>
    <col min="7427" max="7427" width="12.109375" style="427" customWidth="1"/>
    <col min="7428" max="7428" width="14.5546875" style="427" customWidth="1"/>
    <col min="7429" max="7429" width="9.109375" style="427"/>
    <col min="7430" max="7430" width="9.6640625" style="427" bestFit="1" customWidth="1"/>
    <col min="7431" max="7680" width="9.109375" style="427"/>
    <col min="7681" max="7681" width="23.33203125" style="427" customWidth="1"/>
    <col min="7682" max="7682" width="11.109375" style="427" customWidth="1"/>
    <col min="7683" max="7683" width="12.109375" style="427" customWidth="1"/>
    <col min="7684" max="7684" width="14.5546875" style="427" customWidth="1"/>
    <col min="7685" max="7685" width="9.109375" style="427"/>
    <col min="7686" max="7686" width="9.6640625" style="427" bestFit="1" customWidth="1"/>
    <col min="7687" max="7936" width="9.109375" style="427"/>
    <col min="7937" max="7937" width="23.33203125" style="427" customWidth="1"/>
    <col min="7938" max="7938" width="11.109375" style="427" customWidth="1"/>
    <col min="7939" max="7939" width="12.109375" style="427" customWidth="1"/>
    <col min="7940" max="7940" width="14.5546875" style="427" customWidth="1"/>
    <col min="7941" max="7941" width="9.109375" style="427"/>
    <col min="7942" max="7942" width="9.6640625" style="427" bestFit="1" customWidth="1"/>
    <col min="7943" max="8192" width="9.109375" style="427"/>
    <col min="8193" max="8193" width="23.33203125" style="427" customWidth="1"/>
    <col min="8194" max="8194" width="11.109375" style="427" customWidth="1"/>
    <col min="8195" max="8195" width="12.109375" style="427" customWidth="1"/>
    <col min="8196" max="8196" width="14.5546875" style="427" customWidth="1"/>
    <col min="8197" max="8197" width="9.109375" style="427"/>
    <col min="8198" max="8198" width="9.6640625" style="427" bestFit="1" customWidth="1"/>
    <col min="8199" max="8448" width="9.109375" style="427"/>
    <col min="8449" max="8449" width="23.33203125" style="427" customWidth="1"/>
    <col min="8450" max="8450" width="11.109375" style="427" customWidth="1"/>
    <col min="8451" max="8451" width="12.109375" style="427" customWidth="1"/>
    <col min="8452" max="8452" width="14.5546875" style="427" customWidth="1"/>
    <col min="8453" max="8453" width="9.109375" style="427"/>
    <col min="8454" max="8454" width="9.6640625" style="427" bestFit="1" customWidth="1"/>
    <col min="8455" max="8704" width="9.109375" style="427"/>
    <col min="8705" max="8705" width="23.33203125" style="427" customWidth="1"/>
    <col min="8706" max="8706" width="11.109375" style="427" customWidth="1"/>
    <col min="8707" max="8707" width="12.109375" style="427" customWidth="1"/>
    <col min="8708" max="8708" width="14.5546875" style="427" customWidth="1"/>
    <col min="8709" max="8709" width="9.109375" style="427"/>
    <col min="8710" max="8710" width="9.6640625" style="427" bestFit="1" customWidth="1"/>
    <col min="8711" max="8960" width="9.109375" style="427"/>
    <col min="8961" max="8961" width="23.33203125" style="427" customWidth="1"/>
    <col min="8962" max="8962" width="11.109375" style="427" customWidth="1"/>
    <col min="8963" max="8963" width="12.109375" style="427" customWidth="1"/>
    <col min="8964" max="8964" width="14.5546875" style="427" customWidth="1"/>
    <col min="8965" max="8965" width="9.109375" style="427"/>
    <col min="8966" max="8966" width="9.6640625" style="427" bestFit="1" customWidth="1"/>
    <col min="8967" max="9216" width="9.109375" style="427"/>
    <col min="9217" max="9217" width="23.33203125" style="427" customWidth="1"/>
    <col min="9218" max="9218" width="11.109375" style="427" customWidth="1"/>
    <col min="9219" max="9219" width="12.109375" style="427" customWidth="1"/>
    <col min="9220" max="9220" width="14.5546875" style="427" customWidth="1"/>
    <col min="9221" max="9221" width="9.109375" style="427"/>
    <col min="9222" max="9222" width="9.6640625" style="427" bestFit="1" customWidth="1"/>
    <col min="9223" max="9472" width="9.109375" style="427"/>
    <col min="9473" max="9473" width="23.33203125" style="427" customWidth="1"/>
    <col min="9474" max="9474" width="11.109375" style="427" customWidth="1"/>
    <col min="9475" max="9475" width="12.109375" style="427" customWidth="1"/>
    <col min="9476" max="9476" width="14.5546875" style="427" customWidth="1"/>
    <col min="9477" max="9477" width="9.109375" style="427"/>
    <col min="9478" max="9478" width="9.6640625" style="427" bestFit="1" customWidth="1"/>
    <col min="9479" max="9728" width="9.109375" style="427"/>
    <col min="9729" max="9729" width="23.33203125" style="427" customWidth="1"/>
    <col min="9730" max="9730" width="11.109375" style="427" customWidth="1"/>
    <col min="9731" max="9731" width="12.109375" style="427" customWidth="1"/>
    <col min="9732" max="9732" width="14.5546875" style="427" customWidth="1"/>
    <col min="9733" max="9733" width="9.109375" style="427"/>
    <col min="9734" max="9734" width="9.6640625" style="427" bestFit="1" customWidth="1"/>
    <col min="9735" max="9984" width="9.109375" style="427"/>
    <col min="9985" max="9985" width="23.33203125" style="427" customWidth="1"/>
    <col min="9986" max="9986" width="11.109375" style="427" customWidth="1"/>
    <col min="9987" max="9987" width="12.109375" style="427" customWidth="1"/>
    <col min="9988" max="9988" width="14.5546875" style="427" customWidth="1"/>
    <col min="9989" max="9989" width="9.109375" style="427"/>
    <col min="9990" max="9990" width="9.6640625" style="427" bestFit="1" customWidth="1"/>
    <col min="9991" max="10240" width="9.109375" style="427"/>
    <col min="10241" max="10241" width="23.33203125" style="427" customWidth="1"/>
    <col min="10242" max="10242" width="11.109375" style="427" customWidth="1"/>
    <col min="10243" max="10243" width="12.109375" style="427" customWidth="1"/>
    <col min="10244" max="10244" width="14.5546875" style="427" customWidth="1"/>
    <col min="10245" max="10245" width="9.109375" style="427"/>
    <col min="10246" max="10246" width="9.6640625" style="427" bestFit="1" customWidth="1"/>
    <col min="10247" max="10496" width="9.109375" style="427"/>
    <col min="10497" max="10497" width="23.33203125" style="427" customWidth="1"/>
    <col min="10498" max="10498" width="11.109375" style="427" customWidth="1"/>
    <col min="10499" max="10499" width="12.109375" style="427" customWidth="1"/>
    <col min="10500" max="10500" width="14.5546875" style="427" customWidth="1"/>
    <col min="10501" max="10501" width="9.109375" style="427"/>
    <col min="10502" max="10502" width="9.6640625" style="427" bestFit="1" customWidth="1"/>
    <col min="10503" max="10752" width="9.109375" style="427"/>
    <col min="10753" max="10753" width="23.33203125" style="427" customWidth="1"/>
    <col min="10754" max="10754" width="11.109375" style="427" customWidth="1"/>
    <col min="10755" max="10755" width="12.109375" style="427" customWidth="1"/>
    <col min="10756" max="10756" width="14.5546875" style="427" customWidth="1"/>
    <col min="10757" max="10757" width="9.109375" style="427"/>
    <col min="10758" max="10758" width="9.6640625" style="427" bestFit="1" customWidth="1"/>
    <col min="10759" max="11008" width="9.109375" style="427"/>
    <col min="11009" max="11009" width="23.33203125" style="427" customWidth="1"/>
    <col min="11010" max="11010" width="11.109375" style="427" customWidth="1"/>
    <col min="11011" max="11011" width="12.109375" style="427" customWidth="1"/>
    <col min="11012" max="11012" width="14.5546875" style="427" customWidth="1"/>
    <col min="11013" max="11013" width="9.109375" style="427"/>
    <col min="11014" max="11014" width="9.6640625" style="427" bestFit="1" customWidth="1"/>
    <col min="11015" max="11264" width="9.109375" style="427"/>
    <col min="11265" max="11265" width="23.33203125" style="427" customWidth="1"/>
    <col min="11266" max="11266" width="11.109375" style="427" customWidth="1"/>
    <col min="11267" max="11267" width="12.109375" style="427" customWidth="1"/>
    <col min="11268" max="11268" width="14.5546875" style="427" customWidth="1"/>
    <col min="11269" max="11269" width="9.109375" style="427"/>
    <col min="11270" max="11270" width="9.6640625" style="427" bestFit="1" customWidth="1"/>
    <col min="11271" max="11520" width="9.109375" style="427"/>
    <col min="11521" max="11521" width="23.33203125" style="427" customWidth="1"/>
    <col min="11522" max="11522" width="11.109375" style="427" customWidth="1"/>
    <col min="11523" max="11523" width="12.109375" style="427" customWidth="1"/>
    <col min="11524" max="11524" width="14.5546875" style="427" customWidth="1"/>
    <col min="11525" max="11525" width="9.109375" style="427"/>
    <col min="11526" max="11526" width="9.6640625" style="427" bestFit="1" customWidth="1"/>
    <col min="11527" max="11776" width="9.109375" style="427"/>
    <col min="11777" max="11777" width="23.33203125" style="427" customWidth="1"/>
    <col min="11778" max="11778" width="11.109375" style="427" customWidth="1"/>
    <col min="11779" max="11779" width="12.109375" style="427" customWidth="1"/>
    <col min="11780" max="11780" width="14.5546875" style="427" customWidth="1"/>
    <col min="11781" max="11781" width="9.109375" style="427"/>
    <col min="11782" max="11782" width="9.6640625" style="427" bestFit="1" customWidth="1"/>
    <col min="11783" max="12032" width="9.109375" style="427"/>
    <col min="12033" max="12033" width="23.33203125" style="427" customWidth="1"/>
    <col min="12034" max="12034" width="11.109375" style="427" customWidth="1"/>
    <col min="12035" max="12035" width="12.109375" style="427" customWidth="1"/>
    <col min="12036" max="12036" width="14.5546875" style="427" customWidth="1"/>
    <col min="12037" max="12037" width="9.109375" style="427"/>
    <col min="12038" max="12038" width="9.6640625" style="427" bestFit="1" customWidth="1"/>
    <col min="12039" max="12288" width="9.109375" style="427"/>
    <col min="12289" max="12289" width="23.33203125" style="427" customWidth="1"/>
    <col min="12290" max="12290" width="11.109375" style="427" customWidth="1"/>
    <col min="12291" max="12291" width="12.109375" style="427" customWidth="1"/>
    <col min="12292" max="12292" width="14.5546875" style="427" customWidth="1"/>
    <col min="12293" max="12293" width="9.109375" style="427"/>
    <col min="12294" max="12294" width="9.6640625" style="427" bestFit="1" customWidth="1"/>
    <col min="12295" max="12544" width="9.109375" style="427"/>
    <col min="12545" max="12545" width="23.33203125" style="427" customWidth="1"/>
    <col min="12546" max="12546" width="11.109375" style="427" customWidth="1"/>
    <col min="12547" max="12547" width="12.109375" style="427" customWidth="1"/>
    <col min="12548" max="12548" width="14.5546875" style="427" customWidth="1"/>
    <col min="12549" max="12549" width="9.109375" style="427"/>
    <col min="12550" max="12550" width="9.6640625" style="427" bestFit="1" customWidth="1"/>
    <col min="12551" max="12800" width="9.109375" style="427"/>
    <col min="12801" max="12801" width="23.33203125" style="427" customWidth="1"/>
    <col min="12802" max="12802" width="11.109375" style="427" customWidth="1"/>
    <col min="12803" max="12803" width="12.109375" style="427" customWidth="1"/>
    <col min="12804" max="12804" width="14.5546875" style="427" customWidth="1"/>
    <col min="12805" max="12805" width="9.109375" style="427"/>
    <col min="12806" max="12806" width="9.6640625" style="427" bestFit="1" customWidth="1"/>
    <col min="12807" max="13056" width="9.109375" style="427"/>
    <col min="13057" max="13057" width="23.33203125" style="427" customWidth="1"/>
    <col min="13058" max="13058" width="11.109375" style="427" customWidth="1"/>
    <col min="13059" max="13059" width="12.109375" style="427" customWidth="1"/>
    <col min="13060" max="13060" width="14.5546875" style="427" customWidth="1"/>
    <col min="13061" max="13061" width="9.109375" style="427"/>
    <col min="13062" max="13062" width="9.6640625" style="427" bestFit="1" customWidth="1"/>
    <col min="13063" max="13312" width="9.109375" style="427"/>
    <col min="13313" max="13313" width="23.33203125" style="427" customWidth="1"/>
    <col min="13314" max="13314" width="11.109375" style="427" customWidth="1"/>
    <col min="13315" max="13315" width="12.109375" style="427" customWidth="1"/>
    <col min="13316" max="13316" width="14.5546875" style="427" customWidth="1"/>
    <col min="13317" max="13317" width="9.109375" style="427"/>
    <col min="13318" max="13318" width="9.6640625" style="427" bestFit="1" customWidth="1"/>
    <col min="13319" max="13568" width="9.109375" style="427"/>
    <col min="13569" max="13569" width="23.33203125" style="427" customWidth="1"/>
    <col min="13570" max="13570" width="11.109375" style="427" customWidth="1"/>
    <col min="13571" max="13571" width="12.109375" style="427" customWidth="1"/>
    <col min="13572" max="13572" width="14.5546875" style="427" customWidth="1"/>
    <col min="13573" max="13573" width="9.109375" style="427"/>
    <col min="13574" max="13574" width="9.6640625" style="427" bestFit="1" customWidth="1"/>
    <col min="13575" max="13824" width="9.109375" style="427"/>
    <col min="13825" max="13825" width="23.33203125" style="427" customWidth="1"/>
    <col min="13826" max="13826" width="11.109375" style="427" customWidth="1"/>
    <col min="13827" max="13827" width="12.109375" style="427" customWidth="1"/>
    <col min="13828" max="13828" width="14.5546875" style="427" customWidth="1"/>
    <col min="13829" max="13829" width="9.109375" style="427"/>
    <col min="13830" max="13830" width="9.6640625" style="427" bestFit="1" customWidth="1"/>
    <col min="13831" max="14080" width="9.109375" style="427"/>
    <col min="14081" max="14081" width="23.33203125" style="427" customWidth="1"/>
    <col min="14082" max="14082" width="11.109375" style="427" customWidth="1"/>
    <col min="14083" max="14083" width="12.109375" style="427" customWidth="1"/>
    <col min="14084" max="14084" width="14.5546875" style="427" customWidth="1"/>
    <col min="14085" max="14085" width="9.109375" style="427"/>
    <col min="14086" max="14086" width="9.6640625" style="427" bestFit="1" customWidth="1"/>
    <col min="14087" max="14336" width="9.109375" style="427"/>
    <col min="14337" max="14337" width="23.33203125" style="427" customWidth="1"/>
    <col min="14338" max="14338" width="11.109375" style="427" customWidth="1"/>
    <col min="14339" max="14339" width="12.109375" style="427" customWidth="1"/>
    <col min="14340" max="14340" width="14.5546875" style="427" customWidth="1"/>
    <col min="14341" max="14341" width="9.109375" style="427"/>
    <col min="14342" max="14342" width="9.6640625" style="427" bestFit="1" customWidth="1"/>
    <col min="14343" max="14592" width="9.109375" style="427"/>
    <col min="14593" max="14593" width="23.33203125" style="427" customWidth="1"/>
    <col min="14594" max="14594" width="11.109375" style="427" customWidth="1"/>
    <col min="14595" max="14595" width="12.109375" style="427" customWidth="1"/>
    <col min="14596" max="14596" width="14.5546875" style="427" customWidth="1"/>
    <col min="14597" max="14597" width="9.109375" style="427"/>
    <col min="14598" max="14598" width="9.6640625" style="427" bestFit="1" customWidth="1"/>
    <col min="14599" max="14848" width="9.109375" style="427"/>
    <col min="14849" max="14849" width="23.33203125" style="427" customWidth="1"/>
    <col min="14850" max="14850" width="11.109375" style="427" customWidth="1"/>
    <col min="14851" max="14851" width="12.109375" style="427" customWidth="1"/>
    <col min="14852" max="14852" width="14.5546875" style="427" customWidth="1"/>
    <col min="14853" max="14853" width="9.109375" style="427"/>
    <col min="14854" max="14854" width="9.6640625" style="427" bestFit="1" customWidth="1"/>
    <col min="14855" max="15104" width="9.109375" style="427"/>
    <col min="15105" max="15105" width="23.33203125" style="427" customWidth="1"/>
    <col min="15106" max="15106" width="11.109375" style="427" customWidth="1"/>
    <col min="15107" max="15107" width="12.109375" style="427" customWidth="1"/>
    <col min="15108" max="15108" width="14.5546875" style="427" customWidth="1"/>
    <col min="15109" max="15109" width="9.109375" style="427"/>
    <col min="15110" max="15110" width="9.6640625" style="427" bestFit="1" customWidth="1"/>
    <col min="15111" max="15360" width="9.109375" style="427"/>
    <col min="15361" max="15361" width="23.33203125" style="427" customWidth="1"/>
    <col min="15362" max="15362" width="11.109375" style="427" customWidth="1"/>
    <col min="15363" max="15363" width="12.109375" style="427" customWidth="1"/>
    <col min="15364" max="15364" width="14.5546875" style="427" customWidth="1"/>
    <col min="15365" max="15365" width="9.109375" style="427"/>
    <col min="15366" max="15366" width="9.6640625" style="427" bestFit="1" customWidth="1"/>
    <col min="15367" max="15616" width="9.109375" style="427"/>
    <col min="15617" max="15617" width="23.33203125" style="427" customWidth="1"/>
    <col min="15618" max="15618" width="11.109375" style="427" customWidth="1"/>
    <col min="15619" max="15619" width="12.109375" style="427" customWidth="1"/>
    <col min="15620" max="15620" width="14.5546875" style="427" customWidth="1"/>
    <col min="15621" max="15621" width="9.109375" style="427"/>
    <col min="15622" max="15622" width="9.6640625" style="427" bestFit="1" customWidth="1"/>
    <col min="15623" max="15872" width="9.109375" style="427"/>
    <col min="15873" max="15873" width="23.33203125" style="427" customWidth="1"/>
    <col min="15874" max="15874" width="11.109375" style="427" customWidth="1"/>
    <col min="15875" max="15875" width="12.109375" style="427" customWidth="1"/>
    <col min="15876" max="15876" width="14.5546875" style="427" customWidth="1"/>
    <col min="15877" max="15877" width="9.109375" style="427"/>
    <col min="15878" max="15878" width="9.6640625" style="427" bestFit="1" customWidth="1"/>
    <col min="15879" max="16128" width="9.109375" style="427"/>
    <col min="16129" max="16129" width="23.33203125" style="427" customWidth="1"/>
    <col min="16130" max="16130" width="11.109375" style="427" customWidth="1"/>
    <col min="16131" max="16131" width="12.109375" style="427" customWidth="1"/>
    <col min="16132" max="16132" width="14.5546875" style="427" customWidth="1"/>
    <col min="16133" max="16133" width="9.109375" style="427"/>
    <col min="16134" max="16134" width="9.6640625" style="427" bestFit="1" customWidth="1"/>
    <col min="16135" max="16384" width="9.109375" style="427"/>
  </cols>
  <sheetData>
    <row r="1" spans="1:8">
      <c r="A1" s="470" t="s">
        <v>341</v>
      </c>
      <c r="B1"/>
      <c r="C1"/>
      <c r="D1"/>
      <c r="E1"/>
      <c r="F1"/>
    </row>
    <row r="2" spans="1:8">
      <c r="A2" s="932" t="s">
        <v>882</v>
      </c>
      <c r="B2"/>
      <c r="C2"/>
      <c r="D2"/>
      <c r="E2"/>
      <c r="F2"/>
    </row>
    <row r="3" spans="1:8">
      <c r="A3" s="933" t="s">
        <v>759</v>
      </c>
      <c r="B3"/>
      <c r="C3"/>
      <c r="D3"/>
      <c r="E3"/>
      <c r="F3"/>
      <c r="H3" s="437"/>
    </row>
    <row r="4" spans="1:8">
      <c r="A4"/>
      <c r="B4"/>
      <c r="C4"/>
      <c r="D4"/>
      <c r="E4"/>
      <c r="F4"/>
      <c r="H4" s="437"/>
    </row>
    <row r="5" spans="1:8">
      <c r="A5"/>
      <c r="B5"/>
      <c r="C5"/>
      <c r="D5"/>
      <c r="E5"/>
      <c r="F5"/>
      <c r="H5" s="437"/>
    </row>
    <row r="6" spans="1:8">
      <c r="A6"/>
      <c r="B6"/>
      <c r="C6"/>
      <c r="D6"/>
      <c r="E6"/>
      <c r="F6"/>
      <c r="H6" s="437"/>
    </row>
    <row r="7" spans="1:8">
      <c r="A7"/>
      <c r="B7" s="421" t="s">
        <v>334</v>
      </c>
      <c r="C7" s="421" t="s">
        <v>594</v>
      </c>
      <c r="D7" s="421" t="s">
        <v>595</v>
      </c>
      <c r="E7"/>
      <c r="F7" s="421" t="s">
        <v>596</v>
      </c>
      <c r="H7" s="437"/>
    </row>
    <row r="8" spans="1:8">
      <c r="A8" t="s">
        <v>597</v>
      </c>
      <c r="B8"/>
      <c r="C8"/>
      <c r="D8"/>
      <c r="E8"/>
      <c r="F8"/>
    </row>
    <row r="9" spans="1:8">
      <c r="A9"/>
      <c r="B9"/>
      <c r="C9"/>
      <c r="D9"/>
      <c r="E9"/>
      <c r="F9"/>
    </row>
    <row r="10" spans="1:8">
      <c r="A10" t="s">
        <v>598</v>
      </c>
      <c r="B10">
        <v>0</v>
      </c>
      <c r="C10" s="445">
        <f>F10/12*E10</f>
        <v>715791</v>
      </c>
      <c r="D10"/>
      <c r="E10">
        <v>12</v>
      </c>
      <c r="F10" s="531">
        <v>715791</v>
      </c>
    </row>
    <row r="11" spans="1:8">
      <c r="A11"/>
      <c r="B11"/>
      <c r="C11"/>
      <c r="D11"/>
      <c r="E11"/>
      <c r="F11" s="422"/>
    </row>
    <row r="12" spans="1:8">
      <c r="A12" s="423" t="s">
        <v>879</v>
      </c>
      <c r="B12"/>
      <c r="C12"/>
      <c r="D12" s="530">
        <f>+F12/12*E12</f>
        <v>9660</v>
      </c>
      <c r="E12">
        <f>+E10</f>
        <v>12</v>
      </c>
      <c r="F12" s="529">
        <v>9660</v>
      </c>
    </row>
    <row r="13" spans="1:8">
      <c r="A13"/>
      <c r="B13"/>
      <c r="C13"/>
      <c r="D13"/>
      <c r="E13"/>
      <c r="F13"/>
    </row>
    <row r="14" spans="1:8">
      <c r="A14"/>
      <c r="B14"/>
      <c r="C14" s="528">
        <f>SUM(C10:C13)</f>
        <v>715791</v>
      </c>
      <c r="D14" s="528">
        <f>SUM(D10:D13)</f>
        <v>9660</v>
      </c>
      <c r="E14"/>
      <c r="F14"/>
    </row>
    <row r="15" spans="1:8">
      <c r="A15" t="s">
        <v>599</v>
      </c>
      <c r="B15"/>
      <c r="C15" s="555">
        <v>0.36829280041602058</v>
      </c>
      <c r="D15" s="555">
        <v>4.4879451649316504E-2</v>
      </c>
      <c r="E15"/>
      <c r="F15"/>
    </row>
    <row r="16" spans="1:8">
      <c r="A16"/>
      <c r="B16"/>
      <c r="C16"/>
      <c r="D16"/>
      <c r="E16"/>
      <c r="F16"/>
    </row>
    <row r="17" spans="1:6">
      <c r="A17" t="s">
        <v>334</v>
      </c>
      <c r="B17" s="554">
        <f>SUM(C17:D17)</f>
        <v>264055</v>
      </c>
      <c r="C17" s="528">
        <f>ROUND(C15*C14,0)</f>
        <v>263621</v>
      </c>
      <c r="D17" s="528">
        <f>ROUND(D15*D14,0)</f>
        <v>434</v>
      </c>
      <c r="E17"/>
      <c r="F17"/>
    </row>
    <row r="18" spans="1:6">
      <c r="A18"/>
      <c r="B18"/>
      <c r="C18"/>
      <c r="D18"/>
      <c r="E18"/>
      <c r="F18"/>
    </row>
    <row r="19" spans="1:6">
      <c r="B19" s="433"/>
    </row>
  </sheetData>
  <pageMargins left="0.75" right="0.75" top="1" bottom="1"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zoomScaleNormal="100" workbookViewId="0">
      <selection activeCell="H38" sqref="H38"/>
    </sheetView>
  </sheetViews>
  <sheetFormatPr defaultColWidth="9.109375" defaultRowHeight="13.2"/>
  <cols>
    <col min="1" max="1" width="23.88671875" style="926" customWidth="1"/>
    <col min="2" max="2" width="6" style="927" customWidth="1"/>
    <col min="3" max="3" width="18.109375" style="927" bestFit="1" customWidth="1"/>
    <col min="4" max="4" width="19.44140625" style="927" bestFit="1" customWidth="1"/>
    <col min="5" max="5" width="4.44140625" style="927" customWidth="1"/>
    <col min="6" max="6" width="17.5546875" style="927" bestFit="1" customWidth="1"/>
    <col min="7" max="7" width="4.44140625" style="927" customWidth="1"/>
    <col min="8" max="8" width="18.33203125" style="927" bestFit="1" customWidth="1"/>
    <col min="9" max="9" width="4.44140625" style="927" customWidth="1"/>
    <col min="10" max="10" width="19.33203125" style="927" bestFit="1" customWidth="1"/>
    <col min="11" max="11" width="4.44140625" style="927" customWidth="1"/>
    <col min="12" max="12" width="18.33203125" style="927" bestFit="1" customWidth="1"/>
    <col min="13" max="16384" width="9.109375" style="927"/>
  </cols>
  <sheetData>
    <row r="1" spans="1:12">
      <c r="A1" s="947" t="s">
        <v>341</v>
      </c>
    </row>
    <row r="2" spans="1:12">
      <c r="A2" s="947" t="s">
        <v>880</v>
      </c>
      <c r="K2" s="928"/>
    </row>
    <row r="3" spans="1:12">
      <c r="A3" s="947" t="s">
        <v>896</v>
      </c>
    </row>
    <row r="4" spans="1:12">
      <c r="A4" s="947"/>
    </row>
    <row r="5" spans="1:12">
      <c r="A5"/>
      <c r="B5"/>
      <c r="C5"/>
      <c r="D5"/>
      <c r="E5"/>
      <c r="F5" s="421"/>
      <c r="G5"/>
      <c r="H5"/>
      <c r="I5"/>
      <c r="J5" s="421" t="s">
        <v>897</v>
      </c>
      <c r="K5"/>
      <c r="L5" s="421"/>
    </row>
    <row r="6" spans="1:12" ht="14.4">
      <c r="A6" s="950"/>
      <c r="B6"/>
      <c r="C6" s="951" t="s">
        <v>898</v>
      </c>
      <c r="D6"/>
      <c r="E6"/>
      <c r="F6" s="951" t="s">
        <v>899</v>
      </c>
      <c r="G6"/>
      <c r="H6"/>
      <c r="I6"/>
      <c r="J6" s="951" t="s">
        <v>900</v>
      </c>
      <c r="K6" s="421"/>
      <c r="L6"/>
    </row>
    <row r="7" spans="1:12">
      <c r="A7" s="950" t="s">
        <v>901</v>
      </c>
      <c r="B7" s="950"/>
      <c r="C7" s="418">
        <v>4259130</v>
      </c>
      <c r="D7" s="418"/>
      <c r="E7"/>
      <c r="F7" s="418">
        <v>7301297</v>
      </c>
      <c r="G7"/>
      <c r="H7"/>
      <c r="I7"/>
      <c r="J7" s="419">
        <f>SUM(C7:F7)</f>
        <v>11560427</v>
      </c>
      <c r="K7" s="419"/>
      <c r="L7"/>
    </row>
    <row r="8" spans="1:12">
      <c r="A8" s="950"/>
      <c r="B8" s="950"/>
      <c r="C8" s="418"/>
      <c r="D8" s="418"/>
      <c r="E8"/>
      <c r="F8" s="418"/>
      <c r="G8"/>
      <c r="H8"/>
      <c r="I8"/>
      <c r="J8"/>
      <c r="K8"/>
      <c r="L8" s="419"/>
    </row>
    <row r="9" spans="1:12">
      <c r="A9"/>
      <c r="B9" s="950"/>
      <c r="C9" s="952" t="s">
        <v>902</v>
      </c>
      <c r="D9" s="465" t="s">
        <v>903</v>
      </c>
      <c r="E9"/>
      <c r="F9" s="953" t="s">
        <v>902</v>
      </c>
      <c r="G9"/>
      <c r="H9" s="953" t="s">
        <v>903</v>
      </c>
      <c r="I9" s="542"/>
      <c r="J9" s="953" t="s">
        <v>902</v>
      </c>
      <c r="K9" s="542"/>
      <c r="L9" s="953" t="s">
        <v>903</v>
      </c>
    </row>
    <row r="10" spans="1:12">
      <c r="A10" s="950" t="s">
        <v>904</v>
      </c>
      <c r="B10" s="950"/>
      <c r="C10" s="418">
        <f t="shared" ref="C10:C19" si="0">ROUND($C$7/10,0)</f>
        <v>425913</v>
      </c>
      <c r="D10" s="418">
        <f>C7-C10</f>
        <v>3833217</v>
      </c>
      <c r="E10"/>
      <c r="F10" s="419">
        <f>ROUND(F7/22,0)</f>
        <v>331877</v>
      </c>
      <c r="G10"/>
      <c r="H10" s="419">
        <f>F7-F10</f>
        <v>6969420</v>
      </c>
      <c r="I10" s="419"/>
      <c r="J10" s="954">
        <f t="shared" ref="J10:J31" si="1">C10+F10</f>
        <v>757790</v>
      </c>
      <c r="K10" s="419"/>
      <c r="L10" s="419">
        <f>J7-J10</f>
        <v>10802637</v>
      </c>
    </row>
    <row r="11" spans="1:12">
      <c r="A11" s="950" t="s">
        <v>905</v>
      </c>
      <c r="B11" s="950"/>
      <c r="C11" s="418">
        <f t="shared" si="0"/>
        <v>425913</v>
      </c>
      <c r="D11" s="418">
        <f t="shared" ref="D11:D19" si="2">D10-C11</f>
        <v>3407304</v>
      </c>
      <c r="E11"/>
      <c r="F11" s="419">
        <f>F10</f>
        <v>331877</v>
      </c>
      <c r="G11"/>
      <c r="H11" s="419">
        <f t="shared" ref="H11:H31" si="3">H10-F11</f>
        <v>6637543</v>
      </c>
      <c r="I11" s="419"/>
      <c r="J11" s="419">
        <f t="shared" si="1"/>
        <v>757790</v>
      </c>
      <c r="K11" s="419"/>
      <c r="L11" s="419">
        <f t="shared" ref="L11:L31" si="4">L10-J11</f>
        <v>10044847</v>
      </c>
    </row>
    <row r="12" spans="1:12">
      <c r="A12" s="950" t="s">
        <v>906</v>
      </c>
      <c r="B12" s="950"/>
      <c r="C12" s="418">
        <f t="shared" si="0"/>
        <v>425913</v>
      </c>
      <c r="D12" s="418">
        <f t="shared" si="2"/>
        <v>2981391</v>
      </c>
      <c r="E12"/>
      <c r="F12" s="419">
        <f>F11</f>
        <v>331877</v>
      </c>
      <c r="G12"/>
      <c r="H12" s="419">
        <f t="shared" si="3"/>
        <v>6305666</v>
      </c>
      <c r="I12" s="419"/>
      <c r="J12" s="419">
        <f t="shared" si="1"/>
        <v>757790</v>
      </c>
      <c r="K12" s="419"/>
      <c r="L12" s="419">
        <f t="shared" si="4"/>
        <v>9287057</v>
      </c>
    </row>
    <row r="13" spans="1:12">
      <c r="A13" s="950" t="s">
        <v>907</v>
      </c>
      <c r="B13" s="950"/>
      <c r="C13" s="418">
        <f t="shared" si="0"/>
        <v>425913</v>
      </c>
      <c r="D13" s="418">
        <f t="shared" si="2"/>
        <v>2555478</v>
      </c>
      <c r="E13"/>
      <c r="F13" s="419">
        <f t="shared" ref="F13:F30" si="5">F12</f>
        <v>331877</v>
      </c>
      <c r="G13"/>
      <c r="H13" s="419">
        <f t="shared" si="3"/>
        <v>5973789</v>
      </c>
      <c r="I13" s="419"/>
      <c r="J13" s="419">
        <f t="shared" si="1"/>
        <v>757790</v>
      </c>
      <c r="K13" s="419"/>
      <c r="L13" s="419">
        <f t="shared" si="4"/>
        <v>8529267</v>
      </c>
    </row>
    <row r="14" spans="1:12">
      <c r="A14" s="950" t="s">
        <v>908</v>
      </c>
      <c r="B14" s="950"/>
      <c r="C14" s="418">
        <f t="shared" si="0"/>
        <v>425913</v>
      </c>
      <c r="D14" s="418">
        <f t="shared" si="2"/>
        <v>2129565</v>
      </c>
      <c r="E14"/>
      <c r="F14" s="419">
        <f t="shared" si="5"/>
        <v>331877</v>
      </c>
      <c r="G14"/>
      <c r="H14" s="419">
        <f t="shared" si="3"/>
        <v>5641912</v>
      </c>
      <c r="I14" s="419"/>
      <c r="J14" s="419">
        <f t="shared" si="1"/>
        <v>757790</v>
      </c>
      <c r="K14" s="419"/>
      <c r="L14" s="419">
        <f t="shared" si="4"/>
        <v>7771477</v>
      </c>
    </row>
    <row r="15" spans="1:12">
      <c r="A15" s="950" t="s">
        <v>909</v>
      </c>
      <c r="B15" s="950"/>
      <c r="C15" s="418">
        <f t="shared" si="0"/>
        <v>425913</v>
      </c>
      <c r="D15" s="418">
        <f t="shared" si="2"/>
        <v>1703652</v>
      </c>
      <c r="E15"/>
      <c r="F15" s="419">
        <f t="shared" si="5"/>
        <v>331877</v>
      </c>
      <c r="G15"/>
      <c r="H15" s="419">
        <f t="shared" si="3"/>
        <v>5310035</v>
      </c>
      <c r="I15" s="419"/>
      <c r="J15" s="419">
        <f t="shared" si="1"/>
        <v>757790</v>
      </c>
      <c r="K15" s="419"/>
      <c r="L15" s="419">
        <f t="shared" si="4"/>
        <v>7013687</v>
      </c>
    </row>
    <row r="16" spans="1:12">
      <c r="A16" s="950" t="s">
        <v>910</v>
      </c>
      <c r="B16" s="950"/>
      <c r="C16" s="418">
        <f t="shared" si="0"/>
        <v>425913</v>
      </c>
      <c r="D16" s="418">
        <f t="shared" si="2"/>
        <v>1277739</v>
      </c>
      <c r="E16"/>
      <c r="F16" s="419">
        <f t="shared" si="5"/>
        <v>331877</v>
      </c>
      <c r="G16"/>
      <c r="H16" s="419">
        <f t="shared" si="3"/>
        <v>4978158</v>
      </c>
      <c r="I16" s="419"/>
      <c r="J16" s="419">
        <f t="shared" si="1"/>
        <v>757790</v>
      </c>
      <c r="K16" s="419"/>
      <c r="L16" s="419">
        <f t="shared" si="4"/>
        <v>6255897</v>
      </c>
    </row>
    <row r="17" spans="1:12">
      <c r="A17" s="950" t="s">
        <v>911</v>
      </c>
      <c r="B17" s="950"/>
      <c r="C17" s="418">
        <f t="shared" si="0"/>
        <v>425913</v>
      </c>
      <c r="D17" s="418">
        <f t="shared" si="2"/>
        <v>851826</v>
      </c>
      <c r="E17"/>
      <c r="F17" s="419">
        <f t="shared" si="5"/>
        <v>331877</v>
      </c>
      <c r="G17"/>
      <c r="H17" s="419">
        <f t="shared" si="3"/>
        <v>4646281</v>
      </c>
      <c r="I17" s="419"/>
      <c r="J17" s="419">
        <f t="shared" si="1"/>
        <v>757790</v>
      </c>
      <c r="K17" s="419"/>
      <c r="L17" s="419">
        <f t="shared" si="4"/>
        <v>5498107</v>
      </c>
    </row>
    <row r="18" spans="1:12">
      <c r="A18" s="950" t="s">
        <v>912</v>
      </c>
      <c r="B18" s="950"/>
      <c r="C18" s="418">
        <f t="shared" si="0"/>
        <v>425913</v>
      </c>
      <c r="D18" s="418">
        <f t="shared" si="2"/>
        <v>425913</v>
      </c>
      <c r="E18"/>
      <c r="F18" s="419">
        <f t="shared" si="5"/>
        <v>331877</v>
      </c>
      <c r="G18"/>
      <c r="H18" s="419">
        <f t="shared" si="3"/>
        <v>4314404</v>
      </c>
      <c r="I18" s="419"/>
      <c r="J18" s="419">
        <f t="shared" si="1"/>
        <v>757790</v>
      </c>
      <c r="K18" s="419"/>
      <c r="L18" s="419">
        <f t="shared" si="4"/>
        <v>4740317</v>
      </c>
    </row>
    <row r="19" spans="1:12">
      <c r="A19" s="950" t="s">
        <v>913</v>
      </c>
      <c r="B19" s="950"/>
      <c r="C19" s="418">
        <f t="shared" si="0"/>
        <v>425913</v>
      </c>
      <c r="D19" s="418">
        <f t="shared" si="2"/>
        <v>0</v>
      </c>
      <c r="E19"/>
      <c r="F19" s="419">
        <f t="shared" si="5"/>
        <v>331877</v>
      </c>
      <c r="G19"/>
      <c r="H19" s="419">
        <f t="shared" si="3"/>
        <v>3982527</v>
      </c>
      <c r="I19" s="419"/>
      <c r="J19" s="419">
        <f t="shared" si="1"/>
        <v>757790</v>
      </c>
      <c r="K19" s="419"/>
      <c r="L19" s="419">
        <f t="shared" si="4"/>
        <v>3982527</v>
      </c>
    </row>
    <row r="20" spans="1:12">
      <c r="A20" s="950" t="s">
        <v>914</v>
      </c>
      <c r="B20" s="950"/>
      <c r="C20" s="451"/>
      <c r="D20" s="451"/>
      <c r="E20"/>
      <c r="F20" s="419">
        <f t="shared" si="5"/>
        <v>331877</v>
      </c>
      <c r="G20"/>
      <c r="H20" s="419">
        <f t="shared" si="3"/>
        <v>3650650</v>
      </c>
      <c r="I20" s="419"/>
      <c r="J20" s="419">
        <f t="shared" si="1"/>
        <v>331877</v>
      </c>
      <c r="K20" s="419"/>
      <c r="L20" s="419">
        <f t="shared" si="4"/>
        <v>3650650</v>
      </c>
    </row>
    <row r="21" spans="1:12">
      <c r="A21" s="950" t="s">
        <v>915</v>
      </c>
      <c r="B21"/>
      <c r="C21"/>
      <c r="D21"/>
      <c r="E21"/>
      <c r="F21" s="419">
        <f t="shared" si="5"/>
        <v>331877</v>
      </c>
      <c r="G21"/>
      <c r="H21" s="419">
        <f t="shared" si="3"/>
        <v>3318773</v>
      </c>
      <c r="I21" s="419"/>
      <c r="J21" s="419">
        <f t="shared" si="1"/>
        <v>331877</v>
      </c>
      <c r="K21" s="419"/>
      <c r="L21" s="419">
        <f t="shared" si="4"/>
        <v>3318773</v>
      </c>
    </row>
    <row r="22" spans="1:12">
      <c r="A22" s="950" t="s">
        <v>916</v>
      </c>
      <c r="B22"/>
      <c r="C22"/>
      <c r="D22"/>
      <c r="E22"/>
      <c r="F22" s="419">
        <f t="shared" si="5"/>
        <v>331877</v>
      </c>
      <c r="G22"/>
      <c r="H22" s="419">
        <f t="shared" si="3"/>
        <v>2986896</v>
      </c>
      <c r="I22" s="419"/>
      <c r="J22" s="419">
        <f t="shared" si="1"/>
        <v>331877</v>
      </c>
      <c r="K22" s="419"/>
      <c r="L22" s="419">
        <f t="shared" si="4"/>
        <v>2986896</v>
      </c>
    </row>
    <row r="23" spans="1:12">
      <c r="A23" s="950" t="s">
        <v>917</v>
      </c>
      <c r="B23"/>
      <c r="C23"/>
      <c r="D23"/>
      <c r="E23"/>
      <c r="F23" s="419">
        <f t="shared" si="5"/>
        <v>331877</v>
      </c>
      <c r="G23"/>
      <c r="H23" s="419">
        <f t="shared" si="3"/>
        <v>2655019</v>
      </c>
      <c r="I23" s="419"/>
      <c r="J23" s="419">
        <f t="shared" si="1"/>
        <v>331877</v>
      </c>
      <c r="K23" s="419"/>
      <c r="L23" s="419">
        <f t="shared" si="4"/>
        <v>2655019</v>
      </c>
    </row>
    <row r="24" spans="1:12">
      <c r="A24" s="950" t="s">
        <v>918</v>
      </c>
      <c r="B24"/>
      <c r="C24"/>
      <c r="D24"/>
      <c r="E24"/>
      <c r="F24" s="419">
        <f t="shared" si="5"/>
        <v>331877</v>
      </c>
      <c r="G24"/>
      <c r="H24" s="419">
        <f t="shared" si="3"/>
        <v>2323142</v>
      </c>
      <c r="I24" s="419"/>
      <c r="J24" s="419">
        <f t="shared" si="1"/>
        <v>331877</v>
      </c>
      <c r="K24" s="419"/>
      <c r="L24" s="419">
        <f t="shared" si="4"/>
        <v>2323142</v>
      </c>
    </row>
    <row r="25" spans="1:12">
      <c r="A25" s="950" t="s">
        <v>919</v>
      </c>
      <c r="B25"/>
      <c r="C25"/>
      <c r="D25"/>
      <c r="E25"/>
      <c r="F25" s="419">
        <f t="shared" si="5"/>
        <v>331877</v>
      </c>
      <c r="G25"/>
      <c r="H25" s="419">
        <f t="shared" si="3"/>
        <v>1991265</v>
      </c>
      <c r="I25" s="419"/>
      <c r="J25" s="419">
        <f t="shared" si="1"/>
        <v>331877</v>
      </c>
      <c r="K25" s="419"/>
      <c r="L25" s="419">
        <f t="shared" si="4"/>
        <v>1991265</v>
      </c>
    </row>
    <row r="26" spans="1:12">
      <c r="A26" s="950" t="s">
        <v>920</v>
      </c>
      <c r="B26"/>
      <c r="C26"/>
      <c r="D26"/>
      <c r="E26"/>
      <c r="F26" s="419">
        <f t="shared" si="5"/>
        <v>331877</v>
      </c>
      <c r="G26"/>
      <c r="H26" s="419">
        <f t="shared" si="3"/>
        <v>1659388</v>
      </c>
      <c r="I26" s="419"/>
      <c r="J26" s="419">
        <f t="shared" si="1"/>
        <v>331877</v>
      </c>
      <c r="K26" s="419"/>
      <c r="L26" s="419">
        <f t="shared" si="4"/>
        <v>1659388</v>
      </c>
    </row>
    <row r="27" spans="1:12">
      <c r="A27" s="950" t="s">
        <v>921</v>
      </c>
      <c r="B27"/>
      <c r="C27"/>
      <c r="D27"/>
      <c r="E27"/>
      <c r="F27" s="419">
        <f t="shared" si="5"/>
        <v>331877</v>
      </c>
      <c r="G27"/>
      <c r="H27" s="419">
        <f t="shared" si="3"/>
        <v>1327511</v>
      </c>
      <c r="I27" s="419"/>
      <c r="J27" s="419">
        <f t="shared" si="1"/>
        <v>331877</v>
      </c>
      <c r="K27" s="419"/>
      <c r="L27" s="419">
        <f t="shared" si="4"/>
        <v>1327511</v>
      </c>
    </row>
    <row r="28" spans="1:12">
      <c r="A28" s="950" t="s">
        <v>922</v>
      </c>
      <c r="B28"/>
      <c r="C28"/>
      <c r="D28"/>
      <c r="E28"/>
      <c r="F28" s="419">
        <f t="shared" si="5"/>
        <v>331877</v>
      </c>
      <c r="G28"/>
      <c r="H28" s="419">
        <f t="shared" si="3"/>
        <v>995634</v>
      </c>
      <c r="I28" s="419"/>
      <c r="J28" s="419">
        <f t="shared" si="1"/>
        <v>331877</v>
      </c>
      <c r="K28" s="419"/>
      <c r="L28" s="419">
        <f t="shared" si="4"/>
        <v>995634</v>
      </c>
    </row>
    <row r="29" spans="1:12">
      <c r="A29" s="950" t="s">
        <v>923</v>
      </c>
      <c r="B29"/>
      <c r="C29"/>
      <c r="D29"/>
      <c r="E29"/>
      <c r="F29" s="419">
        <f t="shared" si="5"/>
        <v>331877</v>
      </c>
      <c r="G29"/>
      <c r="H29" s="419">
        <f t="shared" si="3"/>
        <v>663757</v>
      </c>
      <c r="I29" s="419"/>
      <c r="J29" s="419">
        <f t="shared" si="1"/>
        <v>331877</v>
      </c>
      <c r="K29" s="419"/>
      <c r="L29" s="419">
        <f t="shared" si="4"/>
        <v>663757</v>
      </c>
    </row>
    <row r="30" spans="1:12">
      <c r="A30" s="950" t="s">
        <v>924</v>
      </c>
      <c r="B30"/>
      <c r="C30"/>
      <c r="D30"/>
      <c r="E30"/>
      <c r="F30" s="419">
        <f t="shared" si="5"/>
        <v>331877</v>
      </c>
      <c r="G30"/>
      <c r="H30" s="419">
        <f t="shared" si="3"/>
        <v>331880</v>
      </c>
      <c r="I30" s="419"/>
      <c r="J30" s="419">
        <f t="shared" si="1"/>
        <v>331877</v>
      </c>
      <c r="K30" s="419"/>
      <c r="L30" s="419">
        <f t="shared" si="4"/>
        <v>331880</v>
      </c>
    </row>
    <row r="31" spans="1:12">
      <c r="A31" s="950" t="s">
        <v>925</v>
      </c>
      <c r="B31"/>
      <c r="C31"/>
      <c r="D31"/>
      <c r="E31"/>
      <c r="F31" s="419">
        <f>F30+3</f>
        <v>331880</v>
      </c>
      <c r="G31"/>
      <c r="H31" s="419">
        <f t="shared" si="3"/>
        <v>0</v>
      </c>
      <c r="I31" s="419"/>
      <c r="J31" s="419">
        <f t="shared" si="1"/>
        <v>331880</v>
      </c>
      <c r="K31" s="419"/>
      <c r="L31" s="419">
        <f t="shared" si="4"/>
        <v>0</v>
      </c>
    </row>
    <row r="32" spans="1:12">
      <c r="A32" s="950"/>
      <c r="B32"/>
      <c r="C32"/>
      <c r="D32"/>
      <c r="E32"/>
      <c r="F32" s="419"/>
      <c r="G32"/>
      <c r="H32" s="419"/>
      <c r="I32" s="419"/>
      <c r="J32" s="419"/>
      <c r="K32" s="419"/>
      <c r="L32" s="419"/>
    </row>
    <row r="36" spans="1:1">
      <c r="A36" s="955"/>
    </row>
  </sheetData>
  <pageMargins left="1.01" right="0.25" top="1" bottom="1" header="0.5" footer="0.5"/>
  <pageSetup scale="78" orientation="landscape" r:id="rId1"/>
  <headerFooter alignWithMargins="0">
    <oddHeader>&amp;R&amp;D  &amp;T</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2"/>
  <sheetViews>
    <sheetView workbookViewId="0">
      <selection activeCell="A27" sqref="A27"/>
    </sheetView>
  </sheetViews>
  <sheetFormatPr defaultRowHeight="13.2"/>
  <cols>
    <col min="1" max="1" width="46" customWidth="1"/>
    <col min="2" max="4" width="13.109375" customWidth="1"/>
  </cols>
  <sheetData>
    <row r="1" spans="1:4">
      <c r="A1" s="426" t="s">
        <v>341</v>
      </c>
    </row>
    <row r="2" spans="1:4">
      <c r="A2" s="426" t="s">
        <v>582</v>
      </c>
      <c r="B2" s="421"/>
      <c r="C2" s="544"/>
    </row>
    <row r="3" spans="1:4">
      <c r="A3" s="929" t="s">
        <v>881</v>
      </c>
    </row>
    <row r="4" spans="1:4">
      <c r="A4" s="436"/>
    </row>
    <row r="5" spans="1:4">
      <c r="A5" s="543"/>
      <c r="B5" s="438"/>
      <c r="C5" s="542"/>
      <c r="D5" s="542"/>
    </row>
    <row r="6" spans="1:4" ht="13.8" thickBot="1">
      <c r="A6" s="542" t="s">
        <v>580</v>
      </c>
      <c r="C6" s="542"/>
      <c r="D6" s="439">
        <v>0.35</v>
      </c>
    </row>
    <row r="7" spans="1:4" ht="13.8" thickTop="1">
      <c r="A7" s="542"/>
      <c r="B7" s="542"/>
      <c r="C7" s="542"/>
      <c r="D7" s="542"/>
    </row>
    <row r="8" spans="1:4">
      <c r="A8" s="542"/>
      <c r="B8" s="542"/>
      <c r="C8" s="542"/>
      <c r="D8" s="542"/>
    </row>
    <row r="9" spans="1:4" ht="39.6">
      <c r="A9" s="542" t="s">
        <v>583</v>
      </c>
      <c r="B9" s="541" t="s">
        <v>584</v>
      </c>
      <c r="C9" s="541" t="s">
        <v>585</v>
      </c>
      <c r="D9" s="540" t="s">
        <v>586</v>
      </c>
    </row>
    <row r="10" spans="1:4">
      <c r="A10" s="542"/>
      <c r="B10" s="542"/>
      <c r="C10" s="542"/>
      <c r="D10" s="539"/>
    </row>
    <row r="11" spans="1:4">
      <c r="A11" s="542" t="s">
        <v>587</v>
      </c>
      <c r="B11" s="538">
        <v>7.9000000000000001E-2</v>
      </c>
      <c r="C11" s="537">
        <v>0.81347950000000002</v>
      </c>
      <c r="D11" s="539">
        <f t="shared" ref="D11:D15" si="0">B11*C11</f>
        <v>6.4264880499999996E-2</v>
      </c>
    </row>
    <row r="12" spans="1:4">
      <c r="A12" s="542" t="s">
        <v>588</v>
      </c>
      <c r="B12" s="538">
        <v>9.8000000000000004E-2</v>
      </c>
      <c r="C12" s="440">
        <v>4.9086999999999999E-2</v>
      </c>
      <c r="D12" s="539">
        <f t="shared" si="0"/>
        <v>4.8105259999999999E-3</v>
      </c>
    </row>
    <row r="13" spans="1:4">
      <c r="A13" s="542" t="s">
        <v>589</v>
      </c>
      <c r="B13" s="538">
        <v>7.7499999999999999E-2</v>
      </c>
      <c r="C13" s="441">
        <v>5.1180000000000002E-3</v>
      </c>
      <c r="D13" s="539">
        <f t="shared" si="0"/>
        <v>3.9664499999999999E-4</v>
      </c>
    </row>
    <row r="14" spans="1:4">
      <c r="A14" s="424" t="s">
        <v>590</v>
      </c>
      <c r="B14" s="536">
        <v>0.06</v>
      </c>
      <c r="C14" s="440">
        <v>8.7476100000000001E-2</v>
      </c>
      <c r="D14" s="539">
        <f t="shared" si="0"/>
        <v>5.2485659999999996E-3</v>
      </c>
    </row>
    <row r="15" spans="1:4">
      <c r="A15" s="535" t="s">
        <v>591</v>
      </c>
      <c r="B15" s="536">
        <v>0.05</v>
      </c>
      <c r="C15" s="440">
        <v>1.3200000000000001E-5</v>
      </c>
      <c r="D15" s="539">
        <f t="shared" si="0"/>
        <v>6.6000000000000003E-7</v>
      </c>
    </row>
    <row r="16" spans="1:4">
      <c r="A16" s="534"/>
      <c r="B16" s="438"/>
      <c r="C16" s="438"/>
      <c r="D16" s="542"/>
    </row>
    <row r="17" spans="1:4" ht="13.8" thickBot="1">
      <c r="A17" s="534"/>
      <c r="B17" s="438"/>
      <c r="C17" s="443">
        <f>SUM(C11:C16)</f>
        <v>0.95517379999999996</v>
      </c>
      <c r="D17" s="444">
        <f>SUM(D11:D16)</f>
        <v>7.4721277499999988E-2</v>
      </c>
    </row>
    <row r="18" spans="1:4" ht="13.8" thickTop="1">
      <c r="A18" s="534"/>
      <c r="B18" s="438"/>
      <c r="C18" s="438"/>
      <c r="D18" s="542"/>
    </row>
    <row r="19" spans="1:4">
      <c r="A19" s="542"/>
      <c r="B19" s="542"/>
      <c r="C19" s="542"/>
      <c r="D19" s="542"/>
    </row>
    <row r="20" spans="1:4">
      <c r="A20" s="533" t="s">
        <v>592</v>
      </c>
      <c r="B20" s="532"/>
      <c r="C20" s="532"/>
      <c r="D20" s="542"/>
    </row>
    <row r="21" spans="1:4">
      <c r="A21" s="542"/>
      <c r="B21" s="542"/>
      <c r="C21" s="542"/>
      <c r="D21" s="542"/>
    </row>
    <row r="22" spans="1:4">
      <c r="A22" s="542" t="s">
        <v>593</v>
      </c>
      <c r="B22" s="542"/>
      <c r="C22" s="542"/>
      <c r="D22" s="542"/>
    </row>
  </sheetData>
  <pageMargins left="0.7" right="0.7" top="0.75" bottom="0.75" header="0.3" footer="0.3"/>
  <pageSetup scale="96" fitToHeight="0"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zoomScaleNormal="100" workbookViewId="0">
      <selection activeCell="F32" sqref="F32"/>
    </sheetView>
  </sheetViews>
  <sheetFormatPr defaultColWidth="9.109375" defaultRowHeight="13.2"/>
  <cols>
    <col min="1" max="1" width="52.5546875" style="935" customWidth="1"/>
    <col min="2" max="2" width="13.44140625" style="935" customWidth="1"/>
    <col min="3" max="3" width="15.44140625" style="935" bestFit="1" customWidth="1"/>
    <col min="4" max="4" width="9.109375" style="935"/>
    <col min="5" max="5" width="11.88671875" style="935" bestFit="1" customWidth="1"/>
    <col min="6" max="16384" width="9.109375" style="935"/>
  </cols>
  <sheetData>
    <row r="1" spans="1:5">
      <c r="A1" s="934" t="s">
        <v>341</v>
      </c>
      <c r="B1" s="934"/>
    </row>
    <row r="2" spans="1:5">
      <c r="A2" s="934" t="s">
        <v>883</v>
      </c>
      <c r="B2" s="934"/>
    </row>
    <row r="3" spans="1:5">
      <c r="A3" s="936" t="s">
        <v>881</v>
      </c>
      <c r="B3" s="934"/>
    </row>
    <row r="6" spans="1:5">
      <c r="A6" s="937" t="s">
        <v>884</v>
      </c>
      <c r="B6" s="938"/>
      <c r="C6" s="939">
        <v>259008067.49765936</v>
      </c>
      <c r="E6" s="607">
        <f>ROUND(C6-'ATC Attach O ER15-358'!I199,2)</f>
        <v>0</v>
      </c>
    </row>
    <row r="8" spans="1:5">
      <c r="A8" s="935" t="s">
        <v>885</v>
      </c>
      <c r="B8" s="432">
        <v>6.0999999999999999E-2</v>
      </c>
      <c r="E8" s="607">
        <f>ROUND(B8-'ATC Attach O ER15-358'!I270,10)</f>
        <v>0</v>
      </c>
    </row>
    <row r="9" spans="1:5">
      <c r="A9" s="935" t="s">
        <v>886</v>
      </c>
      <c r="B9" s="432">
        <v>8.4913235569991558E-2</v>
      </c>
      <c r="E9" s="607">
        <f>ROUND(B9-'ATC Attach O ER15-358'!I271,10)</f>
        <v>0</v>
      </c>
    </row>
    <row r="10" spans="1:5">
      <c r="A10" s="935" t="s">
        <v>887</v>
      </c>
      <c r="C10" s="435">
        <f>B8/B9</f>
        <v>0.7183803513142476</v>
      </c>
    </row>
    <row r="12" spans="1:5">
      <c r="A12" s="935" t="s">
        <v>888</v>
      </c>
      <c r="C12" s="939">
        <f>C6*C10</f>
        <v>186066306.5221929</v>
      </c>
    </row>
    <row r="14" spans="1:5">
      <c r="A14" s="935" t="s">
        <v>889</v>
      </c>
      <c r="C14" s="940">
        <v>107444857.7621901</v>
      </c>
      <c r="E14" s="607">
        <f>ROUND(C14-'ATC Attach O ER15-358'!I197,2)</f>
        <v>0</v>
      </c>
    </row>
    <row r="16" spans="1:5">
      <c r="A16" s="935" t="s">
        <v>890</v>
      </c>
      <c r="C16" s="939">
        <f>SUM(C12:C15)</f>
        <v>293511164.284383</v>
      </c>
      <c r="E16" s="607"/>
    </row>
    <row r="18" spans="1:5">
      <c r="A18" s="935" t="s">
        <v>891</v>
      </c>
      <c r="C18" s="941">
        <v>22295724.126257993</v>
      </c>
      <c r="E18" s="942"/>
    </row>
    <row r="20" spans="1:5" ht="13.8" thickBot="1">
      <c r="A20" s="943" t="s">
        <v>892</v>
      </c>
      <c r="C20" s="944">
        <f>C18/C16</f>
        <v>7.5962099024811422E-2</v>
      </c>
      <c r="E20" s="432">
        <f>ROUND(C20-'ATC Attach O ER15-358'!D315,10)</f>
        <v>0</v>
      </c>
    </row>
    <row r="21" spans="1:5" ht="13.8" thickTop="1"/>
    <row r="22" spans="1:5">
      <c r="C22" s="945"/>
    </row>
  </sheetData>
  <pageMargins left="0.75" right="0.75" top="1" bottom="1" header="0.5" footer="0.5"/>
  <pageSetup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4"/>
  <sheetViews>
    <sheetView topLeftCell="A40" zoomScale="70" zoomScaleNormal="70" workbookViewId="0">
      <pane xSplit="2" ySplit="8" topLeftCell="Q48" activePane="bottomRight" state="frozen"/>
      <selection activeCell="A40" sqref="A40"/>
      <selection pane="topRight" activeCell="C40" sqref="C40"/>
      <selection pane="bottomLeft" activeCell="A48" sqref="A48"/>
      <selection pane="bottomRight" activeCell="AI77" sqref="AI77"/>
    </sheetView>
  </sheetViews>
  <sheetFormatPr defaultRowHeight="13.2" outlineLevelRow="1"/>
  <cols>
    <col min="1" max="1" width="14.88671875" style="427" customWidth="1"/>
    <col min="2" max="2" width="69.44140625" style="427" bestFit="1" customWidth="1"/>
    <col min="3" max="3" width="31.5546875" style="427" bestFit="1" customWidth="1"/>
    <col min="4" max="4" width="21.88671875" style="427" customWidth="1"/>
    <col min="5" max="5" width="14.6640625" style="427" bestFit="1" customWidth="1"/>
    <col min="6" max="6" width="19" style="427" customWidth="1"/>
    <col min="7" max="7" width="19.33203125" style="427" customWidth="1"/>
    <col min="8" max="8" width="14.109375" style="427" bestFit="1" customWidth="1"/>
    <col min="9" max="9" width="14.33203125" style="427" bestFit="1" customWidth="1"/>
    <col min="10" max="10" width="12.88671875" style="427" bestFit="1" customWidth="1"/>
    <col min="11" max="11" width="15.5546875" style="427" bestFit="1" customWidth="1"/>
    <col min="12" max="12" width="15" style="427" bestFit="1" customWidth="1"/>
    <col min="13" max="13" width="15.5546875" style="427" bestFit="1" customWidth="1"/>
    <col min="14" max="14" width="11.44140625" style="427" bestFit="1" customWidth="1"/>
    <col min="15" max="15" width="9.109375" style="427"/>
    <col min="16" max="16" width="15.5546875" style="427" bestFit="1" customWidth="1"/>
    <col min="17" max="17" width="10.6640625" style="427" bestFit="1" customWidth="1"/>
    <col min="18" max="18" width="9.109375" style="427"/>
    <col min="19" max="19" width="20.88671875" style="427" customWidth="1"/>
    <col min="20" max="20" width="15.44140625" style="427" customWidth="1"/>
    <col min="21" max="21" width="14.6640625" style="427" bestFit="1" customWidth="1"/>
    <col min="22" max="22" width="18.5546875" style="427" customWidth="1"/>
    <col min="23" max="23" width="21.5546875" style="427" customWidth="1"/>
    <col min="24" max="24" width="14.109375" style="427" bestFit="1" customWidth="1"/>
    <col min="25" max="26" width="14.33203125" style="427" bestFit="1" customWidth="1"/>
    <col min="27" max="27" width="15.5546875" style="427" bestFit="1" customWidth="1"/>
    <col min="28" max="28" width="15" style="427" bestFit="1" customWidth="1"/>
    <col min="29" max="29" width="15.5546875" style="427" bestFit="1" customWidth="1"/>
    <col min="30" max="30" width="9.109375" style="427"/>
    <col min="31" max="31" width="15.5546875" style="427" bestFit="1" customWidth="1"/>
    <col min="32" max="32" width="11.6640625" style="427" bestFit="1" customWidth="1"/>
    <col min="33" max="33" width="15.5546875" style="427" bestFit="1" customWidth="1"/>
    <col min="34" max="256" width="9.109375" style="427"/>
    <col min="257" max="257" width="14.88671875" style="427" customWidth="1"/>
    <col min="258" max="258" width="69.44140625" style="427" bestFit="1" customWidth="1"/>
    <col min="259" max="259" width="31.5546875" style="427" bestFit="1" customWidth="1"/>
    <col min="260" max="260" width="21.88671875" style="427" customWidth="1"/>
    <col min="261" max="261" width="14.6640625" style="427" bestFit="1" customWidth="1"/>
    <col min="262" max="262" width="19" style="427" customWidth="1"/>
    <col min="263" max="263" width="19.33203125" style="427" customWidth="1"/>
    <col min="264" max="264" width="14.109375" style="427" bestFit="1" customWidth="1"/>
    <col min="265" max="265" width="14.33203125" style="427" bestFit="1" customWidth="1"/>
    <col min="266" max="266" width="12.88671875" style="427" bestFit="1" customWidth="1"/>
    <col min="267" max="267" width="15.5546875" style="427" bestFit="1" customWidth="1"/>
    <col min="268" max="268" width="15" style="427" bestFit="1" customWidth="1"/>
    <col min="269" max="269" width="15.5546875" style="427" bestFit="1" customWidth="1"/>
    <col min="270" max="270" width="11.44140625" style="427" bestFit="1" customWidth="1"/>
    <col min="271" max="271" width="9.109375" style="427"/>
    <col min="272" max="272" width="15.5546875" style="427" bestFit="1" customWidth="1"/>
    <col min="273" max="273" width="10.6640625" style="427" bestFit="1" customWidth="1"/>
    <col min="274" max="274" width="9.109375" style="427"/>
    <col min="275" max="275" width="20.88671875" style="427" customWidth="1"/>
    <col min="276" max="276" width="15.44140625" style="427" customWidth="1"/>
    <col min="277" max="277" width="14.6640625" style="427" bestFit="1" customWidth="1"/>
    <col min="278" max="278" width="18.5546875" style="427" customWidth="1"/>
    <col min="279" max="279" width="21.5546875" style="427" customWidth="1"/>
    <col min="280" max="280" width="14.109375" style="427" bestFit="1" customWidth="1"/>
    <col min="281" max="282" width="14.33203125" style="427" bestFit="1" customWidth="1"/>
    <col min="283" max="283" width="15.5546875" style="427" bestFit="1" customWidth="1"/>
    <col min="284" max="284" width="15" style="427" bestFit="1" customWidth="1"/>
    <col min="285" max="285" width="15.5546875" style="427" bestFit="1" customWidth="1"/>
    <col min="286" max="286" width="9.109375" style="427"/>
    <col min="287" max="287" width="15.5546875" style="427" bestFit="1" customWidth="1"/>
    <col min="288" max="288" width="11.6640625" style="427" bestFit="1" customWidth="1"/>
    <col min="289" max="289" width="15.5546875" style="427" bestFit="1" customWidth="1"/>
    <col min="290" max="512" width="9.109375" style="427"/>
    <col min="513" max="513" width="14.88671875" style="427" customWidth="1"/>
    <col min="514" max="514" width="69.44140625" style="427" bestFit="1" customWidth="1"/>
    <col min="515" max="515" width="31.5546875" style="427" bestFit="1" customWidth="1"/>
    <col min="516" max="516" width="21.88671875" style="427" customWidth="1"/>
    <col min="517" max="517" width="14.6640625" style="427" bestFit="1" customWidth="1"/>
    <col min="518" max="518" width="19" style="427" customWidth="1"/>
    <col min="519" max="519" width="19.33203125" style="427" customWidth="1"/>
    <col min="520" max="520" width="14.109375" style="427" bestFit="1" customWidth="1"/>
    <col min="521" max="521" width="14.33203125" style="427" bestFit="1" customWidth="1"/>
    <col min="522" max="522" width="12.88671875" style="427" bestFit="1" customWidth="1"/>
    <col min="523" max="523" width="15.5546875" style="427" bestFit="1" customWidth="1"/>
    <col min="524" max="524" width="15" style="427" bestFit="1" customWidth="1"/>
    <col min="525" max="525" width="15.5546875" style="427" bestFit="1" customWidth="1"/>
    <col min="526" max="526" width="11.44140625" style="427" bestFit="1" customWidth="1"/>
    <col min="527" max="527" width="9.109375" style="427"/>
    <col min="528" max="528" width="15.5546875" style="427" bestFit="1" customWidth="1"/>
    <col min="529" max="529" width="10.6640625" style="427" bestFit="1" customWidth="1"/>
    <col min="530" max="530" width="9.109375" style="427"/>
    <col min="531" max="531" width="20.88671875" style="427" customWidth="1"/>
    <col min="532" max="532" width="15.44140625" style="427" customWidth="1"/>
    <col min="533" max="533" width="14.6640625" style="427" bestFit="1" customWidth="1"/>
    <col min="534" max="534" width="18.5546875" style="427" customWidth="1"/>
    <col min="535" max="535" width="21.5546875" style="427" customWidth="1"/>
    <col min="536" max="536" width="14.109375" style="427" bestFit="1" customWidth="1"/>
    <col min="537" max="538" width="14.33203125" style="427" bestFit="1" customWidth="1"/>
    <col min="539" max="539" width="15.5546875" style="427" bestFit="1" customWidth="1"/>
    <col min="540" max="540" width="15" style="427" bestFit="1" customWidth="1"/>
    <col min="541" max="541" width="15.5546875" style="427" bestFit="1" customWidth="1"/>
    <col min="542" max="542" width="9.109375" style="427"/>
    <col min="543" max="543" width="15.5546875" style="427" bestFit="1" customWidth="1"/>
    <col min="544" max="544" width="11.6640625" style="427" bestFit="1" customWidth="1"/>
    <col min="545" max="545" width="15.5546875" style="427" bestFit="1" customWidth="1"/>
    <col min="546" max="768" width="9.109375" style="427"/>
    <col min="769" max="769" width="14.88671875" style="427" customWidth="1"/>
    <col min="770" max="770" width="69.44140625" style="427" bestFit="1" customWidth="1"/>
    <col min="771" max="771" width="31.5546875" style="427" bestFit="1" customWidth="1"/>
    <col min="772" max="772" width="21.88671875" style="427" customWidth="1"/>
    <col min="773" max="773" width="14.6640625" style="427" bestFit="1" customWidth="1"/>
    <col min="774" max="774" width="19" style="427" customWidth="1"/>
    <col min="775" max="775" width="19.33203125" style="427" customWidth="1"/>
    <col min="776" max="776" width="14.109375" style="427" bestFit="1" customWidth="1"/>
    <col min="777" max="777" width="14.33203125" style="427" bestFit="1" customWidth="1"/>
    <col min="778" max="778" width="12.88671875" style="427" bestFit="1" customWidth="1"/>
    <col min="779" max="779" width="15.5546875" style="427" bestFit="1" customWidth="1"/>
    <col min="780" max="780" width="15" style="427" bestFit="1" customWidth="1"/>
    <col min="781" max="781" width="15.5546875" style="427" bestFit="1" customWidth="1"/>
    <col min="782" max="782" width="11.44140625" style="427" bestFit="1" customWidth="1"/>
    <col min="783" max="783" width="9.109375" style="427"/>
    <col min="784" max="784" width="15.5546875" style="427" bestFit="1" customWidth="1"/>
    <col min="785" max="785" width="10.6640625" style="427" bestFit="1" customWidth="1"/>
    <col min="786" max="786" width="9.109375" style="427"/>
    <col min="787" max="787" width="20.88671875" style="427" customWidth="1"/>
    <col min="788" max="788" width="15.44140625" style="427" customWidth="1"/>
    <col min="789" max="789" width="14.6640625" style="427" bestFit="1" customWidth="1"/>
    <col min="790" max="790" width="18.5546875" style="427" customWidth="1"/>
    <col min="791" max="791" width="21.5546875" style="427" customWidth="1"/>
    <col min="792" max="792" width="14.109375" style="427" bestFit="1" customWidth="1"/>
    <col min="793" max="794" width="14.33203125" style="427" bestFit="1" customWidth="1"/>
    <col min="795" max="795" width="15.5546875" style="427" bestFit="1" customWidth="1"/>
    <col min="796" max="796" width="15" style="427" bestFit="1" customWidth="1"/>
    <col min="797" max="797" width="15.5546875" style="427" bestFit="1" customWidth="1"/>
    <col min="798" max="798" width="9.109375" style="427"/>
    <col min="799" max="799" width="15.5546875" style="427" bestFit="1" customWidth="1"/>
    <col min="800" max="800" width="11.6640625" style="427" bestFit="1" customWidth="1"/>
    <col min="801" max="801" width="15.5546875" style="427" bestFit="1" customWidth="1"/>
    <col min="802" max="1024" width="9.109375" style="427"/>
    <col min="1025" max="1025" width="14.88671875" style="427" customWidth="1"/>
    <col min="1026" max="1026" width="69.44140625" style="427" bestFit="1" customWidth="1"/>
    <col min="1027" max="1027" width="31.5546875" style="427" bestFit="1" customWidth="1"/>
    <col min="1028" max="1028" width="21.88671875" style="427" customWidth="1"/>
    <col min="1029" max="1029" width="14.6640625" style="427" bestFit="1" customWidth="1"/>
    <col min="1030" max="1030" width="19" style="427" customWidth="1"/>
    <col min="1031" max="1031" width="19.33203125" style="427" customWidth="1"/>
    <col min="1032" max="1032" width="14.109375" style="427" bestFit="1" customWidth="1"/>
    <col min="1033" max="1033" width="14.33203125" style="427" bestFit="1" customWidth="1"/>
    <col min="1034" max="1034" width="12.88671875" style="427" bestFit="1" customWidth="1"/>
    <col min="1035" max="1035" width="15.5546875" style="427" bestFit="1" customWidth="1"/>
    <col min="1036" max="1036" width="15" style="427" bestFit="1" customWidth="1"/>
    <col min="1037" max="1037" width="15.5546875" style="427" bestFit="1" customWidth="1"/>
    <col min="1038" max="1038" width="11.44140625" style="427" bestFit="1" customWidth="1"/>
    <col min="1039" max="1039" width="9.109375" style="427"/>
    <col min="1040" max="1040" width="15.5546875" style="427" bestFit="1" customWidth="1"/>
    <col min="1041" max="1041" width="10.6640625" style="427" bestFit="1" customWidth="1"/>
    <col min="1042" max="1042" width="9.109375" style="427"/>
    <col min="1043" max="1043" width="20.88671875" style="427" customWidth="1"/>
    <col min="1044" max="1044" width="15.44140625" style="427" customWidth="1"/>
    <col min="1045" max="1045" width="14.6640625" style="427" bestFit="1" customWidth="1"/>
    <col min="1046" max="1046" width="18.5546875" style="427" customWidth="1"/>
    <col min="1047" max="1047" width="21.5546875" style="427" customWidth="1"/>
    <col min="1048" max="1048" width="14.109375" style="427" bestFit="1" customWidth="1"/>
    <col min="1049" max="1050" width="14.33203125" style="427" bestFit="1" customWidth="1"/>
    <col min="1051" max="1051" width="15.5546875" style="427" bestFit="1" customWidth="1"/>
    <col min="1052" max="1052" width="15" style="427" bestFit="1" customWidth="1"/>
    <col min="1053" max="1053" width="15.5546875" style="427" bestFit="1" customWidth="1"/>
    <col min="1054" max="1054" width="9.109375" style="427"/>
    <col min="1055" max="1055" width="15.5546875" style="427" bestFit="1" customWidth="1"/>
    <col min="1056" max="1056" width="11.6640625" style="427" bestFit="1" customWidth="1"/>
    <col min="1057" max="1057" width="15.5546875" style="427" bestFit="1" customWidth="1"/>
    <col min="1058" max="1280" width="9.109375" style="427"/>
    <col min="1281" max="1281" width="14.88671875" style="427" customWidth="1"/>
    <col min="1282" max="1282" width="69.44140625" style="427" bestFit="1" customWidth="1"/>
    <col min="1283" max="1283" width="31.5546875" style="427" bestFit="1" customWidth="1"/>
    <col min="1284" max="1284" width="21.88671875" style="427" customWidth="1"/>
    <col min="1285" max="1285" width="14.6640625" style="427" bestFit="1" customWidth="1"/>
    <col min="1286" max="1286" width="19" style="427" customWidth="1"/>
    <col min="1287" max="1287" width="19.33203125" style="427" customWidth="1"/>
    <col min="1288" max="1288" width="14.109375" style="427" bestFit="1" customWidth="1"/>
    <col min="1289" max="1289" width="14.33203125" style="427" bestFit="1" customWidth="1"/>
    <col min="1290" max="1290" width="12.88671875" style="427" bestFit="1" customWidth="1"/>
    <col min="1291" max="1291" width="15.5546875" style="427" bestFit="1" customWidth="1"/>
    <col min="1292" max="1292" width="15" style="427" bestFit="1" customWidth="1"/>
    <col min="1293" max="1293" width="15.5546875" style="427" bestFit="1" customWidth="1"/>
    <col min="1294" max="1294" width="11.44140625" style="427" bestFit="1" customWidth="1"/>
    <col min="1295" max="1295" width="9.109375" style="427"/>
    <col min="1296" max="1296" width="15.5546875" style="427" bestFit="1" customWidth="1"/>
    <col min="1297" max="1297" width="10.6640625" style="427" bestFit="1" customWidth="1"/>
    <col min="1298" max="1298" width="9.109375" style="427"/>
    <col min="1299" max="1299" width="20.88671875" style="427" customWidth="1"/>
    <col min="1300" max="1300" width="15.44140625" style="427" customWidth="1"/>
    <col min="1301" max="1301" width="14.6640625" style="427" bestFit="1" customWidth="1"/>
    <col min="1302" max="1302" width="18.5546875" style="427" customWidth="1"/>
    <col min="1303" max="1303" width="21.5546875" style="427" customWidth="1"/>
    <col min="1304" max="1304" width="14.109375" style="427" bestFit="1" customWidth="1"/>
    <col min="1305" max="1306" width="14.33203125" style="427" bestFit="1" customWidth="1"/>
    <col min="1307" max="1307" width="15.5546875" style="427" bestFit="1" customWidth="1"/>
    <col min="1308" max="1308" width="15" style="427" bestFit="1" customWidth="1"/>
    <col min="1309" max="1309" width="15.5546875" style="427" bestFit="1" customWidth="1"/>
    <col min="1310" max="1310" width="9.109375" style="427"/>
    <col min="1311" max="1311" width="15.5546875" style="427" bestFit="1" customWidth="1"/>
    <col min="1312" max="1312" width="11.6640625" style="427" bestFit="1" customWidth="1"/>
    <col min="1313" max="1313" width="15.5546875" style="427" bestFit="1" customWidth="1"/>
    <col min="1314" max="1536" width="9.109375" style="427"/>
    <col min="1537" max="1537" width="14.88671875" style="427" customWidth="1"/>
    <col min="1538" max="1538" width="69.44140625" style="427" bestFit="1" customWidth="1"/>
    <col min="1539" max="1539" width="31.5546875" style="427" bestFit="1" customWidth="1"/>
    <col min="1540" max="1540" width="21.88671875" style="427" customWidth="1"/>
    <col min="1541" max="1541" width="14.6640625" style="427" bestFit="1" customWidth="1"/>
    <col min="1542" max="1542" width="19" style="427" customWidth="1"/>
    <col min="1543" max="1543" width="19.33203125" style="427" customWidth="1"/>
    <col min="1544" max="1544" width="14.109375" style="427" bestFit="1" customWidth="1"/>
    <col min="1545" max="1545" width="14.33203125" style="427" bestFit="1" customWidth="1"/>
    <col min="1546" max="1546" width="12.88671875" style="427" bestFit="1" customWidth="1"/>
    <col min="1547" max="1547" width="15.5546875" style="427" bestFit="1" customWidth="1"/>
    <col min="1548" max="1548" width="15" style="427" bestFit="1" customWidth="1"/>
    <col min="1549" max="1549" width="15.5546875" style="427" bestFit="1" customWidth="1"/>
    <col min="1550" max="1550" width="11.44140625" style="427" bestFit="1" customWidth="1"/>
    <col min="1551" max="1551" width="9.109375" style="427"/>
    <col min="1552" max="1552" width="15.5546875" style="427" bestFit="1" customWidth="1"/>
    <col min="1553" max="1553" width="10.6640625" style="427" bestFit="1" customWidth="1"/>
    <col min="1554" max="1554" width="9.109375" style="427"/>
    <col min="1555" max="1555" width="20.88671875" style="427" customWidth="1"/>
    <col min="1556" max="1556" width="15.44140625" style="427" customWidth="1"/>
    <col min="1557" max="1557" width="14.6640625" style="427" bestFit="1" customWidth="1"/>
    <col min="1558" max="1558" width="18.5546875" style="427" customWidth="1"/>
    <col min="1559" max="1559" width="21.5546875" style="427" customWidth="1"/>
    <col min="1560" max="1560" width="14.109375" style="427" bestFit="1" customWidth="1"/>
    <col min="1561" max="1562" width="14.33203125" style="427" bestFit="1" customWidth="1"/>
    <col min="1563" max="1563" width="15.5546875" style="427" bestFit="1" customWidth="1"/>
    <col min="1564" max="1564" width="15" style="427" bestFit="1" customWidth="1"/>
    <col min="1565" max="1565" width="15.5546875" style="427" bestFit="1" customWidth="1"/>
    <col min="1566" max="1566" width="9.109375" style="427"/>
    <col min="1567" max="1567" width="15.5546875" style="427" bestFit="1" customWidth="1"/>
    <col min="1568" max="1568" width="11.6640625" style="427" bestFit="1" customWidth="1"/>
    <col min="1569" max="1569" width="15.5546875" style="427" bestFit="1" customWidth="1"/>
    <col min="1570" max="1792" width="9.109375" style="427"/>
    <col min="1793" max="1793" width="14.88671875" style="427" customWidth="1"/>
    <col min="1794" max="1794" width="69.44140625" style="427" bestFit="1" customWidth="1"/>
    <col min="1795" max="1795" width="31.5546875" style="427" bestFit="1" customWidth="1"/>
    <col min="1796" max="1796" width="21.88671875" style="427" customWidth="1"/>
    <col min="1797" max="1797" width="14.6640625" style="427" bestFit="1" customWidth="1"/>
    <col min="1798" max="1798" width="19" style="427" customWidth="1"/>
    <col min="1799" max="1799" width="19.33203125" style="427" customWidth="1"/>
    <col min="1800" max="1800" width="14.109375" style="427" bestFit="1" customWidth="1"/>
    <col min="1801" max="1801" width="14.33203125" style="427" bestFit="1" customWidth="1"/>
    <col min="1802" max="1802" width="12.88671875" style="427" bestFit="1" customWidth="1"/>
    <col min="1803" max="1803" width="15.5546875" style="427" bestFit="1" customWidth="1"/>
    <col min="1804" max="1804" width="15" style="427" bestFit="1" customWidth="1"/>
    <col min="1805" max="1805" width="15.5546875" style="427" bestFit="1" customWidth="1"/>
    <col min="1806" max="1806" width="11.44140625" style="427" bestFit="1" customWidth="1"/>
    <col min="1807" max="1807" width="9.109375" style="427"/>
    <col min="1808" max="1808" width="15.5546875" style="427" bestFit="1" customWidth="1"/>
    <col min="1809" max="1809" width="10.6640625" style="427" bestFit="1" customWidth="1"/>
    <col min="1810" max="1810" width="9.109375" style="427"/>
    <col min="1811" max="1811" width="20.88671875" style="427" customWidth="1"/>
    <col min="1812" max="1812" width="15.44140625" style="427" customWidth="1"/>
    <col min="1813" max="1813" width="14.6640625" style="427" bestFit="1" customWidth="1"/>
    <col min="1814" max="1814" width="18.5546875" style="427" customWidth="1"/>
    <col min="1815" max="1815" width="21.5546875" style="427" customWidth="1"/>
    <col min="1816" max="1816" width="14.109375" style="427" bestFit="1" customWidth="1"/>
    <col min="1817" max="1818" width="14.33203125" style="427" bestFit="1" customWidth="1"/>
    <col min="1819" max="1819" width="15.5546875" style="427" bestFit="1" customWidth="1"/>
    <col min="1820" max="1820" width="15" style="427" bestFit="1" customWidth="1"/>
    <col min="1821" max="1821" width="15.5546875" style="427" bestFit="1" customWidth="1"/>
    <col min="1822" max="1822" width="9.109375" style="427"/>
    <col min="1823" max="1823" width="15.5546875" style="427" bestFit="1" customWidth="1"/>
    <col min="1824" max="1824" width="11.6640625" style="427" bestFit="1" customWidth="1"/>
    <col min="1825" max="1825" width="15.5546875" style="427" bestFit="1" customWidth="1"/>
    <col min="1826" max="2048" width="9.109375" style="427"/>
    <col min="2049" max="2049" width="14.88671875" style="427" customWidth="1"/>
    <col min="2050" max="2050" width="69.44140625" style="427" bestFit="1" customWidth="1"/>
    <col min="2051" max="2051" width="31.5546875" style="427" bestFit="1" customWidth="1"/>
    <col min="2052" max="2052" width="21.88671875" style="427" customWidth="1"/>
    <col min="2053" max="2053" width="14.6640625" style="427" bestFit="1" customWidth="1"/>
    <col min="2054" max="2054" width="19" style="427" customWidth="1"/>
    <col min="2055" max="2055" width="19.33203125" style="427" customWidth="1"/>
    <col min="2056" max="2056" width="14.109375" style="427" bestFit="1" customWidth="1"/>
    <col min="2057" max="2057" width="14.33203125" style="427" bestFit="1" customWidth="1"/>
    <col min="2058" max="2058" width="12.88671875" style="427" bestFit="1" customWidth="1"/>
    <col min="2059" max="2059" width="15.5546875" style="427" bestFit="1" customWidth="1"/>
    <col min="2060" max="2060" width="15" style="427" bestFit="1" customWidth="1"/>
    <col min="2061" max="2061" width="15.5546875" style="427" bestFit="1" customWidth="1"/>
    <col min="2062" max="2062" width="11.44140625" style="427" bestFit="1" customWidth="1"/>
    <col min="2063" max="2063" width="9.109375" style="427"/>
    <col min="2064" max="2064" width="15.5546875" style="427" bestFit="1" customWidth="1"/>
    <col min="2065" max="2065" width="10.6640625" style="427" bestFit="1" customWidth="1"/>
    <col min="2066" max="2066" width="9.109375" style="427"/>
    <col min="2067" max="2067" width="20.88671875" style="427" customWidth="1"/>
    <col min="2068" max="2068" width="15.44140625" style="427" customWidth="1"/>
    <col min="2069" max="2069" width="14.6640625" style="427" bestFit="1" customWidth="1"/>
    <col min="2070" max="2070" width="18.5546875" style="427" customWidth="1"/>
    <col min="2071" max="2071" width="21.5546875" style="427" customWidth="1"/>
    <col min="2072" max="2072" width="14.109375" style="427" bestFit="1" customWidth="1"/>
    <col min="2073" max="2074" width="14.33203125" style="427" bestFit="1" customWidth="1"/>
    <col min="2075" max="2075" width="15.5546875" style="427" bestFit="1" customWidth="1"/>
    <col min="2076" max="2076" width="15" style="427" bestFit="1" customWidth="1"/>
    <col min="2077" max="2077" width="15.5546875" style="427" bestFit="1" customWidth="1"/>
    <col min="2078" max="2078" width="9.109375" style="427"/>
    <col min="2079" max="2079" width="15.5546875" style="427" bestFit="1" customWidth="1"/>
    <col min="2080" max="2080" width="11.6640625" style="427" bestFit="1" customWidth="1"/>
    <col min="2081" max="2081" width="15.5546875" style="427" bestFit="1" customWidth="1"/>
    <col min="2082" max="2304" width="9.109375" style="427"/>
    <col min="2305" max="2305" width="14.88671875" style="427" customWidth="1"/>
    <col min="2306" max="2306" width="69.44140625" style="427" bestFit="1" customWidth="1"/>
    <col min="2307" max="2307" width="31.5546875" style="427" bestFit="1" customWidth="1"/>
    <col min="2308" max="2308" width="21.88671875" style="427" customWidth="1"/>
    <col min="2309" max="2309" width="14.6640625" style="427" bestFit="1" customWidth="1"/>
    <col min="2310" max="2310" width="19" style="427" customWidth="1"/>
    <col min="2311" max="2311" width="19.33203125" style="427" customWidth="1"/>
    <col min="2312" max="2312" width="14.109375" style="427" bestFit="1" customWidth="1"/>
    <col min="2313" max="2313" width="14.33203125" style="427" bestFit="1" customWidth="1"/>
    <col min="2314" max="2314" width="12.88671875" style="427" bestFit="1" customWidth="1"/>
    <col min="2315" max="2315" width="15.5546875" style="427" bestFit="1" customWidth="1"/>
    <col min="2316" max="2316" width="15" style="427" bestFit="1" customWidth="1"/>
    <col min="2317" max="2317" width="15.5546875" style="427" bestFit="1" customWidth="1"/>
    <col min="2318" max="2318" width="11.44140625" style="427" bestFit="1" customWidth="1"/>
    <col min="2319" max="2319" width="9.109375" style="427"/>
    <col min="2320" max="2320" width="15.5546875" style="427" bestFit="1" customWidth="1"/>
    <col min="2321" max="2321" width="10.6640625" style="427" bestFit="1" customWidth="1"/>
    <col min="2322" max="2322" width="9.109375" style="427"/>
    <col min="2323" max="2323" width="20.88671875" style="427" customWidth="1"/>
    <col min="2324" max="2324" width="15.44140625" style="427" customWidth="1"/>
    <col min="2325" max="2325" width="14.6640625" style="427" bestFit="1" customWidth="1"/>
    <col min="2326" max="2326" width="18.5546875" style="427" customWidth="1"/>
    <col min="2327" max="2327" width="21.5546875" style="427" customWidth="1"/>
    <col min="2328" max="2328" width="14.109375" style="427" bestFit="1" customWidth="1"/>
    <col min="2329" max="2330" width="14.33203125" style="427" bestFit="1" customWidth="1"/>
    <col min="2331" max="2331" width="15.5546875" style="427" bestFit="1" customWidth="1"/>
    <col min="2332" max="2332" width="15" style="427" bestFit="1" customWidth="1"/>
    <col min="2333" max="2333" width="15.5546875" style="427" bestFit="1" customWidth="1"/>
    <col min="2334" max="2334" width="9.109375" style="427"/>
    <col min="2335" max="2335" width="15.5546875" style="427" bestFit="1" customWidth="1"/>
    <col min="2336" max="2336" width="11.6640625" style="427" bestFit="1" customWidth="1"/>
    <col min="2337" max="2337" width="15.5546875" style="427" bestFit="1" customWidth="1"/>
    <col min="2338" max="2560" width="9.109375" style="427"/>
    <col min="2561" max="2561" width="14.88671875" style="427" customWidth="1"/>
    <col min="2562" max="2562" width="69.44140625" style="427" bestFit="1" customWidth="1"/>
    <col min="2563" max="2563" width="31.5546875" style="427" bestFit="1" customWidth="1"/>
    <col min="2564" max="2564" width="21.88671875" style="427" customWidth="1"/>
    <col min="2565" max="2565" width="14.6640625" style="427" bestFit="1" customWidth="1"/>
    <col min="2566" max="2566" width="19" style="427" customWidth="1"/>
    <col min="2567" max="2567" width="19.33203125" style="427" customWidth="1"/>
    <col min="2568" max="2568" width="14.109375" style="427" bestFit="1" customWidth="1"/>
    <col min="2569" max="2569" width="14.33203125" style="427" bestFit="1" customWidth="1"/>
    <col min="2570" max="2570" width="12.88671875" style="427" bestFit="1" customWidth="1"/>
    <col min="2571" max="2571" width="15.5546875" style="427" bestFit="1" customWidth="1"/>
    <col min="2572" max="2572" width="15" style="427" bestFit="1" customWidth="1"/>
    <col min="2573" max="2573" width="15.5546875" style="427" bestFit="1" customWidth="1"/>
    <col min="2574" max="2574" width="11.44140625" style="427" bestFit="1" customWidth="1"/>
    <col min="2575" max="2575" width="9.109375" style="427"/>
    <col min="2576" max="2576" width="15.5546875" style="427" bestFit="1" customWidth="1"/>
    <col min="2577" max="2577" width="10.6640625" style="427" bestFit="1" customWidth="1"/>
    <col min="2578" max="2578" width="9.109375" style="427"/>
    <col min="2579" max="2579" width="20.88671875" style="427" customWidth="1"/>
    <col min="2580" max="2580" width="15.44140625" style="427" customWidth="1"/>
    <col min="2581" max="2581" width="14.6640625" style="427" bestFit="1" customWidth="1"/>
    <col min="2582" max="2582" width="18.5546875" style="427" customWidth="1"/>
    <col min="2583" max="2583" width="21.5546875" style="427" customWidth="1"/>
    <col min="2584" max="2584" width="14.109375" style="427" bestFit="1" customWidth="1"/>
    <col min="2585" max="2586" width="14.33203125" style="427" bestFit="1" customWidth="1"/>
    <col min="2587" max="2587" width="15.5546875" style="427" bestFit="1" customWidth="1"/>
    <col min="2588" max="2588" width="15" style="427" bestFit="1" customWidth="1"/>
    <col min="2589" max="2589" width="15.5546875" style="427" bestFit="1" customWidth="1"/>
    <col min="2590" max="2590" width="9.109375" style="427"/>
    <col min="2591" max="2591" width="15.5546875" style="427" bestFit="1" customWidth="1"/>
    <col min="2592" max="2592" width="11.6640625" style="427" bestFit="1" customWidth="1"/>
    <col min="2593" max="2593" width="15.5546875" style="427" bestFit="1" customWidth="1"/>
    <col min="2594" max="2816" width="9.109375" style="427"/>
    <col min="2817" max="2817" width="14.88671875" style="427" customWidth="1"/>
    <col min="2818" max="2818" width="69.44140625" style="427" bestFit="1" customWidth="1"/>
    <col min="2819" max="2819" width="31.5546875" style="427" bestFit="1" customWidth="1"/>
    <col min="2820" max="2820" width="21.88671875" style="427" customWidth="1"/>
    <col min="2821" max="2821" width="14.6640625" style="427" bestFit="1" customWidth="1"/>
    <col min="2822" max="2822" width="19" style="427" customWidth="1"/>
    <col min="2823" max="2823" width="19.33203125" style="427" customWidth="1"/>
    <col min="2824" max="2824" width="14.109375" style="427" bestFit="1" customWidth="1"/>
    <col min="2825" max="2825" width="14.33203125" style="427" bestFit="1" customWidth="1"/>
    <col min="2826" max="2826" width="12.88671875" style="427" bestFit="1" customWidth="1"/>
    <col min="2827" max="2827" width="15.5546875" style="427" bestFit="1" customWidth="1"/>
    <col min="2828" max="2828" width="15" style="427" bestFit="1" customWidth="1"/>
    <col min="2829" max="2829" width="15.5546875" style="427" bestFit="1" customWidth="1"/>
    <col min="2830" max="2830" width="11.44140625" style="427" bestFit="1" customWidth="1"/>
    <col min="2831" max="2831" width="9.109375" style="427"/>
    <col min="2832" max="2832" width="15.5546875" style="427" bestFit="1" customWidth="1"/>
    <col min="2833" max="2833" width="10.6640625" style="427" bestFit="1" customWidth="1"/>
    <col min="2834" max="2834" width="9.109375" style="427"/>
    <col min="2835" max="2835" width="20.88671875" style="427" customWidth="1"/>
    <col min="2836" max="2836" width="15.44140625" style="427" customWidth="1"/>
    <col min="2837" max="2837" width="14.6640625" style="427" bestFit="1" customWidth="1"/>
    <col min="2838" max="2838" width="18.5546875" style="427" customWidth="1"/>
    <col min="2839" max="2839" width="21.5546875" style="427" customWidth="1"/>
    <col min="2840" max="2840" width="14.109375" style="427" bestFit="1" customWidth="1"/>
    <col min="2841" max="2842" width="14.33203125" style="427" bestFit="1" customWidth="1"/>
    <col min="2843" max="2843" width="15.5546875" style="427" bestFit="1" customWidth="1"/>
    <col min="2844" max="2844" width="15" style="427" bestFit="1" customWidth="1"/>
    <col min="2845" max="2845" width="15.5546875" style="427" bestFit="1" customWidth="1"/>
    <col min="2846" max="2846" width="9.109375" style="427"/>
    <col min="2847" max="2847" width="15.5546875" style="427" bestFit="1" customWidth="1"/>
    <col min="2848" max="2848" width="11.6640625" style="427" bestFit="1" customWidth="1"/>
    <col min="2849" max="2849" width="15.5546875" style="427" bestFit="1" customWidth="1"/>
    <col min="2850" max="3072" width="9.109375" style="427"/>
    <col min="3073" max="3073" width="14.88671875" style="427" customWidth="1"/>
    <col min="3074" max="3074" width="69.44140625" style="427" bestFit="1" customWidth="1"/>
    <col min="3075" max="3075" width="31.5546875" style="427" bestFit="1" customWidth="1"/>
    <col min="3076" max="3076" width="21.88671875" style="427" customWidth="1"/>
    <col min="3077" max="3077" width="14.6640625" style="427" bestFit="1" customWidth="1"/>
    <col min="3078" max="3078" width="19" style="427" customWidth="1"/>
    <col min="3079" max="3079" width="19.33203125" style="427" customWidth="1"/>
    <col min="3080" max="3080" width="14.109375" style="427" bestFit="1" customWidth="1"/>
    <col min="3081" max="3081" width="14.33203125" style="427" bestFit="1" customWidth="1"/>
    <col min="3082" max="3082" width="12.88671875" style="427" bestFit="1" customWidth="1"/>
    <col min="3083" max="3083" width="15.5546875" style="427" bestFit="1" customWidth="1"/>
    <col min="3084" max="3084" width="15" style="427" bestFit="1" customWidth="1"/>
    <col min="3085" max="3085" width="15.5546875" style="427" bestFit="1" customWidth="1"/>
    <col min="3086" max="3086" width="11.44140625" style="427" bestFit="1" customWidth="1"/>
    <col min="3087" max="3087" width="9.109375" style="427"/>
    <col min="3088" max="3088" width="15.5546875" style="427" bestFit="1" customWidth="1"/>
    <col min="3089" max="3089" width="10.6640625" style="427" bestFit="1" customWidth="1"/>
    <col min="3090" max="3090" width="9.109375" style="427"/>
    <col min="3091" max="3091" width="20.88671875" style="427" customWidth="1"/>
    <col min="3092" max="3092" width="15.44140625" style="427" customWidth="1"/>
    <col min="3093" max="3093" width="14.6640625" style="427" bestFit="1" customWidth="1"/>
    <col min="3094" max="3094" width="18.5546875" style="427" customWidth="1"/>
    <col min="3095" max="3095" width="21.5546875" style="427" customWidth="1"/>
    <col min="3096" max="3096" width="14.109375" style="427" bestFit="1" customWidth="1"/>
    <col min="3097" max="3098" width="14.33203125" style="427" bestFit="1" customWidth="1"/>
    <col min="3099" max="3099" width="15.5546875" style="427" bestFit="1" customWidth="1"/>
    <col min="3100" max="3100" width="15" style="427" bestFit="1" customWidth="1"/>
    <col min="3101" max="3101" width="15.5546875" style="427" bestFit="1" customWidth="1"/>
    <col min="3102" max="3102" width="9.109375" style="427"/>
    <col min="3103" max="3103" width="15.5546875" style="427" bestFit="1" customWidth="1"/>
    <col min="3104" max="3104" width="11.6640625" style="427" bestFit="1" customWidth="1"/>
    <col min="3105" max="3105" width="15.5546875" style="427" bestFit="1" customWidth="1"/>
    <col min="3106" max="3328" width="9.109375" style="427"/>
    <col min="3329" max="3329" width="14.88671875" style="427" customWidth="1"/>
    <col min="3330" max="3330" width="69.44140625" style="427" bestFit="1" customWidth="1"/>
    <col min="3331" max="3331" width="31.5546875" style="427" bestFit="1" customWidth="1"/>
    <col min="3332" max="3332" width="21.88671875" style="427" customWidth="1"/>
    <col min="3333" max="3333" width="14.6640625" style="427" bestFit="1" customWidth="1"/>
    <col min="3334" max="3334" width="19" style="427" customWidth="1"/>
    <col min="3335" max="3335" width="19.33203125" style="427" customWidth="1"/>
    <col min="3336" max="3336" width="14.109375" style="427" bestFit="1" customWidth="1"/>
    <col min="3337" max="3337" width="14.33203125" style="427" bestFit="1" customWidth="1"/>
    <col min="3338" max="3338" width="12.88671875" style="427" bestFit="1" customWidth="1"/>
    <col min="3339" max="3339" width="15.5546875" style="427" bestFit="1" customWidth="1"/>
    <col min="3340" max="3340" width="15" style="427" bestFit="1" customWidth="1"/>
    <col min="3341" max="3341" width="15.5546875" style="427" bestFit="1" customWidth="1"/>
    <col min="3342" max="3342" width="11.44140625" style="427" bestFit="1" customWidth="1"/>
    <col min="3343" max="3343" width="9.109375" style="427"/>
    <col min="3344" max="3344" width="15.5546875" style="427" bestFit="1" customWidth="1"/>
    <col min="3345" max="3345" width="10.6640625" style="427" bestFit="1" customWidth="1"/>
    <col min="3346" max="3346" width="9.109375" style="427"/>
    <col min="3347" max="3347" width="20.88671875" style="427" customWidth="1"/>
    <col min="3348" max="3348" width="15.44140625" style="427" customWidth="1"/>
    <col min="3349" max="3349" width="14.6640625" style="427" bestFit="1" customWidth="1"/>
    <col min="3350" max="3350" width="18.5546875" style="427" customWidth="1"/>
    <col min="3351" max="3351" width="21.5546875" style="427" customWidth="1"/>
    <col min="3352" max="3352" width="14.109375" style="427" bestFit="1" customWidth="1"/>
    <col min="3353" max="3354" width="14.33203125" style="427" bestFit="1" customWidth="1"/>
    <col min="3355" max="3355" width="15.5546875" style="427" bestFit="1" customWidth="1"/>
    <col min="3356" max="3356" width="15" style="427" bestFit="1" customWidth="1"/>
    <col min="3357" max="3357" width="15.5546875" style="427" bestFit="1" customWidth="1"/>
    <col min="3358" max="3358" width="9.109375" style="427"/>
    <col min="3359" max="3359" width="15.5546875" style="427" bestFit="1" customWidth="1"/>
    <col min="3360" max="3360" width="11.6640625" style="427" bestFit="1" customWidth="1"/>
    <col min="3361" max="3361" width="15.5546875" style="427" bestFit="1" customWidth="1"/>
    <col min="3362" max="3584" width="9.109375" style="427"/>
    <col min="3585" max="3585" width="14.88671875" style="427" customWidth="1"/>
    <col min="3586" max="3586" width="69.44140625" style="427" bestFit="1" customWidth="1"/>
    <col min="3587" max="3587" width="31.5546875" style="427" bestFit="1" customWidth="1"/>
    <col min="3588" max="3588" width="21.88671875" style="427" customWidth="1"/>
    <col min="3589" max="3589" width="14.6640625" style="427" bestFit="1" customWidth="1"/>
    <col min="3590" max="3590" width="19" style="427" customWidth="1"/>
    <col min="3591" max="3591" width="19.33203125" style="427" customWidth="1"/>
    <col min="3592" max="3592" width="14.109375" style="427" bestFit="1" customWidth="1"/>
    <col min="3593" max="3593" width="14.33203125" style="427" bestFit="1" customWidth="1"/>
    <col min="3594" max="3594" width="12.88671875" style="427" bestFit="1" customWidth="1"/>
    <col min="3595" max="3595" width="15.5546875" style="427" bestFit="1" customWidth="1"/>
    <col min="3596" max="3596" width="15" style="427" bestFit="1" customWidth="1"/>
    <col min="3597" max="3597" width="15.5546875" style="427" bestFit="1" customWidth="1"/>
    <col min="3598" max="3598" width="11.44140625" style="427" bestFit="1" customWidth="1"/>
    <col min="3599" max="3599" width="9.109375" style="427"/>
    <col min="3600" max="3600" width="15.5546875" style="427" bestFit="1" customWidth="1"/>
    <col min="3601" max="3601" width="10.6640625" style="427" bestFit="1" customWidth="1"/>
    <col min="3602" max="3602" width="9.109375" style="427"/>
    <col min="3603" max="3603" width="20.88671875" style="427" customWidth="1"/>
    <col min="3604" max="3604" width="15.44140625" style="427" customWidth="1"/>
    <col min="3605" max="3605" width="14.6640625" style="427" bestFit="1" customWidth="1"/>
    <col min="3606" max="3606" width="18.5546875" style="427" customWidth="1"/>
    <col min="3607" max="3607" width="21.5546875" style="427" customWidth="1"/>
    <col min="3608" max="3608" width="14.109375" style="427" bestFit="1" customWidth="1"/>
    <col min="3609" max="3610" width="14.33203125" style="427" bestFit="1" customWidth="1"/>
    <col min="3611" max="3611" width="15.5546875" style="427" bestFit="1" customWidth="1"/>
    <col min="3612" max="3612" width="15" style="427" bestFit="1" customWidth="1"/>
    <col min="3613" max="3613" width="15.5546875" style="427" bestFit="1" customWidth="1"/>
    <col min="3614" max="3614" width="9.109375" style="427"/>
    <col min="3615" max="3615" width="15.5546875" style="427" bestFit="1" customWidth="1"/>
    <col min="3616" max="3616" width="11.6640625" style="427" bestFit="1" customWidth="1"/>
    <col min="3617" max="3617" width="15.5546875" style="427" bestFit="1" customWidth="1"/>
    <col min="3618" max="3840" width="9.109375" style="427"/>
    <col min="3841" max="3841" width="14.88671875" style="427" customWidth="1"/>
    <col min="3842" max="3842" width="69.44140625" style="427" bestFit="1" customWidth="1"/>
    <col min="3843" max="3843" width="31.5546875" style="427" bestFit="1" customWidth="1"/>
    <col min="3844" max="3844" width="21.88671875" style="427" customWidth="1"/>
    <col min="3845" max="3845" width="14.6640625" style="427" bestFit="1" customWidth="1"/>
    <col min="3846" max="3846" width="19" style="427" customWidth="1"/>
    <col min="3847" max="3847" width="19.33203125" style="427" customWidth="1"/>
    <col min="3848" max="3848" width="14.109375" style="427" bestFit="1" customWidth="1"/>
    <col min="3849" max="3849" width="14.33203125" style="427" bestFit="1" customWidth="1"/>
    <col min="3850" max="3850" width="12.88671875" style="427" bestFit="1" customWidth="1"/>
    <col min="3851" max="3851" width="15.5546875" style="427" bestFit="1" customWidth="1"/>
    <col min="3852" max="3852" width="15" style="427" bestFit="1" customWidth="1"/>
    <col min="3853" max="3853" width="15.5546875" style="427" bestFit="1" customWidth="1"/>
    <col min="3854" max="3854" width="11.44140625" style="427" bestFit="1" customWidth="1"/>
    <col min="3855" max="3855" width="9.109375" style="427"/>
    <col min="3856" max="3856" width="15.5546875" style="427" bestFit="1" customWidth="1"/>
    <col min="3857" max="3857" width="10.6640625" style="427" bestFit="1" customWidth="1"/>
    <col min="3858" max="3858" width="9.109375" style="427"/>
    <col min="3859" max="3859" width="20.88671875" style="427" customWidth="1"/>
    <col min="3860" max="3860" width="15.44140625" style="427" customWidth="1"/>
    <col min="3861" max="3861" width="14.6640625" style="427" bestFit="1" customWidth="1"/>
    <col min="3862" max="3862" width="18.5546875" style="427" customWidth="1"/>
    <col min="3863" max="3863" width="21.5546875" style="427" customWidth="1"/>
    <col min="3864" max="3864" width="14.109375" style="427" bestFit="1" customWidth="1"/>
    <col min="3865" max="3866" width="14.33203125" style="427" bestFit="1" customWidth="1"/>
    <col min="3867" max="3867" width="15.5546875" style="427" bestFit="1" customWidth="1"/>
    <col min="3868" max="3868" width="15" style="427" bestFit="1" customWidth="1"/>
    <col min="3869" max="3869" width="15.5546875" style="427" bestFit="1" customWidth="1"/>
    <col min="3870" max="3870" width="9.109375" style="427"/>
    <col min="3871" max="3871" width="15.5546875" style="427" bestFit="1" customWidth="1"/>
    <col min="3872" max="3872" width="11.6640625" style="427" bestFit="1" customWidth="1"/>
    <col min="3873" max="3873" width="15.5546875" style="427" bestFit="1" customWidth="1"/>
    <col min="3874" max="4096" width="9.109375" style="427"/>
    <col min="4097" max="4097" width="14.88671875" style="427" customWidth="1"/>
    <col min="4098" max="4098" width="69.44140625" style="427" bestFit="1" customWidth="1"/>
    <col min="4099" max="4099" width="31.5546875" style="427" bestFit="1" customWidth="1"/>
    <col min="4100" max="4100" width="21.88671875" style="427" customWidth="1"/>
    <col min="4101" max="4101" width="14.6640625" style="427" bestFit="1" customWidth="1"/>
    <col min="4102" max="4102" width="19" style="427" customWidth="1"/>
    <col min="4103" max="4103" width="19.33203125" style="427" customWidth="1"/>
    <col min="4104" max="4104" width="14.109375" style="427" bestFit="1" customWidth="1"/>
    <col min="4105" max="4105" width="14.33203125" style="427" bestFit="1" customWidth="1"/>
    <col min="4106" max="4106" width="12.88671875" style="427" bestFit="1" customWidth="1"/>
    <col min="4107" max="4107" width="15.5546875" style="427" bestFit="1" customWidth="1"/>
    <col min="4108" max="4108" width="15" style="427" bestFit="1" customWidth="1"/>
    <col min="4109" max="4109" width="15.5546875" style="427" bestFit="1" customWidth="1"/>
    <col min="4110" max="4110" width="11.44140625" style="427" bestFit="1" customWidth="1"/>
    <col min="4111" max="4111" width="9.109375" style="427"/>
    <col min="4112" max="4112" width="15.5546875" style="427" bestFit="1" customWidth="1"/>
    <col min="4113" max="4113" width="10.6640625" style="427" bestFit="1" customWidth="1"/>
    <col min="4114" max="4114" width="9.109375" style="427"/>
    <col min="4115" max="4115" width="20.88671875" style="427" customWidth="1"/>
    <col min="4116" max="4116" width="15.44140625" style="427" customWidth="1"/>
    <col min="4117" max="4117" width="14.6640625" style="427" bestFit="1" customWidth="1"/>
    <col min="4118" max="4118" width="18.5546875" style="427" customWidth="1"/>
    <col min="4119" max="4119" width="21.5546875" style="427" customWidth="1"/>
    <col min="4120" max="4120" width="14.109375" style="427" bestFit="1" customWidth="1"/>
    <col min="4121" max="4122" width="14.33203125" style="427" bestFit="1" customWidth="1"/>
    <col min="4123" max="4123" width="15.5546875" style="427" bestFit="1" customWidth="1"/>
    <col min="4124" max="4124" width="15" style="427" bestFit="1" customWidth="1"/>
    <col min="4125" max="4125" width="15.5546875" style="427" bestFit="1" customWidth="1"/>
    <col min="4126" max="4126" width="9.109375" style="427"/>
    <col min="4127" max="4127" width="15.5546875" style="427" bestFit="1" customWidth="1"/>
    <col min="4128" max="4128" width="11.6640625" style="427" bestFit="1" customWidth="1"/>
    <col min="4129" max="4129" width="15.5546875" style="427" bestFit="1" customWidth="1"/>
    <col min="4130" max="4352" width="9.109375" style="427"/>
    <col min="4353" max="4353" width="14.88671875" style="427" customWidth="1"/>
    <col min="4354" max="4354" width="69.44140625" style="427" bestFit="1" customWidth="1"/>
    <col min="4355" max="4355" width="31.5546875" style="427" bestFit="1" customWidth="1"/>
    <col min="4356" max="4356" width="21.88671875" style="427" customWidth="1"/>
    <col min="4357" max="4357" width="14.6640625" style="427" bestFit="1" customWidth="1"/>
    <col min="4358" max="4358" width="19" style="427" customWidth="1"/>
    <col min="4359" max="4359" width="19.33203125" style="427" customWidth="1"/>
    <col min="4360" max="4360" width="14.109375" style="427" bestFit="1" customWidth="1"/>
    <col min="4361" max="4361" width="14.33203125" style="427" bestFit="1" customWidth="1"/>
    <col min="4362" max="4362" width="12.88671875" style="427" bestFit="1" customWidth="1"/>
    <col min="4363" max="4363" width="15.5546875" style="427" bestFit="1" customWidth="1"/>
    <col min="4364" max="4364" width="15" style="427" bestFit="1" customWidth="1"/>
    <col min="4365" max="4365" width="15.5546875" style="427" bestFit="1" customWidth="1"/>
    <col min="4366" max="4366" width="11.44140625" style="427" bestFit="1" customWidth="1"/>
    <col min="4367" max="4367" width="9.109375" style="427"/>
    <col min="4368" max="4368" width="15.5546875" style="427" bestFit="1" customWidth="1"/>
    <col min="4369" max="4369" width="10.6640625" style="427" bestFit="1" customWidth="1"/>
    <col min="4370" max="4370" width="9.109375" style="427"/>
    <col min="4371" max="4371" width="20.88671875" style="427" customWidth="1"/>
    <col min="4372" max="4372" width="15.44140625" style="427" customWidth="1"/>
    <col min="4373" max="4373" width="14.6640625" style="427" bestFit="1" customWidth="1"/>
    <col min="4374" max="4374" width="18.5546875" style="427" customWidth="1"/>
    <col min="4375" max="4375" width="21.5546875" style="427" customWidth="1"/>
    <col min="4376" max="4376" width="14.109375" style="427" bestFit="1" customWidth="1"/>
    <col min="4377" max="4378" width="14.33203125" style="427" bestFit="1" customWidth="1"/>
    <col min="4379" max="4379" width="15.5546875" style="427" bestFit="1" customWidth="1"/>
    <col min="4380" max="4380" width="15" style="427" bestFit="1" customWidth="1"/>
    <col min="4381" max="4381" width="15.5546875" style="427" bestFit="1" customWidth="1"/>
    <col min="4382" max="4382" width="9.109375" style="427"/>
    <col min="4383" max="4383" width="15.5546875" style="427" bestFit="1" customWidth="1"/>
    <col min="4384" max="4384" width="11.6640625" style="427" bestFit="1" customWidth="1"/>
    <col min="4385" max="4385" width="15.5546875" style="427" bestFit="1" customWidth="1"/>
    <col min="4386" max="4608" width="9.109375" style="427"/>
    <col min="4609" max="4609" width="14.88671875" style="427" customWidth="1"/>
    <col min="4610" max="4610" width="69.44140625" style="427" bestFit="1" customWidth="1"/>
    <col min="4611" max="4611" width="31.5546875" style="427" bestFit="1" customWidth="1"/>
    <col min="4612" max="4612" width="21.88671875" style="427" customWidth="1"/>
    <col min="4613" max="4613" width="14.6640625" style="427" bestFit="1" customWidth="1"/>
    <col min="4614" max="4614" width="19" style="427" customWidth="1"/>
    <col min="4615" max="4615" width="19.33203125" style="427" customWidth="1"/>
    <col min="4616" max="4616" width="14.109375" style="427" bestFit="1" customWidth="1"/>
    <col min="4617" max="4617" width="14.33203125" style="427" bestFit="1" customWidth="1"/>
    <col min="4618" max="4618" width="12.88671875" style="427" bestFit="1" customWidth="1"/>
    <col min="4619" max="4619" width="15.5546875" style="427" bestFit="1" customWidth="1"/>
    <col min="4620" max="4620" width="15" style="427" bestFit="1" customWidth="1"/>
    <col min="4621" max="4621" width="15.5546875" style="427" bestFit="1" customWidth="1"/>
    <col min="4622" max="4622" width="11.44140625" style="427" bestFit="1" customWidth="1"/>
    <col min="4623" max="4623" width="9.109375" style="427"/>
    <col min="4624" max="4624" width="15.5546875" style="427" bestFit="1" customWidth="1"/>
    <col min="4625" max="4625" width="10.6640625" style="427" bestFit="1" customWidth="1"/>
    <col min="4626" max="4626" width="9.109375" style="427"/>
    <col min="4627" max="4627" width="20.88671875" style="427" customWidth="1"/>
    <col min="4628" max="4628" width="15.44140625" style="427" customWidth="1"/>
    <col min="4629" max="4629" width="14.6640625" style="427" bestFit="1" customWidth="1"/>
    <col min="4630" max="4630" width="18.5546875" style="427" customWidth="1"/>
    <col min="4631" max="4631" width="21.5546875" style="427" customWidth="1"/>
    <col min="4632" max="4632" width="14.109375" style="427" bestFit="1" customWidth="1"/>
    <col min="4633" max="4634" width="14.33203125" style="427" bestFit="1" customWidth="1"/>
    <col min="4635" max="4635" width="15.5546875" style="427" bestFit="1" customWidth="1"/>
    <col min="4636" max="4636" width="15" style="427" bestFit="1" customWidth="1"/>
    <col min="4637" max="4637" width="15.5546875" style="427" bestFit="1" customWidth="1"/>
    <col min="4638" max="4638" width="9.109375" style="427"/>
    <col min="4639" max="4639" width="15.5546875" style="427" bestFit="1" customWidth="1"/>
    <col min="4640" max="4640" width="11.6640625" style="427" bestFit="1" customWidth="1"/>
    <col min="4641" max="4641" width="15.5546875" style="427" bestFit="1" customWidth="1"/>
    <col min="4642" max="4864" width="9.109375" style="427"/>
    <col min="4865" max="4865" width="14.88671875" style="427" customWidth="1"/>
    <col min="4866" max="4866" width="69.44140625" style="427" bestFit="1" customWidth="1"/>
    <col min="4867" max="4867" width="31.5546875" style="427" bestFit="1" customWidth="1"/>
    <col min="4868" max="4868" width="21.88671875" style="427" customWidth="1"/>
    <col min="4869" max="4869" width="14.6640625" style="427" bestFit="1" customWidth="1"/>
    <col min="4870" max="4870" width="19" style="427" customWidth="1"/>
    <col min="4871" max="4871" width="19.33203125" style="427" customWidth="1"/>
    <col min="4872" max="4872" width="14.109375" style="427" bestFit="1" customWidth="1"/>
    <col min="4873" max="4873" width="14.33203125" style="427" bestFit="1" customWidth="1"/>
    <col min="4874" max="4874" width="12.88671875" style="427" bestFit="1" customWidth="1"/>
    <col min="4875" max="4875" width="15.5546875" style="427" bestFit="1" customWidth="1"/>
    <col min="4876" max="4876" width="15" style="427" bestFit="1" customWidth="1"/>
    <col min="4877" max="4877" width="15.5546875" style="427" bestFit="1" customWidth="1"/>
    <col min="4878" max="4878" width="11.44140625" style="427" bestFit="1" customWidth="1"/>
    <col min="4879" max="4879" width="9.109375" style="427"/>
    <col min="4880" max="4880" width="15.5546875" style="427" bestFit="1" customWidth="1"/>
    <col min="4881" max="4881" width="10.6640625" style="427" bestFit="1" customWidth="1"/>
    <col min="4882" max="4882" width="9.109375" style="427"/>
    <col min="4883" max="4883" width="20.88671875" style="427" customWidth="1"/>
    <col min="4884" max="4884" width="15.44140625" style="427" customWidth="1"/>
    <col min="4885" max="4885" width="14.6640625" style="427" bestFit="1" customWidth="1"/>
    <col min="4886" max="4886" width="18.5546875" style="427" customWidth="1"/>
    <col min="4887" max="4887" width="21.5546875" style="427" customWidth="1"/>
    <col min="4888" max="4888" width="14.109375" style="427" bestFit="1" customWidth="1"/>
    <col min="4889" max="4890" width="14.33203125" style="427" bestFit="1" customWidth="1"/>
    <col min="4891" max="4891" width="15.5546875" style="427" bestFit="1" customWidth="1"/>
    <col min="4892" max="4892" width="15" style="427" bestFit="1" customWidth="1"/>
    <col min="4893" max="4893" width="15.5546875" style="427" bestFit="1" customWidth="1"/>
    <col min="4894" max="4894" width="9.109375" style="427"/>
    <col min="4895" max="4895" width="15.5546875" style="427" bestFit="1" customWidth="1"/>
    <col min="4896" max="4896" width="11.6640625" style="427" bestFit="1" customWidth="1"/>
    <col min="4897" max="4897" width="15.5546875" style="427" bestFit="1" customWidth="1"/>
    <col min="4898" max="5120" width="9.109375" style="427"/>
    <col min="5121" max="5121" width="14.88671875" style="427" customWidth="1"/>
    <col min="5122" max="5122" width="69.44140625" style="427" bestFit="1" customWidth="1"/>
    <col min="5123" max="5123" width="31.5546875" style="427" bestFit="1" customWidth="1"/>
    <col min="5124" max="5124" width="21.88671875" style="427" customWidth="1"/>
    <col min="5125" max="5125" width="14.6640625" style="427" bestFit="1" customWidth="1"/>
    <col min="5126" max="5126" width="19" style="427" customWidth="1"/>
    <col min="5127" max="5127" width="19.33203125" style="427" customWidth="1"/>
    <col min="5128" max="5128" width="14.109375" style="427" bestFit="1" customWidth="1"/>
    <col min="5129" max="5129" width="14.33203125" style="427" bestFit="1" customWidth="1"/>
    <col min="5130" max="5130" width="12.88671875" style="427" bestFit="1" customWidth="1"/>
    <col min="5131" max="5131" width="15.5546875" style="427" bestFit="1" customWidth="1"/>
    <col min="5132" max="5132" width="15" style="427" bestFit="1" customWidth="1"/>
    <col min="5133" max="5133" width="15.5546875" style="427" bestFit="1" customWidth="1"/>
    <col min="5134" max="5134" width="11.44140625" style="427" bestFit="1" customWidth="1"/>
    <col min="5135" max="5135" width="9.109375" style="427"/>
    <col min="5136" max="5136" width="15.5546875" style="427" bestFit="1" customWidth="1"/>
    <col min="5137" max="5137" width="10.6640625" style="427" bestFit="1" customWidth="1"/>
    <col min="5138" max="5138" width="9.109375" style="427"/>
    <col min="5139" max="5139" width="20.88671875" style="427" customWidth="1"/>
    <col min="5140" max="5140" width="15.44140625" style="427" customWidth="1"/>
    <col min="5141" max="5141" width="14.6640625" style="427" bestFit="1" customWidth="1"/>
    <col min="5142" max="5142" width="18.5546875" style="427" customWidth="1"/>
    <col min="5143" max="5143" width="21.5546875" style="427" customWidth="1"/>
    <col min="5144" max="5144" width="14.109375" style="427" bestFit="1" customWidth="1"/>
    <col min="5145" max="5146" width="14.33203125" style="427" bestFit="1" customWidth="1"/>
    <col min="5147" max="5147" width="15.5546875" style="427" bestFit="1" customWidth="1"/>
    <col min="5148" max="5148" width="15" style="427" bestFit="1" customWidth="1"/>
    <col min="5149" max="5149" width="15.5546875" style="427" bestFit="1" customWidth="1"/>
    <col min="5150" max="5150" width="9.109375" style="427"/>
    <col min="5151" max="5151" width="15.5546875" style="427" bestFit="1" customWidth="1"/>
    <col min="5152" max="5152" width="11.6640625" style="427" bestFit="1" customWidth="1"/>
    <col min="5153" max="5153" width="15.5546875" style="427" bestFit="1" customWidth="1"/>
    <col min="5154" max="5376" width="9.109375" style="427"/>
    <col min="5377" max="5377" width="14.88671875" style="427" customWidth="1"/>
    <col min="5378" max="5378" width="69.44140625" style="427" bestFit="1" customWidth="1"/>
    <col min="5379" max="5379" width="31.5546875" style="427" bestFit="1" customWidth="1"/>
    <col min="5380" max="5380" width="21.88671875" style="427" customWidth="1"/>
    <col min="5381" max="5381" width="14.6640625" style="427" bestFit="1" customWidth="1"/>
    <col min="5382" max="5382" width="19" style="427" customWidth="1"/>
    <col min="5383" max="5383" width="19.33203125" style="427" customWidth="1"/>
    <col min="5384" max="5384" width="14.109375" style="427" bestFit="1" customWidth="1"/>
    <col min="5385" max="5385" width="14.33203125" style="427" bestFit="1" customWidth="1"/>
    <col min="5386" max="5386" width="12.88671875" style="427" bestFit="1" customWidth="1"/>
    <col min="5387" max="5387" width="15.5546875" style="427" bestFit="1" customWidth="1"/>
    <col min="5388" max="5388" width="15" style="427" bestFit="1" customWidth="1"/>
    <col min="5389" max="5389" width="15.5546875" style="427" bestFit="1" customWidth="1"/>
    <col min="5390" max="5390" width="11.44140625" style="427" bestFit="1" customWidth="1"/>
    <col min="5391" max="5391" width="9.109375" style="427"/>
    <col min="5392" max="5392" width="15.5546875" style="427" bestFit="1" customWidth="1"/>
    <col min="5393" max="5393" width="10.6640625" style="427" bestFit="1" customWidth="1"/>
    <col min="5394" max="5394" width="9.109375" style="427"/>
    <col min="5395" max="5395" width="20.88671875" style="427" customWidth="1"/>
    <col min="5396" max="5396" width="15.44140625" style="427" customWidth="1"/>
    <col min="5397" max="5397" width="14.6640625" style="427" bestFit="1" customWidth="1"/>
    <col min="5398" max="5398" width="18.5546875" style="427" customWidth="1"/>
    <col min="5399" max="5399" width="21.5546875" style="427" customWidth="1"/>
    <col min="5400" max="5400" width="14.109375" style="427" bestFit="1" customWidth="1"/>
    <col min="5401" max="5402" width="14.33203125" style="427" bestFit="1" customWidth="1"/>
    <col min="5403" max="5403" width="15.5546875" style="427" bestFit="1" customWidth="1"/>
    <col min="5404" max="5404" width="15" style="427" bestFit="1" customWidth="1"/>
    <col min="5405" max="5405" width="15.5546875" style="427" bestFit="1" customWidth="1"/>
    <col min="5406" max="5406" width="9.109375" style="427"/>
    <col min="5407" max="5407" width="15.5546875" style="427" bestFit="1" customWidth="1"/>
    <col min="5408" max="5408" width="11.6640625" style="427" bestFit="1" customWidth="1"/>
    <col min="5409" max="5409" width="15.5546875" style="427" bestFit="1" customWidth="1"/>
    <col min="5410" max="5632" width="9.109375" style="427"/>
    <col min="5633" max="5633" width="14.88671875" style="427" customWidth="1"/>
    <col min="5634" max="5634" width="69.44140625" style="427" bestFit="1" customWidth="1"/>
    <col min="5635" max="5635" width="31.5546875" style="427" bestFit="1" customWidth="1"/>
    <col min="5636" max="5636" width="21.88671875" style="427" customWidth="1"/>
    <col min="5637" max="5637" width="14.6640625" style="427" bestFit="1" customWidth="1"/>
    <col min="5638" max="5638" width="19" style="427" customWidth="1"/>
    <col min="5639" max="5639" width="19.33203125" style="427" customWidth="1"/>
    <col min="5640" max="5640" width="14.109375" style="427" bestFit="1" customWidth="1"/>
    <col min="5641" max="5641" width="14.33203125" style="427" bestFit="1" customWidth="1"/>
    <col min="5642" max="5642" width="12.88671875" style="427" bestFit="1" customWidth="1"/>
    <col min="5643" max="5643" width="15.5546875" style="427" bestFit="1" customWidth="1"/>
    <col min="5644" max="5644" width="15" style="427" bestFit="1" customWidth="1"/>
    <col min="5645" max="5645" width="15.5546875" style="427" bestFit="1" customWidth="1"/>
    <col min="5646" max="5646" width="11.44140625" style="427" bestFit="1" customWidth="1"/>
    <col min="5647" max="5647" width="9.109375" style="427"/>
    <col min="5648" max="5648" width="15.5546875" style="427" bestFit="1" customWidth="1"/>
    <col min="5649" max="5649" width="10.6640625" style="427" bestFit="1" customWidth="1"/>
    <col min="5650" max="5650" width="9.109375" style="427"/>
    <col min="5651" max="5651" width="20.88671875" style="427" customWidth="1"/>
    <col min="5652" max="5652" width="15.44140625" style="427" customWidth="1"/>
    <col min="5653" max="5653" width="14.6640625" style="427" bestFit="1" customWidth="1"/>
    <col min="5654" max="5654" width="18.5546875" style="427" customWidth="1"/>
    <col min="5655" max="5655" width="21.5546875" style="427" customWidth="1"/>
    <col min="5656" max="5656" width="14.109375" style="427" bestFit="1" customWidth="1"/>
    <col min="5657" max="5658" width="14.33203125" style="427" bestFit="1" customWidth="1"/>
    <col min="5659" max="5659" width="15.5546875" style="427" bestFit="1" customWidth="1"/>
    <col min="5660" max="5660" width="15" style="427" bestFit="1" customWidth="1"/>
    <col min="5661" max="5661" width="15.5546875" style="427" bestFit="1" customWidth="1"/>
    <col min="5662" max="5662" width="9.109375" style="427"/>
    <col min="5663" max="5663" width="15.5546875" style="427" bestFit="1" customWidth="1"/>
    <col min="5664" max="5664" width="11.6640625" style="427" bestFit="1" customWidth="1"/>
    <col min="5665" max="5665" width="15.5546875" style="427" bestFit="1" customWidth="1"/>
    <col min="5666" max="5888" width="9.109375" style="427"/>
    <col min="5889" max="5889" width="14.88671875" style="427" customWidth="1"/>
    <col min="5890" max="5890" width="69.44140625" style="427" bestFit="1" customWidth="1"/>
    <col min="5891" max="5891" width="31.5546875" style="427" bestFit="1" customWidth="1"/>
    <col min="5892" max="5892" width="21.88671875" style="427" customWidth="1"/>
    <col min="5893" max="5893" width="14.6640625" style="427" bestFit="1" customWidth="1"/>
    <col min="5894" max="5894" width="19" style="427" customWidth="1"/>
    <col min="5895" max="5895" width="19.33203125" style="427" customWidth="1"/>
    <col min="5896" max="5896" width="14.109375" style="427" bestFit="1" customWidth="1"/>
    <col min="5897" max="5897" width="14.33203125" style="427" bestFit="1" customWidth="1"/>
    <col min="5898" max="5898" width="12.88671875" style="427" bestFit="1" customWidth="1"/>
    <col min="5899" max="5899" width="15.5546875" style="427" bestFit="1" customWidth="1"/>
    <col min="5900" max="5900" width="15" style="427" bestFit="1" customWidth="1"/>
    <col min="5901" max="5901" width="15.5546875" style="427" bestFit="1" customWidth="1"/>
    <col min="5902" max="5902" width="11.44140625" style="427" bestFit="1" customWidth="1"/>
    <col min="5903" max="5903" width="9.109375" style="427"/>
    <col min="5904" max="5904" width="15.5546875" style="427" bestFit="1" customWidth="1"/>
    <col min="5905" max="5905" width="10.6640625" style="427" bestFit="1" customWidth="1"/>
    <col min="5906" max="5906" width="9.109375" style="427"/>
    <col min="5907" max="5907" width="20.88671875" style="427" customWidth="1"/>
    <col min="5908" max="5908" width="15.44140625" style="427" customWidth="1"/>
    <col min="5909" max="5909" width="14.6640625" style="427" bestFit="1" customWidth="1"/>
    <col min="5910" max="5910" width="18.5546875" style="427" customWidth="1"/>
    <col min="5911" max="5911" width="21.5546875" style="427" customWidth="1"/>
    <col min="5912" max="5912" width="14.109375" style="427" bestFit="1" customWidth="1"/>
    <col min="5913" max="5914" width="14.33203125" style="427" bestFit="1" customWidth="1"/>
    <col min="5915" max="5915" width="15.5546875" style="427" bestFit="1" customWidth="1"/>
    <col min="5916" max="5916" width="15" style="427" bestFit="1" customWidth="1"/>
    <col min="5917" max="5917" width="15.5546875" style="427" bestFit="1" customWidth="1"/>
    <col min="5918" max="5918" width="9.109375" style="427"/>
    <col min="5919" max="5919" width="15.5546875" style="427" bestFit="1" customWidth="1"/>
    <col min="5920" max="5920" width="11.6640625" style="427" bestFit="1" customWidth="1"/>
    <col min="5921" max="5921" width="15.5546875" style="427" bestFit="1" customWidth="1"/>
    <col min="5922" max="6144" width="9.109375" style="427"/>
    <col min="6145" max="6145" width="14.88671875" style="427" customWidth="1"/>
    <col min="6146" max="6146" width="69.44140625" style="427" bestFit="1" customWidth="1"/>
    <col min="6147" max="6147" width="31.5546875" style="427" bestFit="1" customWidth="1"/>
    <col min="6148" max="6148" width="21.88671875" style="427" customWidth="1"/>
    <col min="6149" max="6149" width="14.6640625" style="427" bestFit="1" customWidth="1"/>
    <col min="6150" max="6150" width="19" style="427" customWidth="1"/>
    <col min="6151" max="6151" width="19.33203125" style="427" customWidth="1"/>
    <col min="6152" max="6152" width="14.109375" style="427" bestFit="1" customWidth="1"/>
    <col min="6153" max="6153" width="14.33203125" style="427" bestFit="1" customWidth="1"/>
    <col min="6154" max="6154" width="12.88671875" style="427" bestFit="1" customWidth="1"/>
    <col min="6155" max="6155" width="15.5546875" style="427" bestFit="1" customWidth="1"/>
    <col min="6156" max="6156" width="15" style="427" bestFit="1" customWidth="1"/>
    <col min="6157" max="6157" width="15.5546875" style="427" bestFit="1" customWidth="1"/>
    <col min="6158" max="6158" width="11.44140625" style="427" bestFit="1" customWidth="1"/>
    <col min="6159" max="6159" width="9.109375" style="427"/>
    <col min="6160" max="6160" width="15.5546875" style="427" bestFit="1" customWidth="1"/>
    <col min="6161" max="6161" width="10.6640625" style="427" bestFit="1" customWidth="1"/>
    <col min="6162" max="6162" width="9.109375" style="427"/>
    <col min="6163" max="6163" width="20.88671875" style="427" customWidth="1"/>
    <col min="6164" max="6164" width="15.44140625" style="427" customWidth="1"/>
    <col min="6165" max="6165" width="14.6640625" style="427" bestFit="1" customWidth="1"/>
    <col min="6166" max="6166" width="18.5546875" style="427" customWidth="1"/>
    <col min="6167" max="6167" width="21.5546875" style="427" customWidth="1"/>
    <col min="6168" max="6168" width="14.109375" style="427" bestFit="1" customWidth="1"/>
    <col min="6169" max="6170" width="14.33203125" style="427" bestFit="1" customWidth="1"/>
    <col min="6171" max="6171" width="15.5546875" style="427" bestFit="1" customWidth="1"/>
    <col min="6172" max="6172" width="15" style="427" bestFit="1" customWidth="1"/>
    <col min="6173" max="6173" width="15.5546875" style="427" bestFit="1" customWidth="1"/>
    <col min="6174" max="6174" width="9.109375" style="427"/>
    <col min="6175" max="6175" width="15.5546875" style="427" bestFit="1" customWidth="1"/>
    <col min="6176" max="6176" width="11.6640625" style="427" bestFit="1" customWidth="1"/>
    <col min="6177" max="6177" width="15.5546875" style="427" bestFit="1" customWidth="1"/>
    <col min="6178" max="6400" width="9.109375" style="427"/>
    <col min="6401" max="6401" width="14.88671875" style="427" customWidth="1"/>
    <col min="6402" max="6402" width="69.44140625" style="427" bestFit="1" customWidth="1"/>
    <col min="6403" max="6403" width="31.5546875" style="427" bestFit="1" customWidth="1"/>
    <col min="6404" max="6404" width="21.88671875" style="427" customWidth="1"/>
    <col min="6405" max="6405" width="14.6640625" style="427" bestFit="1" customWidth="1"/>
    <col min="6406" max="6406" width="19" style="427" customWidth="1"/>
    <col min="6407" max="6407" width="19.33203125" style="427" customWidth="1"/>
    <col min="6408" max="6408" width="14.109375" style="427" bestFit="1" customWidth="1"/>
    <col min="6409" max="6409" width="14.33203125" style="427" bestFit="1" customWidth="1"/>
    <col min="6410" max="6410" width="12.88671875" style="427" bestFit="1" customWidth="1"/>
    <col min="6411" max="6411" width="15.5546875" style="427" bestFit="1" customWidth="1"/>
    <col min="6412" max="6412" width="15" style="427" bestFit="1" customWidth="1"/>
    <col min="6413" max="6413" width="15.5546875" style="427" bestFit="1" customWidth="1"/>
    <col min="6414" max="6414" width="11.44140625" style="427" bestFit="1" customWidth="1"/>
    <col min="6415" max="6415" width="9.109375" style="427"/>
    <col min="6416" max="6416" width="15.5546875" style="427" bestFit="1" customWidth="1"/>
    <col min="6417" max="6417" width="10.6640625" style="427" bestFit="1" customWidth="1"/>
    <col min="6418" max="6418" width="9.109375" style="427"/>
    <col min="6419" max="6419" width="20.88671875" style="427" customWidth="1"/>
    <col min="6420" max="6420" width="15.44140625" style="427" customWidth="1"/>
    <col min="6421" max="6421" width="14.6640625" style="427" bestFit="1" customWidth="1"/>
    <col min="6422" max="6422" width="18.5546875" style="427" customWidth="1"/>
    <col min="6423" max="6423" width="21.5546875" style="427" customWidth="1"/>
    <col min="6424" max="6424" width="14.109375" style="427" bestFit="1" customWidth="1"/>
    <col min="6425" max="6426" width="14.33203125" style="427" bestFit="1" customWidth="1"/>
    <col min="6427" max="6427" width="15.5546875" style="427" bestFit="1" customWidth="1"/>
    <col min="6428" max="6428" width="15" style="427" bestFit="1" customWidth="1"/>
    <col min="6429" max="6429" width="15.5546875" style="427" bestFit="1" customWidth="1"/>
    <col min="6430" max="6430" width="9.109375" style="427"/>
    <col min="6431" max="6431" width="15.5546875" style="427" bestFit="1" customWidth="1"/>
    <col min="6432" max="6432" width="11.6640625" style="427" bestFit="1" customWidth="1"/>
    <col min="6433" max="6433" width="15.5546875" style="427" bestFit="1" customWidth="1"/>
    <col min="6434" max="6656" width="9.109375" style="427"/>
    <col min="6657" max="6657" width="14.88671875" style="427" customWidth="1"/>
    <col min="6658" max="6658" width="69.44140625" style="427" bestFit="1" customWidth="1"/>
    <col min="6659" max="6659" width="31.5546875" style="427" bestFit="1" customWidth="1"/>
    <col min="6660" max="6660" width="21.88671875" style="427" customWidth="1"/>
    <col min="6661" max="6661" width="14.6640625" style="427" bestFit="1" customWidth="1"/>
    <col min="6662" max="6662" width="19" style="427" customWidth="1"/>
    <col min="6663" max="6663" width="19.33203125" style="427" customWidth="1"/>
    <col min="6664" max="6664" width="14.109375" style="427" bestFit="1" customWidth="1"/>
    <col min="6665" max="6665" width="14.33203125" style="427" bestFit="1" customWidth="1"/>
    <col min="6666" max="6666" width="12.88671875" style="427" bestFit="1" customWidth="1"/>
    <col min="6667" max="6667" width="15.5546875" style="427" bestFit="1" customWidth="1"/>
    <col min="6668" max="6668" width="15" style="427" bestFit="1" customWidth="1"/>
    <col min="6669" max="6669" width="15.5546875" style="427" bestFit="1" customWidth="1"/>
    <col min="6670" max="6670" width="11.44140625" style="427" bestFit="1" customWidth="1"/>
    <col min="6671" max="6671" width="9.109375" style="427"/>
    <col min="6672" max="6672" width="15.5546875" style="427" bestFit="1" customWidth="1"/>
    <col min="6673" max="6673" width="10.6640625" style="427" bestFit="1" customWidth="1"/>
    <col min="6674" max="6674" width="9.109375" style="427"/>
    <col min="6675" max="6675" width="20.88671875" style="427" customWidth="1"/>
    <col min="6676" max="6676" width="15.44140625" style="427" customWidth="1"/>
    <col min="6677" max="6677" width="14.6640625" style="427" bestFit="1" customWidth="1"/>
    <col min="6678" max="6678" width="18.5546875" style="427" customWidth="1"/>
    <col min="6679" max="6679" width="21.5546875" style="427" customWidth="1"/>
    <col min="6680" max="6680" width="14.109375" style="427" bestFit="1" customWidth="1"/>
    <col min="6681" max="6682" width="14.33203125" style="427" bestFit="1" customWidth="1"/>
    <col min="6683" max="6683" width="15.5546875" style="427" bestFit="1" customWidth="1"/>
    <col min="6684" max="6684" width="15" style="427" bestFit="1" customWidth="1"/>
    <col min="6685" max="6685" width="15.5546875" style="427" bestFit="1" customWidth="1"/>
    <col min="6686" max="6686" width="9.109375" style="427"/>
    <col min="6687" max="6687" width="15.5546875" style="427" bestFit="1" customWidth="1"/>
    <col min="6688" max="6688" width="11.6640625" style="427" bestFit="1" customWidth="1"/>
    <col min="6689" max="6689" width="15.5546875" style="427" bestFit="1" customWidth="1"/>
    <col min="6690" max="6912" width="9.109375" style="427"/>
    <col min="6913" max="6913" width="14.88671875" style="427" customWidth="1"/>
    <col min="6914" max="6914" width="69.44140625" style="427" bestFit="1" customWidth="1"/>
    <col min="6915" max="6915" width="31.5546875" style="427" bestFit="1" customWidth="1"/>
    <col min="6916" max="6916" width="21.88671875" style="427" customWidth="1"/>
    <col min="6917" max="6917" width="14.6640625" style="427" bestFit="1" customWidth="1"/>
    <col min="6918" max="6918" width="19" style="427" customWidth="1"/>
    <col min="6919" max="6919" width="19.33203125" style="427" customWidth="1"/>
    <col min="6920" max="6920" width="14.109375" style="427" bestFit="1" customWidth="1"/>
    <col min="6921" max="6921" width="14.33203125" style="427" bestFit="1" customWidth="1"/>
    <col min="6922" max="6922" width="12.88671875" style="427" bestFit="1" customWidth="1"/>
    <col min="6923" max="6923" width="15.5546875" style="427" bestFit="1" customWidth="1"/>
    <col min="6924" max="6924" width="15" style="427" bestFit="1" customWidth="1"/>
    <col min="6925" max="6925" width="15.5546875" style="427" bestFit="1" customWidth="1"/>
    <col min="6926" max="6926" width="11.44140625" style="427" bestFit="1" customWidth="1"/>
    <col min="6927" max="6927" width="9.109375" style="427"/>
    <col min="6928" max="6928" width="15.5546875" style="427" bestFit="1" customWidth="1"/>
    <col min="6929" max="6929" width="10.6640625" style="427" bestFit="1" customWidth="1"/>
    <col min="6930" max="6930" width="9.109375" style="427"/>
    <col min="6931" max="6931" width="20.88671875" style="427" customWidth="1"/>
    <col min="6932" max="6932" width="15.44140625" style="427" customWidth="1"/>
    <col min="6933" max="6933" width="14.6640625" style="427" bestFit="1" customWidth="1"/>
    <col min="6934" max="6934" width="18.5546875" style="427" customWidth="1"/>
    <col min="6935" max="6935" width="21.5546875" style="427" customWidth="1"/>
    <col min="6936" max="6936" width="14.109375" style="427" bestFit="1" customWidth="1"/>
    <col min="6937" max="6938" width="14.33203125" style="427" bestFit="1" customWidth="1"/>
    <col min="6939" max="6939" width="15.5546875" style="427" bestFit="1" customWidth="1"/>
    <col min="6940" max="6940" width="15" style="427" bestFit="1" customWidth="1"/>
    <col min="6941" max="6941" width="15.5546875" style="427" bestFit="1" customWidth="1"/>
    <col min="6942" max="6942" width="9.109375" style="427"/>
    <col min="6943" max="6943" width="15.5546875" style="427" bestFit="1" customWidth="1"/>
    <col min="6944" max="6944" width="11.6640625" style="427" bestFit="1" customWidth="1"/>
    <col min="6945" max="6945" width="15.5546875" style="427" bestFit="1" customWidth="1"/>
    <col min="6946" max="7168" width="9.109375" style="427"/>
    <col min="7169" max="7169" width="14.88671875" style="427" customWidth="1"/>
    <col min="7170" max="7170" width="69.44140625" style="427" bestFit="1" customWidth="1"/>
    <col min="7171" max="7171" width="31.5546875" style="427" bestFit="1" customWidth="1"/>
    <col min="7172" max="7172" width="21.88671875" style="427" customWidth="1"/>
    <col min="7173" max="7173" width="14.6640625" style="427" bestFit="1" customWidth="1"/>
    <col min="7174" max="7174" width="19" style="427" customWidth="1"/>
    <col min="7175" max="7175" width="19.33203125" style="427" customWidth="1"/>
    <col min="7176" max="7176" width="14.109375" style="427" bestFit="1" customWidth="1"/>
    <col min="7177" max="7177" width="14.33203125" style="427" bestFit="1" customWidth="1"/>
    <col min="7178" max="7178" width="12.88671875" style="427" bestFit="1" customWidth="1"/>
    <col min="7179" max="7179" width="15.5546875" style="427" bestFit="1" customWidth="1"/>
    <col min="7180" max="7180" width="15" style="427" bestFit="1" customWidth="1"/>
    <col min="7181" max="7181" width="15.5546875" style="427" bestFit="1" customWidth="1"/>
    <col min="7182" max="7182" width="11.44140625" style="427" bestFit="1" customWidth="1"/>
    <col min="7183" max="7183" width="9.109375" style="427"/>
    <col min="7184" max="7184" width="15.5546875" style="427" bestFit="1" customWidth="1"/>
    <col min="7185" max="7185" width="10.6640625" style="427" bestFit="1" customWidth="1"/>
    <col min="7186" max="7186" width="9.109375" style="427"/>
    <col min="7187" max="7187" width="20.88671875" style="427" customWidth="1"/>
    <col min="7188" max="7188" width="15.44140625" style="427" customWidth="1"/>
    <col min="7189" max="7189" width="14.6640625" style="427" bestFit="1" customWidth="1"/>
    <col min="7190" max="7190" width="18.5546875" style="427" customWidth="1"/>
    <col min="7191" max="7191" width="21.5546875" style="427" customWidth="1"/>
    <col min="7192" max="7192" width="14.109375" style="427" bestFit="1" customWidth="1"/>
    <col min="7193" max="7194" width="14.33203125" style="427" bestFit="1" customWidth="1"/>
    <col min="7195" max="7195" width="15.5546875" style="427" bestFit="1" customWidth="1"/>
    <col min="7196" max="7196" width="15" style="427" bestFit="1" customWidth="1"/>
    <col min="7197" max="7197" width="15.5546875" style="427" bestFit="1" customWidth="1"/>
    <col min="7198" max="7198" width="9.109375" style="427"/>
    <col min="7199" max="7199" width="15.5546875" style="427" bestFit="1" customWidth="1"/>
    <col min="7200" max="7200" width="11.6640625" style="427" bestFit="1" customWidth="1"/>
    <col min="7201" max="7201" width="15.5546875" style="427" bestFit="1" customWidth="1"/>
    <col min="7202" max="7424" width="9.109375" style="427"/>
    <col min="7425" max="7425" width="14.88671875" style="427" customWidth="1"/>
    <col min="7426" max="7426" width="69.44140625" style="427" bestFit="1" customWidth="1"/>
    <col min="7427" max="7427" width="31.5546875" style="427" bestFit="1" customWidth="1"/>
    <col min="7428" max="7428" width="21.88671875" style="427" customWidth="1"/>
    <col min="7429" max="7429" width="14.6640625" style="427" bestFit="1" customWidth="1"/>
    <col min="7430" max="7430" width="19" style="427" customWidth="1"/>
    <col min="7431" max="7431" width="19.33203125" style="427" customWidth="1"/>
    <col min="7432" max="7432" width="14.109375" style="427" bestFit="1" customWidth="1"/>
    <col min="7433" max="7433" width="14.33203125" style="427" bestFit="1" customWidth="1"/>
    <col min="7434" max="7434" width="12.88671875" style="427" bestFit="1" customWidth="1"/>
    <col min="7435" max="7435" width="15.5546875" style="427" bestFit="1" customWidth="1"/>
    <col min="7436" max="7436" width="15" style="427" bestFit="1" customWidth="1"/>
    <col min="7437" max="7437" width="15.5546875" style="427" bestFit="1" customWidth="1"/>
    <col min="7438" max="7438" width="11.44140625" style="427" bestFit="1" customWidth="1"/>
    <col min="7439" max="7439" width="9.109375" style="427"/>
    <col min="7440" max="7440" width="15.5546875" style="427" bestFit="1" customWidth="1"/>
    <col min="7441" max="7441" width="10.6640625" style="427" bestFit="1" customWidth="1"/>
    <col min="7442" max="7442" width="9.109375" style="427"/>
    <col min="7443" max="7443" width="20.88671875" style="427" customWidth="1"/>
    <col min="7444" max="7444" width="15.44140625" style="427" customWidth="1"/>
    <col min="7445" max="7445" width="14.6640625" style="427" bestFit="1" customWidth="1"/>
    <col min="7446" max="7446" width="18.5546875" style="427" customWidth="1"/>
    <col min="7447" max="7447" width="21.5546875" style="427" customWidth="1"/>
    <col min="7448" max="7448" width="14.109375" style="427" bestFit="1" customWidth="1"/>
    <col min="7449" max="7450" width="14.33203125" style="427" bestFit="1" customWidth="1"/>
    <col min="7451" max="7451" width="15.5546875" style="427" bestFit="1" customWidth="1"/>
    <col min="7452" max="7452" width="15" style="427" bestFit="1" customWidth="1"/>
    <col min="7453" max="7453" width="15.5546875" style="427" bestFit="1" customWidth="1"/>
    <col min="7454" max="7454" width="9.109375" style="427"/>
    <col min="7455" max="7455" width="15.5546875" style="427" bestFit="1" customWidth="1"/>
    <col min="7456" max="7456" width="11.6640625" style="427" bestFit="1" customWidth="1"/>
    <col min="7457" max="7457" width="15.5546875" style="427" bestFit="1" customWidth="1"/>
    <col min="7458" max="7680" width="9.109375" style="427"/>
    <col min="7681" max="7681" width="14.88671875" style="427" customWidth="1"/>
    <col min="7682" max="7682" width="69.44140625" style="427" bestFit="1" customWidth="1"/>
    <col min="7683" max="7683" width="31.5546875" style="427" bestFit="1" customWidth="1"/>
    <col min="7684" max="7684" width="21.88671875" style="427" customWidth="1"/>
    <col min="7685" max="7685" width="14.6640625" style="427" bestFit="1" customWidth="1"/>
    <col min="7686" max="7686" width="19" style="427" customWidth="1"/>
    <col min="7687" max="7687" width="19.33203125" style="427" customWidth="1"/>
    <col min="7688" max="7688" width="14.109375" style="427" bestFit="1" customWidth="1"/>
    <col min="7689" max="7689" width="14.33203125" style="427" bestFit="1" customWidth="1"/>
    <col min="7690" max="7690" width="12.88671875" style="427" bestFit="1" customWidth="1"/>
    <col min="7691" max="7691" width="15.5546875" style="427" bestFit="1" customWidth="1"/>
    <col min="7692" max="7692" width="15" style="427" bestFit="1" customWidth="1"/>
    <col min="7693" max="7693" width="15.5546875" style="427" bestFit="1" customWidth="1"/>
    <col min="7694" max="7694" width="11.44140625" style="427" bestFit="1" customWidth="1"/>
    <col min="7695" max="7695" width="9.109375" style="427"/>
    <col min="7696" max="7696" width="15.5546875" style="427" bestFit="1" customWidth="1"/>
    <col min="7697" max="7697" width="10.6640625" style="427" bestFit="1" customWidth="1"/>
    <col min="7698" max="7698" width="9.109375" style="427"/>
    <col min="7699" max="7699" width="20.88671875" style="427" customWidth="1"/>
    <col min="7700" max="7700" width="15.44140625" style="427" customWidth="1"/>
    <col min="7701" max="7701" width="14.6640625" style="427" bestFit="1" customWidth="1"/>
    <col min="7702" max="7702" width="18.5546875" style="427" customWidth="1"/>
    <col min="7703" max="7703" width="21.5546875" style="427" customWidth="1"/>
    <col min="7704" max="7704" width="14.109375" style="427" bestFit="1" customWidth="1"/>
    <col min="7705" max="7706" width="14.33203125" style="427" bestFit="1" customWidth="1"/>
    <col min="7707" max="7707" width="15.5546875" style="427" bestFit="1" customWidth="1"/>
    <col min="7708" max="7708" width="15" style="427" bestFit="1" customWidth="1"/>
    <col min="7709" max="7709" width="15.5546875" style="427" bestFit="1" customWidth="1"/>
    <col min="7710" max="7710" width="9.109375" style="427"/>
    <col min="7711" max="7711" width="15.5546875" style="427" bestFit="1" customWidth="1"/>
    <col min="7712" max="7712" width="11.6640625" style="427" bestFit="1" customWidth="1"/>
    <col min="7713" max="7713" width="15.5546875" style="427" bestFit="1" customWidth="1"/>
    <col min="7714" max="7936" width="9.109375" style="427"/>
    <col min="7937" max="7937" width="14.88671875" style="427" customWidth="1"/>
    <col min="7938" max="7938" width="69.44140625" style="427" bestFit="1" customWidth="1"/>
    <col min="7939" max="7939" width="31.5546875" style="427" bestFit="1" customWidth="1"/>
    <col min="7940" max="7940" width="21.88671875" style="427" customWidth="1"/>
    <col min="7941" max="7941" width="14.6640625" style="427" bestFit="1" customWidth="1"/>
    <col min="7942" max="7942" width="19" style="427" customWidth="1"/>
    <col min="7943" max="7943" width="19.33203125" style="427" customWidth="1"/>
    <col min="7944" max="7944" width="14.109375" style="427" bestFit="1" customWidth="1"/>
    <col min="7945" max="7945" width="14.33203125" style="427" bestFit="1" customWidth="1"/>
    <col min="7946" max="7946" width="12.88671875" style="427" bestFit="1" customWidth="1"/>
    <col min="7947" max="7947" width="15.5546875" style="427" bestFit="1" customWidth="1"/>
    <col min="7948" max="7948" width="15" style="427" bestFit="1" customWidth="1"/>
    <col min="7949" max="7949" width="15.5546875" style="427" bestFit="1" customWidth="1"/>
    <col min="7950" max="7950" width="11.44140625" style="427" bestFit="1" customWidth="1"/>
    <col min="7951" max="7951" width="9.109375" style="427"/>
    <col min="7952" max="7952" width="15.5546875" style="427" bestFit="1" customWidth="1"/>
    <col min="7953" max="7953" width="10.6640625" style="427" bestFit="1" customWidth="1"/>
    <col min="7954" max="7954" width="9.109375" style="427"/>
    <col min="7955" max="7955" width="20.88671875" style="427" customWidth="1"/>
    <col min="7956" max="7956" width="15.44140625" style="427" customWidth="1"/>
    <col min="7957" max="7957" width="14.6640625" style="427" bestFit="1" customWidth="1"/>
    <col min="7958" max="7958" width="18.5546875" style="427" customWidth="1"/>
    <col min="7959" max="7959" width="21.5546875" style="427" customWidth="1"/>
    <col min="7960" max="7960" width="14.109375" style="427" bestFit="1" customWidth="1"/>
    <col min="7961" max="7962" width="14.33203125" style="427" bestFit="1" customWidth="1"/>
    <col min="7963" max="7963" width="15.5546875" style="427" bestFit="1" customWidth="1"/>
    <col min="7964" max="7964" width="15" style="427" bestFit="1" customWidth="1"/>
    <col min="7965" max="7965" width="15.5546875" style="427" bestFit="1" customWidth="1"/>
    <col min="7966" max="7966" width="9.109375" style="427"/>
    <col min="7967" max="7967" width="15.5546875" style="427" bestFit="1" customWidth="1"/>
    <col min="7968" max="7968" width="11.6640625" style="427" bestFit="1" customWidth="1"/>
    <col min="7969" max="7969" width="15.5546875" style="427" bestFit="1" customWidth="1"/>
    <col min="7970" max="8192" width="9.109375" style="427"/>
    <col min="8193" max="8193" width="14.88671875" style="427" customWidth="1"/>
    <col min="8194" max="8194" width="69.44140625" style="427" bestFit="1" customWidth="1"/>
    <col min="8195" max="8195" width="31.5546875" style="427" bestFit="1" customWidth="1"/>
    <col min="8196" max="8196" width="21.88671875" style="427" customWidth="1"/>
    <col min="8197" max="8197" width="14.6640625" style="427" bestFit="1" customWidth="1"/>
    <col min="8198" max="8198" width="19" style="427" customWidth="1"/>
    <col min="8199" max="8199" width="19.33203125" style="427" customWidth="1"/>
    <col min="8200" max="8200" width="14.109375" style="427" bestFit="1" customWidth="1"/>
    <col min="8201" max="8201" width="14.33203125" style="427" bestFit="1" customWidth="1"/>
    <col min="8202" max="8202" width="12.88671875" style="427" bestFit="1" customWidth="1"/>
    <col min="8203" max="8203" width="15.5546875" style="427" bestFit="1" customWidth="1"/>
    <col min="8204" max="8204" width="15" style="427" bestFit="1" customWidth="1"/>
    <col min="8205" max="8205" width="15.5546875" style="427" bestFit="1" customWidth="1"/>
    <col min="8206" max="8206" width="11.44140625" style="427" bestFit="1" customWidth="1"/>
    <col min="8207" max="8207" width="9.109375" style="427"/>
    <col min="8208" max="8208" width="15.5546875" style="427" bestFit="1" customWidth="1"/>
    <col min="8209" max="8209" width="10.6640625" style="427" bestFit="1" customWidth="1"/>
    <col min="8210" max="8210" width="9.109375" style="427"/>
    <col min="8211" max="8211" width="20.88671875" style="427" customWidth="1"/>
    <col min="8212" max="8212" width="15.44140625" style="427" customWidth="1"/>
    <col min="8213" max="8213" width="14.6640625" style="427" bestFit="1" customWidth="1"/>
    <col min="8214" max="8214" width="18.5546875" style="427" customWidth="1"/>
    <col min="8215" max="8215" width="21.5546875" style="427" customWidth="1"/>
    <col min="8216" max="8216" width="14.109375" style="427" bestFit="1" customWidth="1"/>
    <col min="8217" max="8218" width="14.33203125" style="427" bestFit="1" customWidth="1"/>
    <col min="8219" max="8219" width="15.5546875" style="427" bestFit="1" customWidth="1"/>
    <col min="8220" max="8220" width="15" style="427" bestFit="1" customWidth="1"/>
    <col min="8221" max="8221" width="15.5546875" style="427" bestFit="1" customWidth="1"/>
    <col min="8222" max="8222" width="9.109375" style="427"/>
    <col min="8223" max="8223" width="15.5546875" style="427" bestFit="1" customWidth="1"/>
    <col min="8224" max="8224" width="11.6640625" style="427" bestFit="1" customWidth="1"/>
    <col min="8225" max="8225" width="15.5546875" style="427" bestFit="1" customWidth="1"/>
    <col min="8226" max="8448" width="9.109375" style="427"/>
    <col min="8449" max="8449" width="14.88671875" style="427" customWidth="1"/>
    <col min="8450" max="8450" width="69.44140625" style="427" bestFit="1" customWidth="1"/>
    <col min="8451" max="8451" width="31.5546875" style="427" bestFit="1" customWidth="1"/>
    <col min="8452" max="8452" width="21.88671875" style="427" customWidth="1"/>
    <col min="8453" max="8453" width="14.6640625" style="427" bestFit="1" customWidth="1"/>
    <col min="8454" max="8454" width="19" style="427" customWidth="1"/>
    <col min="8455" max="8455" width="19.33203125" style="427" customWidth="1"/>
    <col min="8456" max="8456" width="14.109375" style="427" bestFit="1" customWidth="1"/>
    <col min="8457" max="8457" width="14.33203125" style="427" bestFit="1" customWidth="1"/>
    <col min="8458" max="8458" width="12.88671875" style="427" bestFit="1" customWidth="1"/>
    <col min="8459" max="8459" width="15.5546875" style="427" bestFit="1" customWidth="1"/>
    <col min="8460" max="8460" width="15" style="427" bestFit="1" customWidth="1"/>
    <col min="8461" max="8461" width="15.5546875" style="427" bestFit="1" customWidth="1"/>
    <col min="8462" max="8462" width="11.44140625" style="427" bestFit="1" customWidth="1"/>
    <col min="8463" max="8463" width="9.109375" style="427"/>
    <col min="8464" max="8464" width="15.5546875" style="427" bestFit="1" customWidth="1"/>
    <col min="8465" max="8465" width="10.6640625" style="427" bestFit="1" customWidth="1"/>
    <col min="8466" max="8466" width="9.109375" style="427"/>
    <col min="8467" max="8467" width="20.88671875" style="427" customWidth="1"/>
    <col min="8468" max="8468" width="15.44140625" style="427" customWidth="1"/>
    <col min="8469" max="8469" width="14.6640625" style="427" bestFit="1" customWidth="1"/>
    <col min="8470" max="8470" width="18.5546875" style="427" customWidth="1"/>
    <col min="8471" max="8471" width="21.5546875" style="427" customWidth="1"/>
    <col min="8472" max="8472" width="14.109375" style="427" bestFit="1" customWidth="1"/>
    <col min="8473" max="8474" width="14.33203125" style="427" bestFit="1" customWidth="1"/>
    <col min="8475" max="8475" width="15.5546875" style="427" bestFit="1" customWidth="1"/>
    <col min="8476" max="8476" width="15" style="427" bestFit="1" customWidth="1"/>
    <col min="8477" max="8477" width="15.5546875" style="427" bestFit="1" customWidth="1"/>
    <col min="8478" max="8478" width="9.109375" style="427"/>
    <col min="8479" max="8479" width="15.5546875" style="427" bestFit="1" customWidth="1"/>
    <col min="8480" max="8480" width="11.6640625" style="427" bestFit="1" customWidth="1"/>
    <col min="8481" max="8481" width="15.5546875" style="427" bestFit="1" customWidth="1"/>
    <col min="8482" max="8704" width="9.109375" style="427"/>
    <col min="8705" max="8705" width="14.88671875" style="427" customWidth="1"/>
    <col min="8706" max="8706" width="69.44140625" style="427" bestFit="1" customWidth="1"/>
    <col min="8707" max="8707" width="31.5546875" style="427" bestFit="1" customWidth="1"/>
    <col min="8708" max="8708" width="21.88671875" style="427" customWidth="1"/>
    <col min="8709" max="8709" width="14.6640625" style="427" bestFit="1" customWidth="1"/>
    <col min="8710" max="8710" width="19" style="427" customWidth="1"/>
    <col min="8711" max="8711" width="19.33203125" style="427" customWidth="1"/>
    <col min="8712" max="8712" width="14.109375" style="427" bestFit="1" customWidth="1"/>
    <col min="8713" max="8713" width="14.33203125" style="427" bestFit="1" customWidth="1"/>
    <col min="8714" max="8714" width="12.88671875" style="427" bestFit="1" customWidth="1"/>
    <col min="8715" max="8715" width="15.5546875" style="427" bestFit="1" customWidth="1"/>
    <col min="8716" max="8716" width="15" style="427" bestFit="1" customWidth="1"/>
    <col min="8717" max="8717" width="15.5546875" style="427" bestFit="1" customWidth="1"/>
    <col min="8718" max="8718" width="11.44140625" style="427" bestFit="1" customWidth="1"/>
    <col min="8719" max="8719" width="9.109375" style="427"/>
    <col min="8720" max="8720" width="15.5546875" style="427" bestFit="1" customWidth="1"/>
    <col min="8721" max="8721" width="10.6640625" style="427" bestFit="1" customWidth="1"/>
    <col min="8722" max="8722" width="9.109375" style="427"/>
    <col min="8723" max="8723" width="20.88671875" style="427" customWidth="1"/>
    <col min="8724" max="8724" width="15.44140625" style="427" customWidth="1"/>
    <col min="8725" max="8725" width="14.6640625" style="427" bestFit="1" customWidth="1"/>
    <col min="8726" max="8726" width="18.5546875" style="427" customWidth="1"/>
    <col min="8727" max="8727" width="21.5546875" style="427" customWidth="1"/>
    <col min="8728" max="8728" width="14.109375" style="427" bestFit="1" customWidth="1"/>
    <col min="8729" max="8730" width="14.33203125" style="427" bestFit="1" customWidth="1"/>
    <col min="8731" max="8731" width="15.5546875" style="427" bestFit="1" customWidth="1"/>
    <col min="8732" max="8732" width="15" style="427" bestFit="1" customWidth="1"/>
    <col min="8733" max="8733" width="15.5546875" style="427" bestFit="1" customWidth="1"/>
    <col min="8734" max="8734" width="9.109375" style="427"/>
    <col min="8735" max="8735" width="15.5546875" style="427" bestFit="1" customWidth="1"/>
    <col min="8736" max="8736" width="11.6640625" style="427" bestFit="1" customWidth="1"/>
    <col min="8737" max="8737" width="15.5546875" style="427" bestFit="1" customWidth="1"/>
    <col min="8738" max="8960" width="9.109375" style="427"/>
    <col min="8961" max="8961" width="14.88671875" style="427" customWidth="1"/>
    <col min="8962" max="8962" width="69.44140625" style="427" bestFit="1" customWidth="1"/>
    <col min="8963" max="8963" width="31.5546875" style="427" bestFit="1" customWidth="1"/>
    <col min="8964" max="8964" width="21.88671875" style="427" customWidth="1"/>
    <col min="8965" max="8965" width="14.6640625" style="427" bestFit="1" customWidth="1"/>
    <col min="8966" max="8966" width="19" style="427" customWidth="1"/>
    <col min="8967" max="8967" width="19.33203125" style="427" customWidth="1"/>
    <col min="8968" max="8968" width="14.109375" style="427" bestFit="1" customWidth="1"/>
    <col min="8969" max="8969" width="14.33203125" style="427" bestFit="1" customWidth="1"/>
    <col min="8970" max="8970" width="12.88671875" style="427" bestFit="1" customWidth="1"/>
    <col min="8971" max="8971" width="15.5546875" style="427" bestFit="1" customWidth="1"/>
    <col min="8972" max="8972" width="15" style="427" bestFit="1" customWidth="1"/>
    <col min="8973" max="8973" width="15.5546875" style="427" bestFit="1" customWidth="1"/>
    <col min="8974" max="8974" width="11.44140625" style="427" bestFit="1" customWidth="1"/>
    <col min="8975" max="8975" width="9.109375" style="427"/>
    <col min="8976" max="8976" width="15.5546875" style="427" bestFit="1" customWidth="1"/>
    <col min="8977" max="8977" width="10.6640625" style="427" bestFit="1" customWidth="1"/>
    <col min="8978" max="8978" width="9.109375" style="427"/>
    <col min="8979" max="8979" width="20.88671875" style="427" customWidth="1"/>
    <col min="8980" max="8980" width="15.44140625" style="427" customWidth="1"/>
    <col min="8981" max="8981" width="14.6640625" style="427" bestFit="1" customWidth="1"/>
    <col min="8982" max="8982" width="18.5546875" style="427" customWidth="1"/>
    <col min="8983" max="8983" width="21.5546875" style="427" customWidth="1"/>
    <col min="8984" max="8984" width="14.109375" style="427" bestFit="1" customWidth="1"/>
    <col min="8985" max="8986" width="14.33203125" style="427" bestFit="1" customWidth="1"/>
    <col min="8987" max="8987" width="15.5546875" style="427" bestFit="1" customWidth="1"/>
    <col min="8988" max="8988" width="15" style="427" bestFit="1" customWidth="1"/>
    <col min="8989" max="8989" width="15.5546875" style="427" bestFit="1" customWidth="1"/>
    <col min="8990" max="8990" width="9.109375" style="427"/>
    <col min="8991" max="8991" width="15.5546875" style="427" bestFit="1" customWidth="1"/>
    <col min="8992" max="8992" width="11.6640625" style="427" bestFit="1" customWidth="1"/>
    <col min="8993" max="8993" width="15.5546875" style="427" bestFit="1" customWidth="1"/>
    <col min="8994" max="9216" width="9.109375" style="427"/>
    <col min="9217" max="9217" width="14.88671875" style="427" customWidth="1"/>
    <col min="9218" max="9218" width="69.44140625" style="427" bestFit="1" customWidth="1"/>
    <col min="9219" max="9219" width="31.5546875" style="427" bestFit="1" customWidth="1"/>
    <col min="9220" max="9220" width="21.88671875" style="427" customWidth="1"/>
    <col min="9221" max="9221" width="14.6640625" style="427" bestFit="1" customWidth="1"/>
    <col min="9222" max="9222" width="19" style="427" customWidth="1"/>
    <col min="9223" max="9223" width="19.33203125" style="427" customWidth="1"/>
    <col min="9224" max="9224" width="14.109375" style="427" bestFit="1" customWidth="1"/>
    <col min="9225" max="9225" width="14.33203125" style="427" bestFit="1" customWidth="1"/>
    <col min="9226" max="9226" width="12.88671875" style="427" bestFit="1" customWidth="1"/>
    <col min="9227" max="9227" width="15.5546875" style="427" bestFit="1" customWidth="1"/>
    <col min="9228" max="9228" width="15" style="427" bestFit="1" customWidth="1"/>
    <col min="9229" max="9229" width="15.5546875" style="427" bestFit="1" customWidth="1"/>
    <col min="9230" max="9230" width="11.44140625" style="427" bestFit="1" customWidth="1"/>
    <col min="9231" max="9231" width="9.109375" style="427"/>
    <col min="9232" max="9232" width="15.5546875" style="427" bestFit="1" customWidth="1"/>
    <col min="9233" max="9233" width="10.6640625" style="427" bestFit="1" customWidth="1"/>
    <col min="9234" max="9234" width="9.109375" style="427"/>
    <col min="9235" max="9235" width="20.88671875" style="427" customWidth="1"/>
    <col min="9236" max="9236" width="15.44140625" style="427" customWidth="1"/>
    <col min="9237" max="9237" width="14.6640625" style="427" bestFit="1" customWidth="1"/>
    <col min="9238" max="9238" width="18.5546875" style="427" customWidth="1"/>
    <col min="9239" max="9239" width="21.5546875" style="427" customWidth="1"/>
    <col min="9240" max="9240" width="14.109375" style="427" bestFit="1" customWidth="1"/>
    <col min="9241" max="9242" width="14.33203125" style="427" bestFit="1" customWidth="1"/>
    <col min="9243" max="9243" width="15.5546875" style="427" bestFit="1" customWidth="1"/>
    <col min="9244" max="9244" width="15" style="427" bestFit="1" customWidth="1"/>
    <col min="9245" max="9245" width="15.5546875" style="427" bestFit="1" customWidth="1"/>
    <col min="9246" max="9246" width="9.109375" style="427"/>
    <col min="9247" max="9247" width="15.5546875" style="427" bestFit="1" customWidth="1"/>
    <col min="9248" max="9248" width="11.6640625" style="427" bestFit="1" customWidth="1"/>
    <col min="9249" max="9249" width="15.5546875" style="427" bestFit="1" customWidth="1"/>
    <col min="9250" max="9472" width="9.109375" style="427"/>
    <col min="9473" max="9473" width="14.88671875" style="427" customWidth="1"/>
    <col min="9474" max="9474" width="69.44140625" style="427" bestFit="1" customWidth="1"/>
    <col min="9475" max="9475" width="31.5546875" style="427" bestFit="1" customWidth="1"/>
    <col min="9476" max="9476" width="21.88671875" style="427" customWidth="1"/>
    <col min="9477" max="9477" width="14.6640625" style="427" bestFit="1" customWidth="1"/>
    <col min="9478" max="9478" width="19" style="427" customWidth="1"/>
    <col min="9479" max="9479" width="19.33203125" style="427" customWidth="1"/>
    <col min="9480" max="9480" width="14.109375" style="427" bestFit="1" customWidth="1"/>
    <col min="9481" max="9481" width="14.33203125" style="427" bestFit="1" customWidth="1"/>
    <col min="9482" max="9482" width="12.88671875" style="427" bestFit="1" customWidth="1"/>
    <col min="9483" max="9483" width="15.5546875" style="427" bestFit="1" customWidth="1"/>
    <col min="9484" max="9484" width="15" style="427" bestFit="1" customWidth="1"/>
    <col min="9485" max="9485" width="15.5546875" style="427" bestFit="1" customWidth="1"/>
    <col min="9486" max="9486" width="11.44140625" style="427" bestFit="1" customWidth="1"/>
    <col min="9487" max="9487" width="9.109375" style="427"/>
    <col min="9488" max="9488" width="15.5546875" style="427" bestFit="1" customWidth="1"/>
    <col min="9489" max="9489" width="10.6640625" style="427" bestFit="1" customWidth="1"/>
    <col min="9490" max="9490" width="9.109375" style="427"/>
    <col min="9491" max="9491" width="20.88671875" style="427" customWidth="1"/>
    <col min="9492" max="9492" width="15.44140625" style="427" customWidth="1"/>
    <col min="9493" max="9493" width="14.6640625" style="427" bestFit="1" customWidth="1"/>
    <col min="9494" max="9494" width="18.5546875" style="427" customWidth="1"/>
    <col min="9495" max="9495" width="21.5546875" style="427" customWidth="1"/>
    <col min="9496" max="9496" width="14.109375" style="427" bestFit="1" customWidth="1"/>
    <col min="9497" max="9498" width="14.33203125" style="427" bestFit="1" customWidth="1"/>
    <col min="9499" max="9499" width="15.5546875" style="427" bestFit="1" customWidth="1"/>
    <col min="9500" max="9500" width="15" style="427" bestFit="1" customWidth="1"/>
    <col min="9501" max="9501" width="15.5546875" style="427" bestFit="1" customWidth="1"/>
    <col min="9502" max="9502" width="9.109375" style="427"/>
    <col min="9503" max="9503" width="15.5546875" style="427" bestFit="1" customWidth="1"/>
    <col min="9504" max="9504" width="11.6640625" style="427" bestFit="1" customWidth="1"/>
    <col min="9505" max="9505" width="15.5546875" style="427" bestFit="1" customWidth="1"/>
    <col min="9506" max="9728" width="9.109375" style="427"/>
    <col min="9729" max="9729" width="14.88671875" style="427" customWidth="1"/>
    <col min="9730" max="9730" width="69.44140625" style="427" bestFit="1" customWidth="1"/>
    <col min="9731" max="9731" width="31.5546875" style="427" bestFit="1" customWidth="1"/>
    <col min="9732" max="9732" width="21.88671875" style="427" customWidth="1"/>
    <col min="9733" max="9733" width="14.6640625" style="427" bestFit="1" customWidth="1"/>
    <col min="9734" max="9734" width="19" style="427" customWidth="1"/>
    <col min="9735" max="9735" width="19.33203125" style="427" customWidth="1"/>
    <col min="9736" max="9736" width="14.109375" style="427" bestFit="1" customWidth="1"/>
    <col min="9737" max="9737" width="14.33203125" style="427" bestFit="1" customWidth="1"/>
    <col min="9738" max="9738" width="12.88671875" style="427" bestFit="1" customWidth="1"/>
    <col min="9739" max="9739" width="15.5546875" style="427" bestFit="1" customWidth="1"/>
    <col min="9740" max="9740" width="15" style="427" bestFit="1" customWidth="1"/>
    <col min="9741" max="9741" width="15.5546875" style="427" bestFit="1" customWidth="1"/>
    <col min="9742" max="9742" width="11.44140625" style="427" bestFit="1" customWidth="1"/>
    <col min="9743" max="9743" width="9.109375" style="427"/>
    <col min="9744" max="9744" width="15.5546875" style="427" bestFit="1" customWidth="1"/>
    <col min="9745" max="9745" width="10.6640625" style="427" bestFit="1" customWidth="1"/>
    <col min="9746" max="9746" width="9.109375" style="427"/>
    <col min="9747" max="9747" width="20.88671875" style="427" customWidth="1"/>
    <col min="9748" max="9748" width="15.44140625" style="427" customWidth="1"/>
    <col min="9749" max="9749" width="14.6640625" style="427" bestFit="1" customWidth="1"/>
    <col min="9750" max="9750" width="18.5546875" style="427" customWidth="1"/>
    <col min="9751" max="9751" width="21.5546875" style="427" customWidth="1"/>
    <col min="9752" max="9752" width="14.109375" style="427" bestFit="1" customWidth="1"/>
    <col min="9753" max="9754" width="14.33203125" style="427" bestFit="1" customWidth="1"/>
    <col min="9755" max="9755" width="15.5546875" style="427" bestFit="1" customWidth="1"/>
    <col min="9756" max="9756" width="15" style="427" bestFit="1" customWidth="1"/>
    <col min="9757" max="9757" width="15.5546875" style="427" bestFit="1" customWidth="1"/>
    <col min="9758" max="9758" width="9.109375" style="427"/>
    <col min="9759" max="9759" width="15.5546875" style="427" bestFit="1" customWidth="1"/>
    <col min="9760" max="9760" width="11.6640625" style="427" bestFit="1" customWidth="1"/>
    <col min="9761" max="9761" width="15.5546875" style="427" bestFit="1" customWidth="1"/>
    <col min="9762" max="9984" width="9.109375" style="427"/>
    <col min="9985" max="9985" width="14.88671875" style="427" customWidth="1"/>
    <col min="9986" max="9986" width="69.44140625" style="427" bestFit="1" customWidth="1"/>
    <col min="9987" max="9987" width="31.5546875" style="427" bestFit="1" customWidth="1"/>
    <col min="9988" max="9988" width="21.88671875" style="427" customWidth="1"/>
    <col min="9989" max="9989" width="14.6640625" style="427" bestFit="1" customWidth="1"/>
    <col min="9990" max="9990" width="19" style="427" customWidth="1"/>
    <col min="9991" max="9991" width="19.33203125" style="427" customWidth="1"/>
    <col min="9992" max="9992" width="14.109375" style="427" bestFit="1" customWidth="1"/>
    <col min="9993" max="9993" width="14.33203125" style="427" bestFit="1" customWidth="1"/>
    <col min="9994" max="9994" width="12.88671875" style="427" bestFit="1" customWidth="1"/>
    <col min="9995" max="9995" width="15.5546875" style="427" bestFit="1" customWidth="1"/>
    <col min="9996" max="9996" width="15" style="427" bestFit="1" customWidth="1"/>
    <col min="9997" max="9997" width="15.5546875" style="427" bestFit="1" customWidth="1"/>
    <col min="9998" max="9998" width="11.44140625" style="427" bestFit="1" customWidth="1"/>
    <col min="9999" max="9999" width="9.109375" style="427"/>
    <col min="10000" max="10000" width="15.5546875" style="427" bestFit="1" customWidth="1"/>
    <col min="10001" max="10001" width="10.6640625" style="427" bestFit="1" customWidth="1"/>
    <col min="10002" max="10002" width="9.109375" style="427"/>
    <col min="10003" max="10003" width="20.88671875" style="427" customWidth="1"/>
    <col min="10004" max="10004" width="15.44140625" style="427" customWidth="1"/>
    <col min="10005" max="10005" width="14.6640625" style="427" bestFit="1" customWidth="1"/>
    <col min="10006" max="10006" width="18.5546875" style="427" customWidth="1"/>
    <col min="10007" max="10007" width="21.5546875" style="427" customWidth="1"/>
    <col min="10008" max="10008" width="14.109375" style="427" bestFit="1" customWidth="1"/>
    <col min="10009" max="10010" width="14.33203125" style="427" bestFit="1" customWidth="1"/>
    <col min="10011" max="10011" width="15.5546875" style="427" bestFit="1" customWidth="1"/>
    <col min="10012" max="10012" width="15" style="427" bestFit="1" customWidth="1"/>
    <col min="10013" max="10013" width="15.5546875" style="427" bestFit="1" customWidth="1"/>
    <col min="10014" max="10014" width="9.109375" style="427"/>
    <col min="10015" max="10015" width="15.5546875" style="427" bestFit="1" customWidth="1"/>
    <col min="10016" max="10016" width="11.6640625" style="427" bestFit="1" customWidth="1"/>
    <col min="10017" max="10017" width="15.5546875" style="427" bestFit="1" customWidth="1"/>
    <col min="10018" max="10240" width="9.109375" style="427"/>
    <col min="10241" max="10241" width="14.88671875" style="427" customWidth="1"/>
    <col min="10242" max="10242" width="69.44140625" style="427" bestFit="1" customWidth="1"/>
    <col min="10243" max="10243" width="31.5546875" style="427" bestFit="1" customWidth="1"/>
    <col min="10244" max="10244" width="21.88671875" style="427" customWidth="1"/>
    <col min="10245" max="10245" width="14.6640625" style="427" bestFit="1" customWidth="1"/>
    <col min="10246" max="10246" width="19" style="427" customWidth="1"/>
    <col min="10247" max="10247" width="19.33203125" style="427" customWidth="1"/>
    <col min="10248" max="10248" width="14.109375" style="427" bestFit="1" customWidth="1"/>
    <col min="10249" max="10249" width="14.33203125" style="427" bestFit="1" customWidth="1"/>
    <col min="10250" max="10250" width="12.88671875" style="427" bestFit="1" customWidth="1"/>
    <col min="10251" max="10251" width="15.5546875" style="427" bestFit="1" customWidth="1"/>
    <col min="10252" max="10252" width="15" style="427" bestFit="1" customWidth="1"/>
    <col min="10253" max="10253" width="15.5546875" style="427" bestFit="1" customWidth="1"/>
    <col min="10254" max="10254" width="11.44140625" style="427" bestFit="1" customWidth="1"/>
    <col min="10255" max="10255" width="9.109375" style="427"/>
    <col min="10256" max="10256" width="15.5546875" style="427" bestFit="1" customWidth="1"/>
    <col min="10257" max="10257" width="10.6640625" style="427" bestFit="1" customWidth="1"/>
    <col min="10258" max="10258" width="9.109375" style="427"/>
    <col min="10259" max="10259" width="20.88671875" style="427" customWidth="1"/>
    <col min="10260" max="10260" width="15.44140625" style="427" customWidth="1"/>
    <col min="10261" max="10261" width="14.6640625" style="427" bestFit="1" customWidth="1"/>
    <col min="10262" max="10262" width="18.5546875" style="427" customWidth="1"/>
    <col min="10263" max="10263" width="21.5546875" style="427" customWidth="1"/>
    <col min="10264" max="10264" width="14.109375" style="427" bestFit="1" customWidth="1"/>
    <col min="10265" max="10266" width="14.33203125" style="427" bestFit="1" customWidth="1"/>
    <col min="10267" max="10267" width="15.5546875" style="427" bestFit="1" customWidth="1"/>
    <col min="10268" max="10268" width="15" style="427" bestFit="1" customWidth="1"/>
    <col min="10269" max="10269" width="15.5546875" style="427" bestFit="1" customWidth="1"/>
    <col min="10270" max="10270" width="9.109375" style="427"/>
    <col min="10271" max="10271" width="15.5546875" style="427" bestFit="1" customWidth="1"/>
    <col min="10272" max="10272" width="11.6640625" style="427" bestFit="1" customWidth="1"/>
    <col min="10273" max="10273" width="15.5546875" style="427" bestFit="1" customWidth="1"/>
    <col min="10274" max="10496" width="9.109375" style="427"/>
    <col min="10497" max="10497" width="14.88671875" style="427" customWidth="1"/>
    <col min="10498" max="10498" width="69.44140625" style="427" bestFit="1" customWidth="1"/>
    <col min="10499" max="10499" width="31.5546875" style="427" bestFit="1" customWidth="1"/>
    <col min="10500" max="10500" width="21.88671875" style="427" customWidth="1"/>
    <col min="10501" max="10501" width="14.6640625" style="427" bestFit="1" customWidth="1"/>
    <col min="10502" max="10502" width="19" style="427" customWidth="1"/>
    <col min="10503" max="10503" width="19.33203125" style="427" customWidth="1"/>
    <col min="10504" max="10504" width="14.109375" style="427" bestFit="1" customWidth="1"/>
    <col min="10505" max="10505" width="14.33203125" style="427" bestFit="1" customWidth="1"/>
    <col min="10506" max="10506" width="12.88671875" style="427" bestFit="1" customWidth="1"/>
    <col min="10507" max="10507" width="15.5546875" style="427" bestFit="1" customWidth="1"/>
    <col min="10508" max="10508" width="15" style="427" bestFit="1" customWidth="1"/>
    <col min="10509" max="10509" width="15.5546875" style="427" bestFit="1" customWidth="1"/>
    <col min="10510" max="10510" width="11.44140625" style="427" bestFit="1" customWidth="1"/>
    <col min="10511" max="10511" width="9.109375" style="427"/>
    <col min="10512" max="10512" width="15.5546875" style="427" bestFit="1" customWidth="1"/>
    <col min="10513" max="10513" width="10.6640625" style="427" bestFit="1" customWidth="1"/>
    <col min="10514" max="10514" width="9.109375" style="427"/>
    <col min="10515" max="10515" width="20.88671875" style="427" customWidth="1"/>
    <col min="10516" max="10516" width="15.44140625" style="427" customWidth="1"/>
    <col min="10517" max="10517" width="14.6640625" style="427" bestFit="1" customWidth="1"/>
    <col min="10518" max="10518" width="18.5546875" style="427" customWidth="1"/>
    <col min="10519" max="10519" width="21.5546875" style="427" customWidth="1"/>
    <col min="10520" max="10520" width="14.109375" style="427" bestFit="1" customWidth="1"/>
    <col min="10521" max="10522" width="14.33203125" style="427" bestFit="1" customWidth="1"/>
    <col min="10523" max="10523" width="15.5546875" style="427" bestFit="1" customWidth="1"/>
    <col min="10524" max="10524" width="15" style="427" bestFit="1" customWidth="1"/>
    <col min="10525" max="10525" width="15.5546875" style="427" bestFit="1" customWidth="1"/>
    <col min="10526" max="10526" width="9.109375" style="427"/>
    <col min="10527" max="10527" width="15.5546875" style="427" bestFit="1" customWidth="1"/>
    <col min="10528" max="10528" width="11.6640625" style="427" bestFit="1" customWidth="1"/>
    <col min="10529" max="10529" width="15.5546875" style="427" bestFit="1" customWidth="1"/>
    <col min="10530" max="10752" width="9.109375" style="427"/>
    <col min="10753" max="10753" width="14.88671875" style="427" customWidth="1"/>
    <col min="10754" max="10754" width="69.44140625" style="427" bestFit="1" customWidth="1"/>
    <col min="10755" max="10755" width="31.5546875" style="427" bestFit="1" customWidth="1"/>
    <col min="10756" max="10756" width="21.88671875" style="427" customWidth="1"/>
    <col min="10757" max="10757" width="14.6640625" style="427" bestFit="1" customWidth="1"/>
    <col min="10758" max="10758" width="19" style="427" customWidth="1"/>
    <col min="10759" max="10759" width="19.33203125" style="427" customWidth="1"/>
    <col min="10760" max="10760" width="14.109375" style="427" bestFit="1" customWidth="1"/>
    <col min="10761" max="10761" width="14.33203125" style="427" bestFit="1" customWidth="1"/>
    <col min="10762" max="10762" width="12.88671875" style="427" bestFit="1" customWidth="1"/>
    <col min="10763" max="10763" width="15.5546875" style="427" bestFit="1" customWidth="1"/>
    <col min="10764" max="10764" width="15" style="427" bestFit="1" customWidth="1"/>
    <col min="10765" max="10765" width="15.5546875" style="427" bestFit="1" customWidth="1"/>
    <col min="10766" max="10766" width="11.44140625" style="427" bestFit="1" customWidth="1"/>
    <col min="10767" max="10767" width="9.109375" style="427"/>
    <col min="10768" max="10768" width="15.5546875" style="427" bestFit="1" customWidth="1"/>
    <col min="10769" max="10769" width="10.6640625" style="427" bestFit="1" customWidth="1"/>
    <col min="10770" max="10770" width="9.109375" style="427"/>
    <col min="10771" max="10771" width="20.88671875" style="427" customWidth="1"/>
    <col min="10772" max="10772" width="15.44140625" style="427" customWidth="1"/>
    <col min="10773" max="10773" width="14.6640625" style="427" bestFit="1" customWidth="1"/>
    <col min="10774" max="10774" width="18.5546875" style="427" customWidth="1"/>
    <col min="10775" max="10775" width="21.5546875" style="427" customWidth="1"/>
    <col min="10776" max="10776" width="14.109375" style="427" bestFit="1" customWidth="1"/>
    <col min="10777" max="10778" width="14.33203125" style="427" bestFit="1" customWidth="1"/>
    <col min="10779" max="10779" width="15.5546875" style="427" bestFit="1" customWidth="1"/>
    <col min="10780" max="10780" width="15" style="427" bestFit="1" customWidth="1"/>
    <col min="10781" max="10781" width="15.5546875" style="427" bestFit="1" customWidth="1"/>
    <col min="10782" max="10782" width="9.109375" style="427"/>
    <col min="10783" max="10783" width="15.5546875" style="427" bestFit="1" customWidth="1"/>
    <col min="10784" max="10784" width="11.6640625" style="427" bestFit="1" customWidth="1"/>
    <col min="10785" max="10785" width="15.5546875" style="427" bestFit="1" customWidth="1"/>
    <col min="10786" max="11008" width="9.109375" style="427"/>
    <col min="11009" max="11009" width="14.88671875" style="427" customWidth="1"/>
    <col min="11010" max="11010" width="69.44140625" style="427" bestFit="1" customWidth="1"/>
    <col min="11011" max="11011" width="31.5546875" style="427" bestFit="1" customWidth="1"/>
    <col min="11012" max="11012" width="21.88671875" style="427" customWidth="1"/>
    <col min="11013" max="11013" width="14.6640625" style="427" bestFit="1" customWidth="1"/>
    <col min="11014" max="11014" width="19" style="427" customWidth="1"/>
    <col min="11015" max="11015" width="19.33203125" style="427" customWidth="1"/>
    <col min="11016" max="11016" width="14.109375" style="427" bestFit="1" customWidth="1"/>
    <col min="11017" max="11017" width="14.33203125" style="427" bestFit="1" customWidth="1"/>
    <col min="11018" max="11018" width="12.88671875" style="427" bestFit="1" customWidth="1"/>
    <col min="11019" max="11019" width="15.5546875" style="427" bestFit="1" customWidth="1"/>
    <col min="11020" max="11020" width="15" style="427" bestFit="1" customWidth="1"/>
    <col min="11021" max="11021" width="15.5546875" style="427" bestFit="1" customWidth="1"/>
    <col min="11022" max="11022" width="11.44140625" style="427" bestFit="1" customWidth="1"/>
    <col min="11023" max="11023" width="9.109375" style="427"/>
    <col min="11024" max="11024" width="15.5546875" style="427" bestFit="1" customWidth="1"/>
    <col min="11025" max="11025" width="10.6640625" style="427" bestFit="1" customWidth="1"/>
    <col min="11026" max="11026" width="9.109375" style="427"/>
    <col min="11027" max="11027" width="20.88671875" style="427" customWidth="1"/>
    <col min="11028" max="11028" width="15.44140625" style="427" customWidth="1"/>
    <col min="11029" max="11029" width="14.6640625" style="427" bestFit="1" customWidth="1"/>
    <col min="11030" max="11030" width="18.5546875" style="427" customWidth="1"/>
    <col min="11031" max="11031" width="21.5546875" style="427" customWidth="1"/>
    <col min="11032" max="11032" width="14.109375" style="427" bestFit="1" customWidth="1"/>
    <col min="11033" max="11034" width="14.33203125" style="427" bestFit="1" customWidth="1"/>
    <col min="11035" max="11035" width="15.5546875" style="427" bestFit="1" customWidth="1"/>
    <col min="11036" max="11036" width="15" style="427" bestFit="1" customWidth="1"/>
    <col min="11037" max="11037" width="15.5546875" style="427" bestFit="1" customWidth="1"/>
    <col min="11038" max="11038" width="9.109375" style="427"/>
    <col min="11039" max="11039" width="15.5546875" style="427" bestFit="1" customWidth="1"/>
    <col min="11040" max="11040" width="11.6640625" style="427" bestFit="1" customWidth="1"/>
    <col min="11041" max="11041" width="15.5546875" style="427" bestFit="1" customWidth="1"/>
    <col min="11042" max="11264" width="9.109375" style="427"/>
    <col min="11265" max="11265" width="14.88671875" style="427" customWidth="1"/>
    <col min="11266" max="11266" width="69.44140625" style="427" bestFit="1" customWidth="1"/>
    <col min="11267" max="11267" width="31.5546875" style="427" bestFit="1" customWidth="1"/>
    <col min="11268" max="11268" width="21.88671875" style="427" customWidth="1"/>
    <col min="11269" max="11269" width="14.6640625" style="427" bestFit="1" customWidth="1"/>
    <col min="11270" max="11270" width="19" style="427" customWidth="1"/>
    <col min="11271" max="11271" width="19.33203125" style="427" customWidth="1"/>
    <col min="11272" max="11272" width="14.109375" style="427" bestFit="1" customWidth="1"/>
    <col min="11273" max="11273" width="14.33203125" style="427" bestFit="1" customWidth="1"/>
    <col min="11274" max="11274" width="12.88671875" style="427" bestFit="1" customWidth="1"/>
    <col min="11275" max="11275" width="15.5546875" style="427" bestFit="1" customWidth="1"/>
    <col min="11276" max="11276" width="15" style="427" bestFit="1" customWidth="1"/>
    <col min="11277" max="11277" width="15.5546875" style="427" bestFit="1" customWidth="1"/>
    <col min="11278" max="11278" width="11.44140625" style="427" bestFit="1" customWidth="1"/>
    <col min="11279" max="11279" width="9.109375" style="427"/>
    <col min="11280" max="11280" width="15.5546875" style="427" bestFit="1" customWidth="1"/>
    <col min="11281" max="11281" width="10.6640625" style="427" bestFit="1" customWidth="1"/>
    <col min="11282" max="11282" width="9.109375" style="427"/>
    <col min="11283" max="11283" width="20.88671875" style="427" customWidth="1"/>
    <col min="11284" max="11284" width="15.44140625" style="427" customWidth="1"/>
    <col min="11285" max="11285" width="14.6640625" style="427" bestFit="1" customWidth="1"/>
    <col min="11286" max="11286" width="18.5546875" style="427" customWidth="1"/>
    <col min="11287" max="11287" width="21.5546875" style="427" customWidth="1"/>
    <col min="11288" max="11288" width="14.109375" style="427" bestFit="1" customWidth="1"/>
    <col min="11289" max="11290" width="14.33203125" style="427" bestFit="1" customWidth="1"/>
    <col min="11291" max="11291" width="15.5546875" style="427" bestFit="1" customWidth="1"/>
    <col min="11292" max="11292" width="15" style="427" bestFit="1" customWidth="1"/>
    <col min="11293" max="11293" width="15.5546875" style="427" bestFit="1" customWidth="1"/>
    <col min="11294" max="11294" width="9.109375" style="427"/>
    <col min="11295" max="11295" width="15.5546875" style="427" bestFit="1" customWidth="1"/>
    <col min="11296" max="11296" width="11.6640625" style="427" bestFit="1" customWidth="1"/>
    <col min="11297" max="11297" width="15.5546875" style="427" bestFit="1" customWidth="1"/>
    <col min="11298" max="11520" width="9.109375" style="427"/>
    <col min="11521" max="11521" width="14.88671875" style="427" customWidth="1"/>
    <col min="11522" max="11522" width="69.44140625" style="427" bestFit="1" customWidth="1"/>
    <col min="11523" max="11523" width="31.5546875" style="427" bestFit="1" customWidth="1"/>
    <col min="11524" max="11524" width="21.88671875" style="427" customWidth="1"/>
    <col min="11525" max="11525" width="14.6640625" style="427" bestFit="1" customWidth="1"/>
    <col min="11526" max="11526" width="19" style="427" customWidth="1"/>
    <col min="11527" max="11527" width="19.33203125" style="427" customWidth="1"/>
    <col min="11528" max="11528" width="14.109375" style="427" bestFit="1" customWidth="1"/>
    <col min="11529" max="11529" width="14.33203125" style="427" bestFit="1" customWidth="1"/>
    <col min="11530" max="11530" width="12.88671875" style="427" bestFit="1" customWidth="1"/>
    <col min="11531" max="11531" width="15.5546875" style="427" bestFit="1" customWidth="1"/>
    <col min="11532" max="11532" width="15" style="427" bestFit="1" customWidth="1"/>
    <col min="11533" max="11533" width="15.5546875" style="427" bestFit="1" customWidth="1"/>
    <col min="11534" max="11534" width="11.44140625" style="427" bestFit="1" customWidth="1"/>
    <col min="11535" max="11535" width="9.109375" style="427"/>
    <col min="11536" max="11536" width="15.5546875" style="427" bestFit="1" customWidth="1"/>
    <col min="11537" max="11537" width="10.6640625" style="427" bestFit="1" customWidth="1"/>
    <col min="11538" max="11538" width="9.109375" style="427"/>
    <col min="11539" max="11539" width="20.88671875" style="427" customWidth="1"/>
    <col min="11540" max="11540" width="15.44140625" style="427" customWidth="1"/>
    <col min="11541" max="11541" width="14.6640625" style="427" bestFit="1" customWidth="1"/>
    <col min="11542" max="11542" width="18.5546875" style="427" customWidth="1"/>
    <col min="11543" max="11543" width="21.5546875" style="427" customWidth="1"/>
    <col min="11544" max="11544" width="14.109375" style="427" bestFit="1" customWidth="1"/>
    <col min="11545" max="11546" width="14.33203125" style="427" bestFit="1" customWidth="1"/>
    <col min="11547" max="11547" width="15.5546875" style="427" bestFit="1" customWidth="1"/>
    <col min="11548" max="11548" width="15" style="427" bestFit="1" customWidth="1"/>
    <col min="11549" max="11549" width="15.5546875" style="427" bestFit="1" customWidth="1"/>
    <col min="11550" max="11550" width="9.109375" style="427"/>
    <col min="11551" max="11551" width="15.5546875" style="427" bestFit="1" customWidth="1"/>
    <col min="11552" max="11552" width="11.6640625" style="427" bestFit="1" customWidth="1"/>
    <col min="11553" max="11553" width="15.5546875" style="427" bestFit="1" customWidth="1"/>
    <col min="11554" max="11776" width="9.109375" style="427"/>
    <col min="11777" max="11777" width="14.88671875" style="427" customWidth="1"/>
    <col min="11778" max="11778" width="69.44140625" style="427" bestFit="1" customWidth="1"/>
    <col min="11779" max="11779" width="31.5546875" style="427" bestFit="1" customWidth="1"/>
    <col min="11780" max="11780" width="21.88671875" style="427" customWidth="1"/>
    <col min="11781" max="11781" width="14.6640625" style="427" bestFit="1" customWidth="1"/>
    <col min="11782" max="11782" width="19" style="427" customWidth="1"/>
    <col min="11783" max="11783" width="19.33203125" style="427" customWidth="1"/>
    <col min="11784" max="11784" width="14.109375" style="427" bestFit="1" customWidth="1"/>
    <col min="11785" max="11785" width="14.33203125" style="427" bestFit="1" customWidth="1"/>
    <col min="11786" max="11786" width="12.88671875" style="427" bestFit="1" customWidth="1"/>
    <col min="11787" max="11787" width="15.5546875" style="427" bestFit="1" customWidth="1"/>
    <col min="11788" max="11788" width="15" style="427" bestFit="1" customWidth="1"/>
    <col min="11789" max="11789" width="15.5546875" style="427" bestFit="1" customWidth="1"/>
    <col min="11790" max="11790" width="11.44140625" style="427" bestFit="1" customWidth="1"/>
    <col min="11791" max="11791" width="9.109375" style="427"/>
    <col min="11792" max="11792" width="15.5546875" style="427" bestFit="1" customWidth="1"/>
    <col min="11793" max="11793" width="10.6640625" style="427" bestFit="1" customWidth="1"/>
    <col min="11794" max="11794" width="9.109375" style="427"/>
    <col min="11795" max="11795" width="20.88671875" style="427" customWidth="1"/>
    <col min="11796" max="11796" width="15.44140625" style="427" customWidth="1"/>
    <col min="11797" max="11797" width="14.6640625" style="427" bestFit="1" customWidth="1"/>
    <col min="11798" max="11798" width="18.5546875" style="427" customWidth="1"/>
    <col min="11799" max="11799" width="21.5546875" style="427" customWidth="1"/>
    <col min="11800" max="11800" width="14.109375" style="427" bestFit="1" customWidth="1"/>
    <col min="11801" max="11802" width="14.33203125" style="427" bestFit="1" customWidth="1"/>
    <col min="11803" max="11803" width="15.5546875" style="427" bestFit="1" customWidth="1"/>
    <col min="11804" max="11804" width="15" style="427" bestFit="1" customWidth="1"/>
    <col min="11805" max="11805" width="15.5546875" style="427" bestFit="1" customWidth="1"/>
    <col min="11806" max="11806" width="9.109375" style="427"/>
    <col min="11807" max="11807" width="15.5546875" style="427" bestFit="1" customWidth="1"/>
    <col min="11808" max="11808" width="11.6640625" style="427" bestFit="1" customWidth="1"/>
    <col min="11809" max="11809" width="15.5546875" style="427" bestFit="1" customWidth="1"/>
    <col min="11810" max="12032" width="9.109375" style="427"/>
    <col min="12033" max="12033" width="14.88671875" style="427" customWidth="1"/>
    <col min="12034" max="12034" width="69.44140625" style="427" bestFit="1" customWidth="1"/>
    <col min="12035" max="12035" width="31.5546875" style="427" bestFit="1" customWidth="1"/>
    <col min="12036" max="12036" width="21.88671875" style="427" customWidth="1"/>
    <col min="12037" max="12037" width="14.6640625" style="427" bestFit="1" customWidth="1"/>
    <col min="12038" max="12038" width="19" style="427" customWidth="1"/>
    <col min="12039" max="12039" width="19.33203125" style="427" customWidth="1"/>
    <col min="12040" max="12040" width="14.109375" style="427" bestFit="1" customWidth="1"/>
    <col min="12041" max="12041" width="14.33203125" style="427" bestFit="1" customWidth="1"/>
    <col min="12042" max="12042" width="12.88671875" style="427" bestFit="1" customWidth="1"/>
    <col min="12043" max="12043" width="15.5546875" style="427" bestFit="1" customWidth="1"/>
    <col min="12044" max="12044" width="15" style="427" bestFit="1" customWidth="1"/>
    <col min="12045" max="12045" width="15.5546875" style="427" bestFit="1" customWidth="1"/>
    <col min="12046" max="12046" width="11.44140625" style="427" bestFit="1" customWidth="1"/>
    <col min="12047" max="12047" width="9.109375" style="427"/>
    <col min="12048" max="12048" width="15.5546875" style="427" bestFit="1" customWidth="1"/>
    <col min="12049" max="12049" width="10.6640625" style="427" bestFit="1" customWidth="1"/>
    <col min="12050" max="12050" width="9.109375" style="427"/>
    <col min="12051" max="12051" width="20.88671875" style="427" customWidth="1"/>
    <col min="12052" max="12052" width="15.44140625" style="427" customWidth="1"/>
    <col min="12053" max="12053" width="14.6640625" style="427" bestFit="1" customWidth="1"/>
    <col min="12054" max="12054" width="18.5546875" style="427" customWidth="1"/>
    <col min="12055" max="12055" width="21.5546875" style="427" customWidth="1"/>
    <col min="12056" max="12056" width="14.109375" style="427" bestFit="1" customWidth="1"/>
    <col min="12057" max="12058" width="14.33203125" style="427" bestFit="1" customWidth="1"/>
    <col min="12059" max="12059" width="15.5546875" style="427" bestFit="1" customWidth="1"/>
    <col min="12060" max="12060" width="15" style="427" bestFit="1" customWidth="1"/>
    <col min="12061" max="12061" width="15.5546875" style="427" bestFit="1" customWidth="1"/>
    <col min="12062" max="12062" width="9.109375" style="427"/>
    <col min="12063" max="12063" width="15.5546875" style="427" bestFit="1" customWidth="1"/>
    <col min="12064" max="12064" width="11.6640625" style="427" bestFit="1" customWidth="1"/>
    <col min="12065" max="12065" width="15.5546875" style="427" bestFit="1" customWidth="1"/>
    <col min="12066" max="12288" width="9.109375" style="427"/>
    <col min="12289" max="12289" width="14.88671875" style="427" customWidth="1"/>
    <col min="12290" max="12290" width="69.44140625" style="427" bestFit="1" customWidth="1"/>
    <col min="12291" max="12291" width="31.5546875" style="427" bestFit="1" customWidth="1"/>
    <col min="12292" max="12292" width="21.88671875" style="427" customWidth="1"/>
    <col min="12293" max="12293" width="14.6640625" style="427" bestFit="1" customWidth="1"/>
    <col min="12294" max="12294" width="19" style="427" customWidth="1"/>
    <col min="12295" max="12295" width="19.33203125" style="427" customWidth="1"/>
    <col min="12296" max="12296" width="14.109375" style="427" bestFit="1" customWidth="1"/>
    <col min="12297" max="12297" width="14.33203125" style="427" bestFit="1" customWidth="1"/>
    <col min="12298" max="12298" width="12.88671875" style="427" bestFit="1" customWidth="1"/>
    <col min="12299" max="12299" width="15.5546875" style="427" bestFit="1" customWidth="1"/>
    <col min="12300" max="12300" width="15" style="427" bestFit="1" customWidth="1"/>
    <col min="12301" max="12301" width="15.5546875" style="427" bestFit="1" customWidth="1"/>
    <col min="12302" max="12302" width="11.44140625" style="427" bestFit="1" customWidth="1"/>
    <col min="12303" max="12303" width="9.109375" style="427"/>
    <col min="12304" max="12304" width="15.5546875" style="427" bestFit="1" customWidth="1"/>
    <col min="12305" max="12305" width="10.6640625" style="427" bestFit="1" customWidth="1"/>
    <col min="12306" max="12306" width="9.109375" style="427"/>
    <col min="12307" max="12307" width="20.88671875" style="427" customWidth="1"/>
    <col min="12308" max="12308" width="15.44140625" style="427" customWidth="1"/>
    <col min="12309" max="12309" width="14.6640625" style="427" bestFit="1" customWidth="1"/>
    <col min="12310" max="12310" width="18.5546875" style="427" customWidth="1"/>
    <col min="12311" max="12311" width="21.5546875" style="427" customWidth="1"/>
    <col min="12312" max="12312" width="14.109375" style="427" bestFit="1" customWidth="1"/>
    <col min="12313" max="12314" width="14.33203125" style="427" bestFit="1" customWidth="1"/>
    <col min="12315" max="12315" width="15.5546875" style="427" bestFit="1" customWidth="1"/>
    <col min="12316" max="12316" width="15" style="427" bestFit="1" customWidth="1"/>
    <col min="12317" max="12317" width="15.5546875" style="427" bestFit="1" customWidth="1"/>
    <col min="12318" max="12318" width="9.109375" style="427"/>
    <col min="12319" max="12319" width="15.5546875" style="427" bestFit="1" customWidth="1"/>
    <col min="12320" max="12320" width="11.6640625" style="427" bestFit="1" customWidth="1"/>
    <col min="12321" max="12321" width="15.5546875" style="427" bestFit="1" customWidth="1"/>
    <col min="12322" max="12544" width="9.109375" style="427"/>
    <col min="12545" max="12545" width="14.88671875" style="427" customWidth="1"/>
    <col min="12546" max="12546" width="69.44140625" style="427" bestFit="1" customWidth="1"/>
    <col min="12547" max="12547" width="31.5546875" style="427" bestFit="1" customWidth="1"/>
    <col min="12548" max="12548" width="21.88671875" style="427" customWidth="1"/>
    <col min="12549" max="12549" width="14.6640625" style="427" bestFit="1" customWidth="1"/>
    <col min="12550" max="12550" width="19" style="427" customWidth="1"/>
    <col min="12551" max="12551" width="19.33203125" style="427" customWidth="1"/>
    <col min="12552" max="12552" width="14.109375" style="427" bestFit="1" customWidth="1"/>
    <col min="12553" max="12553" width="14.33203125" style="427" bestFit="1" customWidth="1"/>
    <col min="12554" max="12554" width="12.88671875" style="427" bestFit="1" customWidth="1"/>
    <col min="12555" max="12555" width="15.5546875" style="427" bestFit="1" customWidth="1"/>
    <col min="12556" max="12556" width="15" style="427" bestFit="1" customWidth="1"/>
    <col min="12557" max="12557" width="15.5546875" style="427" bestFit="1" customWidth="1"/>
    <col min="12558" max="12558" width="11.44140625" style="427" bestFit="1" customWidth="1"/>
    <col min="12559" max="12559" width="9.109375" style="427"/>
    <col min="12560" max="12560" width="15.5546875" style="427" bestFit="1" customWidth="1"/>
    <col min="12561" max="12561" width="10.6640625" style="427" bestFit="1" customWidth="1"/>
    <col min="12562" max="12562" width="9.109375" style="427"/>
    <col min="12563" max="12563" width="20.88671875" style="427" customWidth="1"/>
    <col min="12564" max="12564" width="15.44140625" style="427" customWidth="1"/>
    <col min="12565" max="12565" width="14.6640625" style="427" bestFit="1" customWidth="1"/>
    <col min="12566" max="12566" width="18.5546875" style="427" customWidth="1"/>
    <col min="12567" max="12567" width="21.5546875" style="427" customWidth="1"/>
    <col min="12568" max="12568" width="14.109375" style="427" bestFit="1" customWidth="1"/>
    <col min="12569" max="12570" width="14.33203125" style="427" bestFit="1" customWidth="1"/>
    <col min="12571" max="12571" width="15.5546875" style="427" bestFit="1" customWidth="1"/>
    <col min="12572" max="12572" width="15" style="427" bestFit="1" customWidth="1"/>
    <col min="12573" max="12573" width="15.5546875" style="427" bestFit="1" customWidth="1"/>
    <col min="12574" max="12574" width="9.109375" style="427"/>
    <col min="12575" max="12575" width="15.5546875" style="427" bestFit="1" customWidth="1"/>
    <col min="12576" max="12576" width="11.6640625" style="427" bestFit="1" customWidth="1"/>
    <col min="12577" max="12577" width="15.5546875" style="427" bestFit="1" customWidth="1"/>
    <col min="12578" max="12800" width="9.109375" style="427"/>
    <col min="12801" max="12801" width="14.88671875" style="427" customWidth="1"/>
    <col min="12802" max="12802" width="69.44140625" style="427" bestFit="1" customWidth="1"/>
    <col min="12803" max="12803" width="31.5546875" style="427" bestFit="1" customWidth="1"/>
    <col min="12804" max="12804" width="21.88671875" style="427" customWidth="1"/>
    <col min="12805" max="12805" width="14.6640625" style="427" bestFit="1" customWidth="1"/>
    <col min="12806" max="12806" width="19" style="427" customWidth="1"/>
    <col min="12807" max="12807" width="19.33203125" style="427" customWidth="1"/>
    <col min="12808" max="12808" width="14.109375" style="427" bestFit="1" customWidth="1"/>
    <col min="12809" max="12809" width="14.33203125" style="427" bestFit="1" customWidth="1"/>
    <col min="12810" max="12810" width="12.88671875" style="427" bestFit="1" customWidth="1"/>
    <col min="12811" max="12811" width="15.5546875" style="427" bestFit="1" customWidth="1"/>
    <col min="12812" max="12812" width="15" style="427" bestFit="1" customWidth="1"/>
    <col min="12813" max="12813" width="15.5546875" style="427" bestFit="1" customWidth="1"/>
    <col min="12814" max="12814" width="11.44140625" style="427" bestFit="1" customWidth="1"/>
    <col min="12815" max="12815" width="9.109375" style="427"/>
    <col min="12816" max="12816" width="15.5546875" style="427" bestFit="1" customWidth="1"/>
    <col min="12817" max="12817" width="10.6640625" style="427" bestFit="1" customWidth="1"/>
    <col min="12818" max="12818" width="9.109375" style="427"/>
    <col min="12819" max="12819" width="20.88671875" style="427" customWidth="1"/>
    <col min="12820" max="12820" width="15.44140625" style="427" customWidth="1"/>
    <col min="12821" max="12821" width="14.6640625" style="427" bestFit="1" customWidth="1"/>
    <col min="12822" max="12822" width="18.5546875" style="427" customWidth="1"/>
    <col min="12823" max="12823" width="21.5546875" style="427" customWidth="1"/>
    <col min="12824" max="12824" width="14.109375" style="427" bestFit="1" customWidth="1"/>
    <col min="12825" max="12826" width="14.33203125" style="427" bestFit="1" customWidth="1"/>
    <col min="12827" max="12827" width="15.5546875" style="427" bestFit="1" customWidth="1"/>
    <col min="12828" max="12828" width="15" style="427" bestFit="1" customWidth="1"/>
    <col min="12829" max="12829" width="15.5546875" style="427" bestFit="1" customWidth="1"/>
    <col min="12830" max="12830" width="9.109375" style="427"/>
    <col min="12831" max="12831" width="15.5546875" style="427" bestFit="1" customWidth="1"/>
    <col min="12832" max="12832" width="11.6640625" style="427" bestFit="1" customWidth="1"/>
    <col min="12833" max="12833" width="15.5546875" style="427" bestFit="1" customWidth="1"/>
    <col min="12834" max="13056" width="9.109375" style="427"/>
    <col min="13057" max="13057" width="14.88671875" style="427" customWidth="1"/>
    <col min="13058" max="13058" width="69.44140625" style="427" bestFit="1" customWidth="1"/>
    <col min="13059" max="13059" width="31.5546875" style="427" bestFit="1" customWidth="1"/>
    <col min="13060" max="13060" width="21.88671875" style="427" customWidth="1"/>
    <col min="13061" max="13061" width="14.6640625" style="427" bestFit="1" customWidth="1"/>
    <col min="13062" max="13062" width="19" style="427" customWidth="1"/>
    <col min="13063" max="13063" width="19.33203125" style="427" customWidth="1"/>
    <col min="13064" max="13064" width="14.109375" style="427" bestFit="1" customWidth="1"/>
    <col min="13065" max="13065" width="14.33203125" style="427" bestFit="1" customWidth="1"/>
    <col min="13066" max="13066" width="12.88671875" style="427" bestFit="1" customWidth="1"/>
    <col min="13067" max="13067" width="15.5546875" style="427" bestFit="1" customWidth="1"/>
    <col min="13068" max="13068" width="15" style="427" bestFit="1" customWidth="1"/>
    <col min="13069" max="13069" width="15.5546875" style="427" bestFit="1" customWidth="1"/>
    <col min="13070" max="13070" width="11.44140625" style="427" bestFit="1" customWidth="1"/>
    <col min="13071" max="13071" width="9.109375" style="427"/>
    <col min="13072" max="13072" width="15.5546875" style="427" bestFit="1" customWidth="1"/>
    <col min="13073" max="13073" width="10.6640625" style="427" bestFit="1" customWidth="1"/>
    <col min="13074" max="13074" width="9.109375" style="427"/>
    <col min="13075" max="13075" width="20.88671875" style="427" customWidth="1"/>
    <col min="13076" max="13076" width="15.44140625" style="427" customWidth="1"/>
    <col min="13077" max="13077" width="14.6640625" style="427" bestFit="1" customWidth="1"/>
    <col min="13078" max="13078" width="18.5546875" style="427" customWidth="1"/>
    <col min="13079" max="13079" width="21.5546875" style="427" customWidth="1"/>
    <col min="13080" max="13080" width="14.109375" style="427" bestFit="1" customWidth="1"/>
    <col min="13081" max="13082" width="14.33203125" style="427" bestFit="1" customWidth="1"/>
    <col min="13083" max="13083" width="15.5546875" style="427" bestFit="1" customWidth="1"/>
    <col min="13084" max="13084" width="15" style="427" bestFit="1" customWidth="1"/>
    <col min="13085" max="13085" width="15.5546875" style="427" bestFit="1" customWidth="1"/>
    <col min="13086" max="13086" width="9.109375" style="427"/>
    <col min="13087" max="13087" width="15.5546875" style="427" bestFit="1" customWidth="1"/>
    <col min="13088" max="13088" width="11.6640625" style="427" bestFit="1" customWidth="1"/>
    <col min="13089" max="13089" width="15.5546875" style="427" bestFit="1" customWidth="1"/>
    <col min="13090" max="13312" width="9.109375" style="427"/>
    <col min="13313" max="13313" width="14.88671875" style="427" customWidth="1"/>
    <col min="13314" max="13314" width="69.44140625" style="427" bestFit="1" customWidth="1"/>
    <col min="13315" max="13315" width="31.5546875" style="427" bestFit="1" customWidth="1"/>
    <col min="13316" max="13316" width="21.88671875" style="427" customWidth="1"/>
    <col min="13317" max="13317" width="14.6640625" style="427" bestFit="1" customWidth="1"/>
    <col min="13318" max="13318" width="19" style="427" customWidth="1"/>
    <col min="13319" max="13319" width="19.33203125" style="427" customWidth="1"/>
    <col min="13320" max="13320" width="14.109375" style="427" bestFit="1" customWidth="1"/>
    <col min="13321" max="13321" width="14.33203125" style="427" bestFit="1" customWidth="1"/>
    <col min="13322" max="13322" width="12.88671875" style="427" bestFit="1" customWidth="1"/>
    <col min="13323" max="13323" width="15.5546875" style="427" bestFit="1" customWidth="1"/>
    <col min="13324" max="13324" width="15" style="427" bestFit="1" customWidth="1"/>
    <col min="13325" max="13325" width="15.5546875" style="427" bestFit="1" customWidth="1"/>
    <col min="13326" max="13326" width="11.44140625" style="427" bestFit="1" customWidth="1"/>
    <col min="13327" max="13327" width="9.109375" style="427"/>
    <col min="13328" max="13328" width="15.5546875" style="427" bestFit="1" customWidth="1"/>
    <col min="13329" max="13329" width="10.6640625" style="427" bestFit="1" customWidth="1"/>
    <col min="13330" max="13330" width="9.109375" style="427"/>
    <col min="13331" max="13331" width="20.88671875" style="427" customWidth="1"/>
    <col min="13332" max="13332" width="15.44140625" style="427" customWidth="1"/>
    <col min="13333" max="13333" width="14.6640625" style="427" bestFit="1" customWidth="1"/>
    <col min="13334" max="13334" width="18.5546875" style="427" customWidth="1"/>
    <col min="13335" max="13335" width="21.5546875" style="427" customWidth="1"/>
    <col min="13336" max="13336" width="14.109375" style="427" bestFit="1" customWidth="1"/>
    <col min="13337" max="13338" width="14.33203125" style="427" bestFit="1" customWidth="1"/>
    <col min="13339" max="13339" width="15.5546875" style="427" bestFit="1" customWidth="1"/>
    <col min="13340" max="13340" width="15" style="427" bestFit="1" customWidth="1"/>
    <col min="13341" max="13341" width="15.5546875" style="427" bestFit="1" customWidth="1"/>
    <col min="13342" max="13342" width="9.109375" style="427"/>
    <col min="13343" max="13343" width="15.5546875" style="427" bestFit="1" customWidth="1"/>
    <col min="13344" max="13344" width="11.6640625" style="427" bestFit="1" customWidth="1"/>
    <col min="13345" max="13345" width="15.5546875" style="427" bestFit="1" customWidth="1"/>
    <col min="13346" max="13568" width="9.109375" style="427"/>
    <col min="13569" max="13569" width="14.88671875" style="427" customWidth="1"/>
    <col min="13570" max="13570" width="69.44140625" style="427" bestFit="1" customWidth="1"/>
    <col min="13571" max="13571" width="31.5546875" style="427" bestFit="1" customWidth="1"/>
    <col min="13572" max="13572" width="21.88671875" style="427" customWidth="1"/>
    <col min="13573" max="13573" width="14.6640625" style="427" bestFit="1" customWidth="1"/>
    <col min="13574" max="13574" width="19" style="427" customWidth="1"/>
    <col min="13575" max="13575" width="19.33203125" style="427" customWidth="1"/>
    <col min="13576" max="13576" width="14.109375" style="427" bestFit="1" customWidth="1"/>
    <col min="13577" max="13577" width="14.33203125" style="427" bestFit="1" customWidth="1"/>
    <col min="13578" max="13578" width="12.88671875" style="427" bestFit="1" customWidth="1"/>
    <col min="13579" max="13579" width="15.5546875" style="427" bestFit="1" customWidth="1"/>
    <col min="13580" max="13580" width="15" style="427" bestFit="1" customWidth="1"/>
    <col min="13581" max="13581" width="15.5546875" style="427" bestFit="1" customWidth="1"/>
    <col min="13582" max="13582" width="11.44140625" style="427" bestFit="1" customWidth="1"/>
    <col min="13583" max="13583" width="9.109375" style="427"/>
    <col min="13584" max="13584" width="15.5546875" style="427" bestFit="1" customWidth="1"/>
    <col min="13585" max="13585" width="10.6640625" style="427" bestFit="1" customWidth="1"/>
    <col min="13586" max="13586" width="9.109375" style="427"/>
    <col min="13587" max="13587" width="20.88671875" style="427" customWidth="1"/>
    <col min="13588" max="13588" width="15.44140625" style="427" customWidth="1"/>
    <col min="13589" max="13589" width="14.6640625" style="427" bestFit="1" customWidth="1"/>
    <col min="13590" max="13590" width="18.5546875" style="427" customWidth="1"/>
    <col min="13591" max="13591" width="21.5546875" style="427" customWidth="1"/>
    <col min="13592" max="13592" width="14.109375" style="427" bestFit="1" customWidth="1"/>
    <col min="13593" max="13594" width="14.33203125" style="427" bestFit="1" customWidth="1"/>
    <col min="13595" max="13595" width="15.5546875" style="427" bestFit="1" customWidth="1"/>
    <col min="13596" max="13596" width="15" style="427" bestFit="1" customWidth="1"/>
    <col min="13597" max="13597" width="15.5546875" style="427" bestFit="1" customWidth="1"/>
    <col min="13598" max="13598" width="9.109375" style="427"/>
    <col min="13599" max="13599" width="15.5546875" style="427" bestFit="1" customWidth="1"/>
    <col min="13600" max="13600" width="11.6640625" style="427" bestFit="1" customWidth="1"/>
    <col min="13601" max="13601" width="15.5546875" style="427" bestFit="1" customWidth="1"/>
    <col min="13602" max="13824" width="9.109375" style="427"/>
    <col min="13825" max="13825" width="14.88671875" style="427" customWidth="1"/>
    <col min="13826" max="13826" width="69.44140625" style="427" bestFit="1" customWidth="1"/>
    <col min="13827" max="13827" width="31.5546875" style="427" bestFit="1" customWidth="1"/>
    <col min="13828" max="13828" width="21.88671875" style="427" customWidth="1"/>
    <col min="13829" max="13829" width="14.6640625" style="427" bestFit="1" customWidth="1"/>
    <col min="13830" max="13830" width="19" style="427" customWidth="1"/>
    <col min="13831" max="13831" width="19.33203125" style="427" customWidth="1"/>
    <col min="13832" max="13832" width="14.109375" style="427" bestFit="1" customWidth="1"/>
    <col min="13833" max="13833" width="14.33203125" style="427" bestFit="1" customWidth="1"/>
    <col min="13834" max="13834" width="12.88671875" style="427" bestFit="1" customWidth="1"/>
    <col min="13835" max="13835" width="15.5546875" style="427" bestFit="1" customWidth="1"/>
    <col min="13836" max="13836" width="15" style="427" bestFit="1" customWidth="1"/>
    <col min="13837" max="13837" width="15.5546875" style="427" bestFit="1" customWidth="1"/>
    <col min="13838" max="13838" width="11.44140625" style="427" bestFit="1" customWidth="1"/>
    <col min="13839" max="13839" width="9.109375" style="427"/>
    <col min="13840" max="13840" width="15.5546875" style="427" bestFit="1" customWidth="1"/>
    <col min="13841" max="13841" width="10.6640625" style="427" bestFit="1" customWidth="1"/>
    <col min="13842" max="13842" width="9.109375" style="427"/>
    <col min="13843" max="13843" width="20.88671875" style="427" customWidth="1"/>
    <col min="13844" max="13844" width="15.44140625" style="427" customWidth="1"/>
    <col min="13845" max="13845" width="14.6640625" style="427" bestFit="1" customWidth="1"/>
    <col min="13846" max="13846" width="18.5546875" style="427" customWidth="1"/>
    <col min="13847" max="13847" width="21.5546875" style="427" customWidth="1"/>
    <col min="13848" max="13848" width="14.109375" style="427" bestFit="1" customWidth="1"/>
    <col min="13849" max="13850" width="14.33203125" style="427" bestFit="1" customWidth="1"/>
    <col min="13851" max="13851" width="15.5546875" style="427" bestFit="1" customWidth="1"/>
    <col min="13852" max="13852" width="15" style="427" bestFit="1" customWidth="1"/>
    <col min="13853" max="13853" width="15.5546875" style="427" bestFit="1" customWidth="1"/>
    <col min="13854" max="13854" width="9.109375" style="427"/>
    <col min="13855" max="13855" width="15.5546875" style="427" bestFit="1" customWidth="1"/>
    <col min="13856" max="13856" width="11.6640625" style="427" bestFit="1" customWidth="1"/>
    <col min="13857" max="13857" width="15.5546875" style="427" bestFit="1" customWidth="1"/>
    <col min="13858" max="14080" width="9.109375" style="427"/>
    <col min="14081" max="14081" width="14.88671875" style="427" customWidth="1"/>
    <col min="14082" max="14082" width="69.44140625" style="427" bestFit="1" customWidth="1"/>
    <col min="14083" max="14083" width="31.5546875" style="427" bestFit="1" customWidth="1"/>
    <col min="14084" max="14084" width="21.88671875" style="427" customWidth="1"/>
    <col min="14085" max="14085" width="14.6640625" style="427" bestFit="1" customWidth="1"/>
    <col min="14086" max="14086" width="19" style="427" customWidth="1"/>
    <col min="14087" max="14087" width="19.33203125" style="427" customWidth="1"/>
    <col min="14088" max="14088" width="14.109375" style="427" bestFit="1" customWidth="1"/>
    <col min="14089" max="14089" width="14.33203125" style="427" bestFit="1" customWidth="1"/>
    <col min="14090" max="14090" width="12.88671875" style="427" bestFit="1" customWidth="1"/>
    <col min="14091" max="14091" width="15.5546875" style="427" bestFit="1" customWidth="1"/>
    <col min="14092" max="14092" width="15" style="427" bestFit="1" customWidth="1"/>
    <col min="14093" max="14093" width="15.5546875" style="427" bestFit="1" customWidth="1"/>
    <col min="14094" max="14094" width="11.44140625" style="427" bestFit="1" customWidth="1"/>
    <col min="14095" max="14095" width="9.109375" style="427"/>
    <col min="14096" max="14096" width="15.5546875" style="427" bestFit="1" customWidth="1"/>
    <col min="14097" max="14097" width="10.6640625" style="427" bestFit="1" customWidth="1"/>
    <col min="14098" max="14098" width="9.109375" style="427"/>
    <col min="14099" max="14099" width="20.88671875" style="427" customWidth="1"/>
    <col min="14100" max="14100" width="15.44140625" style="427" customWidth="1"/>
    <col min="14101" max="14101" width="14.6640625" style="427" bestFit="1" customWidth="1"/>
    <col min="14102" max="14102" width="18.5546875" style="427" customWidth="1"/>
    <col min="14103" max="14103" width="21.5546875" style="427" customWidth="1"/>
    <col min="14104" max="14104" width="14.109375" style="427" bestFit="1" customWidth="1"/>
    <col min="14105" max="14106" width="14.33203125" style="427" bestFit="1" customWidth="1"/>
    <col min="14107" max="14107" width="15.5546875" style="427" bestFit="1" customWidth="1"/>
    <col min="14108" max="14108" width="15" style="427" bestFit="1" customWidth="1"/>
    <col min="14109" max="14109" width="15.5546875" style="427" bestFit="1" customWidth="1"/>
    <col min="14110" max="14110" width="9.109375" style="427"/>
    <col min="14111" max="14111" width="15.5546875" style="427" bestFit="1" customWidth="1"/>
    <col min="14112" max="14112" width="11.6640625" style="427" bestFit="1" customWidth="1"/>
    <col min="14113" max="14113" width="15.5546875" style="427" bestFit="1" customWidth="1"/>
    <col min="14114" max="14336" width="9.109375" style="427"/>
    <col min="14337" max="14337" width="14.88671875" style="427" customWidth="1"/>
    <col min="14338" max="14338" width="69.44140625" style="427" bestFit="1" customWidth="1"/>
    <col min="14339" max="14339" width="31.5546875" style="427" bestFit="1" customWidth="1"/>
    <col min="14340" max="14340" width="21.88671875" style="427" customWidth="1"/>
    <col min="14341" max="14341" width="14.6640625" style="427" bestFit="1" customWidth="1"/>
    <col min="14342" max="14342" width="19" style="427" customWidth="1"/>
    <col min="14343" max="14343" width="19.33203125" style="427" customWidth="1"/>
    <col min="14344" max="14344" width="14.109375" style="427" bestFit="1" customWidth="1"/>
    <col min="14345" max="14345" width="14.33203125" style="427" bestFit="1" customWidth="1"/>
    <col min="14346" max="14346" width="12.88671875" style="427" bestFit="1" customWidth="1"/>
    <col min="14347" max="14347" width="15.5546875" style="427" bestFit="1" customWidth="1"/>
    <col min="14348" max="14348" width="15" style="427" bestFit="1" customWidth="1"/>
    <col min="14349" max="14349" width="15.5546875" style="427" bestFit="1" customWidth="1"/>
    <col min="14350" max="14350" width="11.44140625" style="427" bestFit="1" customWidth="1"/>
    <col min="14351" max="14351" width="9.109375" style="427"/>
    <col min="14352" max="14352" width="15.5546875" style="427" bestFit="1" customWidth="1"/>
    <col min="14353" max="14353" width="10.6640625" style="427" bestFit="1" customWidth="1"/>
    <col min="14354" max="14354" width="9.109375" style="427"/>
    <col min="14355" max="14355" width="20.88671875" style="427" customWidth="1"/>
    <col min="14356" max="14356" width="15.44140625" style="427" customWidth="1"/>
    <col min="14357" max="14357" width="14.6640625" style="427" bestFit="1" customWidth="1"/>
    <col min="14358" max="14358" width="18.5546875" style="427" customWidth="1"/>
    <col min="14359" max="14359" width="21.5546875" style="427" customWidth="1"/>
    <col min="14360" max="14360" width="14.109375" style="427" bestFit="1" customWidth="1"/>
    <col min="14361" max="14362" width="14.33203125" style="427" bestFit="1" customWidth="1"/>
    <col min="14363" max="14363" width="15.5546875" style="427" bestFit="1" customWidth="1"/>
    <col min="14364" max="14364" width="15" style="427" bestFit="1" customWidth="1"/>
    <col min="14365" max="14365" width="15.5546875" style="427" bestFit="1" customWidth="1"/>
    <col min="14366" max="14366" width="9.109375" style="427"/>
    <col min="14367" max="14367" width="15.5546875" style="427" bestFit="1" customWidth="1"/>
    <col min="14368" max="14368" width="11.6640625" style="427" bestFit="1" customWidth="1"/>
    <col min="14369" max="14369" width="15.5546875" style="427" bestFit="1" customWidth="1"/>
    <col min="14370" max="14592" width="9.109375" style="427"/>
    <col min="14593" max="14593" width="14.88671875" style="427" customWidth="1"/>
    <col min="14594" max="14594" width="69.44140625" style="427" bestFit="1" customWidth="1"/>
    <col min="14595" max="14595" width="31.5546875" style="427" bestFit="1" customWidth="1"/>
    <col min="14596" max="14596" width="21.88671875" style="427" customWidth="1"/>
    <col min="14597" max="14597" width="14.6640625" style="427" bestFit="1" customWidth="1"/>
    <col min="14598" max="14598" width="19" style="427" customWidth="1"/>
    <col min="14599" max="14599" width="19.33203125" style="427" customWidth="1"/>
    <col min="14600" max="14600" width="14.109375" style="427" bestFit="1" customWidth="1"/>
    <col min="14601" max="14601" width="14.33203125" style="427" bestFit="1" customWidth="1"/>
    <col min="14602" max="14602" width="12.88671875" style="427" bestFit="1" customWidth="1"/>
    <col min="14603" max="14603" width="15.5546875" style="427" bestFit="1" customWidth="1"/>
    <col min="14604" max="14604" width="15" style="427" bestFit="1" customWidth="1"/>
    <col min="14605" max="14605" width="15.5546875" style="427" bestFit="1" customWidth="1"/>
    <col min="14606" max="14606" width="11.44140625" style="427" bestFit="1" customWidth="1"/>
    <col min="14607" max="14607" width="9.109375" style="427"/>
    <col min="14608" max="14608" width="15.5546875" style="427" bestFit="1" customWidth="1"/>
    <col min="14609" max="14609" width="10.6640625" style="427" bestFit="1" customWidth="1"/>
    <col min="14610" max="14610" width="9.109375" style="427"/>
    <col min="14611" max="14611" width="20.88671875" style="427" customWidth="1"/>
    <col min="14612" max="14612" width="15.44140625" style="427" customWidth="1"/>
    <col min="14613" max="14613" width="14.6640625" style="427" bestFit="1" customWidth="1"/>
    <col min="14614" max="14614" width="18.5546875" style="427" customWidth="1"/>
    <col min="14615" max="14615" width="21.5546875" style="427" customWidth="1"/>
    <col min="14616" max="14616" width="14.109375" style="427" bestFit="1" customWidth="1"/>
    <col min="14617" max="14618" width="14.33203125" style="427" bestFit="1" customWidth="1"/>
    <col min="14619" max="14619" width="15.5546875" style="427" bestFit="1" customWidth="1"/>
    <col min="14620" max="14620" width="15" style="427" bestFit="1" customWidth="1"/>
    <col min="14621" max="14621" width="15.5546875" style="427" bestFit="1" customWidth="1"/>
    <col min="14622" max="14622" width="9.109375" style="427"/>
    <col min="14623" max="14623" width="15.5546875" style="427" bestFit="1" customWidth="1"/>
    <col min="14624" max="14624" width="11.6640625" style="427" bestFit="1" customWidth="1"/>
    <col min="14625" max="14625" width="15.5546875" style="427" bestFit="1" customWidth="1"/>
    <col min="14626" max="14848" width="9.109375" style="427"/>
    <col min="14849" max="14849" width="14.88671875" style="427" customWidth="1"/>
    <col min="14850" max="14850" width="69.44140625" style="427" bestFit="1" customWidth="1"/>
    <col min="14851" max="14851" width="31.5546875" style="427" bestFit="1" customWidth="1"/>
    <col min="14852" max="14852" width="21.88671875" style="427" customWidth="1"/>
    <col min="14853" max="14853" width="14.6640625" style="427" bestFit="1" customWidth="1"/>
    <col min="14854" max="14854" width="19" style="427" customWidth="1"/>
    <col min="14855" max="14855" width="19.33203125" style="427" customWidth="1"/>
    <col min="14856" max="14856" width="14.109375" style="427" bestFit="1" customWidth="1"/>
    <col min="14857" max="14857" width="14.33203125" style="427" bestFit="1" customWidth="1"/>
    <col min="14858" max="14858" width="12.88671875" style="427" bestFit="1" customWidth="1"/>
    <col min="14859" max="14859" width="15.5546875" style="427" bestFit="1" customWidth="1"/>
    <col min="14860" max="14860" width="15" style="427" bestFit="1" customWidth="1"/>
    <col min="14861" max="14861" width="15.5546875" style="427" bestFit="1" customWidth="1"/>
    <col min="14862" max="14862" width="11.44140625" style="427" bestFit="1" customWidth="1"/>
    <col min="14863" max="14863" width="9.109375" style="427"/>
    <col min="14864" max="14864" width="15.5546875" style="427" bestFit="1" customWidth="1"/>
    <col min="14865" max="14865" width="10.6640625" style="427" bestFit="1" customWidth="1"/>
    <col min="14866" max="14866" width="9.109375" style="427"/>
    <col min="14867" max="14867" width="20.88671875" style="427" customWidth="1"/>
    <col min="14868" max="14868" width="15.44140625" style="427" customWidth="1"/>
    <col min="14869" max="14869" width="14.6640625" style="427" bestFit="1" customWidth="1"/>
    <col min="14870" max="14870" width="18.5546875" style="427" customWidth="1"/>
    <col min="14871" max="14871" width="21.5546875" style="427" customWidth="1"/>
    <col min="14872" max="14872" width="14.109375" style="427" bestFit="1" customWidth="1"/>
    <col min="14873" max="14874" width="14.33203125" style="427" bestFit="1" customWidth="1"/>
    <col min="14875" max="14875" width="15.5546875" style="427" bestFit="1" customWidth="1"/>
    <col min="14876" max="14876" width="15" style="427" bestFit="1" customWidth="1"/>
    <col min="14877" max="14877" width="15.5546875" style="427" bestFit="1" customWidth="1"/>
    <col min="14878" max="14878" width="9.109375" style="427"/>
    <col min="14879" max="14879" width="15.5546875" style="427" bestFit="1" customWidth="1"/>
    <col min="14880" max="14880" width="11.6640625" style="427" bestFit="1" customWidth="1"/>
    <col min="14881" max="14881" width="15.5546875" style="427" bestFit="1" customWidth="1"/>
    <col min="14882" max="15104" width="9.109375" style="427"/>
    <col min="15105" max="15105" width="14.88671875" style="427" customWidth="1"/>
    <col min="15106" max="15106" width="69.44140625" style="427" bestFit="1" customWidth="1"/>
    <col min="15107" max="15107" width="31.5546875" style="427" bestFit="1" customWidth="1"/>
    <col min="15108" max="15108" width="21.88671875" style="427" customWidth="1"/>
    <col min="15109" max="15109" width="14.6640625" style="427" bestFit="1" customWidth="1"/>
    <col min="15110" max="15110" width="19" style="427" customWidth="1"/>
    <col min="15111" max="15111" width="19.33203125" style="427" customWidth="1"/>
    <col min="15112" max="15112" width="14.109375" style="427" bestFit="1" customWidth="1"/>
    <col min="15113" max="15113" width="14.33203125" style="427" bestFit="1" customWidth="1"/>
    <col min="15114" max="15114" width="12.88671875" style="427" bestFit="1" customWidth="1"/>
    <col min="15115" max="15115" width="15.5546875" style="427" bestFit="1" customWidth="1"/>
    <col min="15116" max="15116" width="15" style="427" bestFit="1" customWidth="1"/>
    <col min="15117" max="15117" width="15.5546875" style="427" bestFit="1" customWidth="1"/>
    <col min="15118" max="15118" width="11.44140625" style="427" bestFit="1" customWidth="1"/>
    <col min="15119" max="15119" width="9.109375" style="427"/>
    <col min="15120" max="15120" width="15.5546875" style="427" bestFit="1" customWidth="1"/>
    <col min="15121" max="15121" width="10.6640625" style="427" bestFit="1" customWidth="1"/>
    <col min="15122" max="15122" width="9.109375" style="427"/>
    <col min="15123" max="15123" width="20.88671875" style="427" customWidth="1"/>
    <col min="15124" max="15124" width="15.44140625" style="427" customWidth="1"/>
    <col min="15125" max="15125" width="14.6640625" style="427" bestFit="1" customWidth="1"/>
    <col min="15126" max="15126" width="18.5546875" style="427" customWidth="1"/>
    <col min="15127" max="15127" width="21.5546875" style="427" customWidth="1"/>
    <col min="15128" max="15128" width="14.109375" style="427" bestFit="1" customWidth="1"/>
    <col min="15129" max="15130" width="14.33203125" style="427" bestFit="1" customWidth="1"/>
    <col min="15131" max="15131" width="15.5546875" style="427" bestFit="1" customWidth="1"/>
    <col min="15132" max="15132" width="15" style="427" bestFit="1" customWidth="1"/>
    <col min="15133" max="15133" width="15.5546875" style="427" bestFit="1" customWidth="1"/>
    <col min="15134" max="15134" width="9.109375" style="427"/>
    <col min="15135" max="15135" width="15.5546875" style="427" bestFit="1" customWidth="1"/>
    <col min="15136" max="15136" width="11.6640625" style="427" bestFit="1" customWidth="1"/>
    <col min="15137" max="15137" width="15.5546875" style="427" bestFit="1" customWidth="1"/>
    <col min="15138" max="15360" width="9.109375" style="427"/>
    <col min="15361" max="15361" width="14.88671875" style="427" customWidth="1"/>
    <col min="15362" max="15362" width="69.44140625" style="427" bestFit="1" customWidth="1"/>
    <col min="15363" max="15363" width="31.5546875" style="427" bestFit="1" customWidth="1"/>
    <col min="15364" max="15364" width="21.88671875" style="427" customWidth="1"/>
    <col min="15365" max="15365" width="14.6640625" style="427" bestFit="1" customWidth="1"/>
    <col min="15366" max="15366" width="19" style="427" customWidth="1"/>
    <col min="15367" max="15367" width="19.33203125" style="427" customWidth="1"/>
    <col min="15368" max="15368" width="14.109375" style="427" bestFit="1" customWidth="1"/>
    <col min="15369" max="15369" width="14.33203125" style="427" bestFit="1" customWidth="1"/>
    <col min="15370" max="15370" width="12.88671875" style="427" bestFit="1" customWidth="1"/>
    <col min="15371" max="15371" width="15.5546875" style="427" bestFit="1" customWidth="1"/>
    <col min="15372" max="15372" width="15" style="427" bestFit="1" customWidth="1"/>
    <col min="15373" max="15373" width="15.5546875" style="427" bestFit="1" customWidth="1"/>
    <col min="15374" max="15374" width="11.44140625" style="427" bestFit="1" customWidth="1"/>
    <col min="15375" max="15375" width="9.109375" style="427"/>
    <col min="15376" max="15376" width="15.5546875" style="427" bestFit="1" customWidth="1"/>
    <col min="15377" max="15377" width="10.6640625" style="427" bestFit="1" customWidth="1"/>
    <col min="15378" max="15378" width="9.109375" style="427"/>
    <col min="15379" max="15379" width="20.88671875" style="427" customWidth="1"/>
    <col min="15380" max="15380" width="15.44140625" style="427" customWidth="1"/>
    <col min="15381" max="15381" width="14.6640625" style="427" bestFit="1" customWidth="1"/>
    <col min="15382" max="15382" width="18.5546875" style="427" customWidth="1"/>
    <col min="15383" max="15383" width="21.5546875" style="427" customWidth="1"/>
    <col min="15384" max="15384" width="14.109375" style="427" bestFit="1" customWidth="1"/>
    <col min="15385" max="15386" width="14.33203125" style="427" bestFit="1" customWidth="1"/>
    <col min="15387" max="15387" width="15.5546875" style="427" bestFit="1" customWidth="1"/>
    <col min="15388" max="15388" width="15" style="427" bestFit="1" customWidth="1"/>
    <col min="15389" max="15389" width="15.5546875" style="427" bestFit="1" customWidth="1"/>
    <col min="15390" max="15390" width="9.109375" style="427"/>
    <col min="15391" max="15391" width="15.5546875" style="427" bestFit="1" customWidth="1"/>
    <col min="15392" max="15392" width="11.6640625" style="427" bestFit="1" customWidth="1"/>
    <col min="15393" max="15393" width="15.5546875" style="427" bestFit="1" customWidth="1"/>
    <col min="15394" max="15616" width="9.109375" style="427"/>
    <col min="15617" max="15617" width="14.88671875" style="427" customWidth="1"/>
    <col min="15618" max="15618" width="69.44140625" style="427" bestFit="1" customWidth="1"/>
    <col min="15619" max="15619" width="31.5546875" style="427" bestFit="1" customWidth="1"/>
    <col min="15620" max="15620" width="21.88671875" style="427" customWidth="1"/>
    <col min="15621" max="15621" width="14.6640625" style="427" bestFit="1" customWidth="1"/>
    <col min="15622" max="15622" width="19" style="427" customWidth="1"/>
    <col min="15623" max="15623" width="19.33203125" style="427" customWidth="1"/>
    <col min="15624" max="15624" width="14.109375" style="427" bestFit="1" customWidth="1"/>
    <col min="15625" max="15625" width="14.33203125" style="427" bestFit="1" customWidth="1"/>
    <col min="15626" max="15626" width="12.88671875" style="427" bestFit="1" customWidth="1"/>
    <col min="15627" max="15627" width="15.5546875" style="427" bestFit="1" customWidth="1"/>
    <col min="15628" max="15628" width="15" style="427" bestFit="1" customWidth="1"/>
    <col min="15629" max="15629" width="15.5546875" style="427" bestFit="1" customWidth="1"/>
    <col min="15630" max="15630" width="11.44140625" style="427" bestFit="1" customWidth="1"/>
    <col min="15631" max="15631" width="9.109375" style="427"/>
    <col min="15632" max="15632" width="15.5546875" style="427" bestFit="1" customWidth="1"/>
    <col min="15633" max="15633" width="10.6640625" style="427" bestFit="1" customWidth="1"/>
    <col min="15634" max="15634" width="9.109375" style="427"/>
    <col min="15635" max="15635" width="20.88671875" style="427" customWidth="1"/>
    <col min="15636" max="15636" width="15.44140625" style="427" customWidth="1"/>
    <col min="15637" max="15637" width="14.6640625" style="427" bestFit="1" customWidth="1"/>
    <col min="15638" max="15638" width="18.5546875" style="427" customWidth="1"/>
    <col min="15639" max="15639" width="21.5546875" style="427" customWidth="1"/>
    <col min="15640" max="15640" width="14.109375" style="427" bestFit="1" customWidth="1"/>
    <col min="15641" max="15642" width="14.33203125" style="427" bestFit="1" customWidth="1"/>
    <col min="15643" max="15643" width="15.5546875" style="427" bestFit="1" customWidth="1"/>
    <col min="15644" max="15644" width="15" style="427" bestFit="1" customWidth="1"/>
    <col min="15645" max="15645" width="15.5546875" style="427" bestFit="1" customWidth="1"/>
    <col min="15646" max="15646" width="9.109375" style="427"/>
    <col min="15647" max="15647" width="15.5546875" style="427" bestFit="1" customWidth="1"/>
    <col min="15648" max="15648" width="11.6640625" style="427" bestFit="1" customWidth="1"/>
    <col min="15649" max="15649" width="15.5546875" style="427" bestFit="1" customWidth="1"/>
    <col min="15650" max="15872" width="9.109375" style="427"/>
    <col min="15873" max="15873" width="14.88671875" style="427" customWidth="1"/>
    <col min="15874" max="15874" width="69.44140625" style="427" bestFit="1" customWidth="1"/>
    <col min="15875" max="15875" width="31.5546875" style="427" bestFit="1" customWidth="1"/>
    <col min="15876" max="15876" width="21.88671875" style="427" customWidth="1"/>
    <col min="15877" max="15877" width="14.6640625" style="427" bestFit="1" customWidth="1"/>
    <col min="15878" max="15878" width="19" style="427" customWidth="1"/>
    <col min="15879" max="15879" width="19.33203125" style="427" customWidth="1"/>
    <col min="15880" max="15880" width="14.109375" style="427" bestFit="1" customWidth="1"/>
    <col min="15881" max="15881" width="14.33203125" style="427" bestFit="1" customWidth="1"/>
    <col min="15882" max="15882" width="12.88671875" style="427" bestFit="1" customWidth="1"/>
    <col min="15883" max="15883" width="15.5546875" style="427" bestFit="1" customWidth="1"/>
    <col min="15884" max="15884" width="15" style="427" bestFit="1" customWidth="1"/>
    <col min="15885" max="15885" width="15.5546875" style="427" bestFit="1" customWidth="1"/>
    <col min="15886" max="15886" width="11.44140625" style="427" bestFit="1" customWidth="1"/>
    <col min="15887" max="15887" width="9.109375" style="427"/>
    <col min="15888" max="15888" width="15.5546875" style="427" bestFit="1" customWidth="1"/>
    <col min="15889" max="15889" width="10.6640625" style="427" bestFit="1" customWidth="1"/>
    <col min="15890" max="15890" width="9.109375" style="427"/>
    <col min="15891" max="15891" width="20.88671875" style="427" customWidth="1"/>
    <col min="15892" max="15892" width="15.44140625" style="427" customWidth="1"/>
    <col min="15893" max="15893" width="14.6640625" style="427" bestFit="1" customWidth="1"/>
    <col min="15894" max="15894" width="18.5546875" style="427" customWidth="1"/>
    <col min="15895" max="15895" width="21.5546875" style="427" customWidth="1"/>
    <col min="15896" max="15896" width="14.109375" style="427" bestFit="1" customWidth="1"/>
    <col min="15897" max="15898" width="14.33203125" style="427" bestFit="1" customWidth="1"/>
    <col min="15899" max="15899" width="15.5546875" style="427" bestFit="1" customWidth="1"/>
    <col min="15900" max="15900" width="15" style="427" bestFit="1" customWidth="1"/>
    <col min="15901" max="15901" width="15.5546875" style="427" bestFit="1" customWidth="1"/>
    <col min="15902" max="15902" width="9.109375" style="427"/>
    <col min="15903" max="15903" width="15.5546875" style="427" bestFit="1" customWidth="1"/>
    <col min="15904" max="15904" width="11.6640625" style="427" bestFit="1" customWidth="1"/>
    <col min="15905" max="15905" width="15.5546875" style="427" bestFit="1" customWidth="1"/>
    <col min="15906" max="16128" width="9.109375" style="427"/>
    <col min="16129" max="16129" width="14.88671875" style="427" customWidth="1"/>
    <col min="16130" max="16130" width="69.44140625" style="427" bestFit="1" customWidth="1"/>
    <col min="16131" max="16131" width="31.5546875" style="427" bestFit="1" customWidth="1"/>
    <col min="16132" max="16132" width="21.88671875" style="427" customWidth="1"/>
    <col min="16133" max="16133" width="14.6640625" style="427" bestFit="1" customWidth="1"/>
    <col min="16134" max="16134" width="19" style="427" customWidth="1"/>
    <col min="16135" max="16135" width="19.33203125" style="427" customWidth="1"/>
    <col min="16136" max="16136" width="14.109375" style="427" bestFit="1" customWidth="1"/>
    <col min="16137" max="16137" width="14.33203125" style="427" bestFit="1" customWidth="1"/>
    <col min="16138" max="16138" width="12.88671875" style="427" bestFit="1" customWidth="1"/>
    <col min="16139" max="16139" width="15.5546875" style="427" bestFit="1" customWidth="1"/>
    <col min="16140" max="16140" width="15" style="427" bestFit="1" customWidth="1"/>
    <col min="16141" max="16141" width="15.5546875" style="427" bestFit="1" customWidth="1"/>
    <col min="16142" max="16142" width="11.44140625" style="427" bestFit="1" customWidth="1"/>
    <col min="16143" max="16143" width="9.109375" style="427"/>
    <col min="16144" max="16144" width="15.5546875" style="427" bestFit="1" customWidth="1"/>
    <col min="16145" max="16145" width="10.6640625" style="427" bestFit="1" customWidth="1"/>
    <col min="16146" max="16146" width="9.109375" style="427"/>
    <col min="16147" max="16147" width="20.88671875" style="427" customWidth="1"/>
    <col min="16148" max="16148" width="15.44140625" style="427" customWidth="1"/>
    <col min="16149" max="16149" width="14.6640625" style="427" bestFit="1" customWidth="1"/>
    <col min="16150" max="16150" width="18.5546875" style="427" customWidth="1"/>
    <col min="16151" max="16151" width="21.5546875" style="427" customWidth="1"/>
    <col min="16152" max="16152" width="14.109375" style="427" bestFit="1" customWidth="1"/>
    <col min="16153" max="16154" width="14.33203125" style="427" bestFit="1" customWidth="1"/>
    <col min="16155" max="16155" width="15.5546875" style="427" bestFit="1" customWidth="1"/>
    <col min="16156" max="16156" width="15" style="427" bestFit="1" customWidth="1"/>
    <col min="16157" max="16157" width="15.5546875" style="427" bestFit="1" customWidth="1"/>
    <col min="16158" max="16158" width="9.109375" style="427"/>
    <col min="16159" max="16159" width="15.5546875" style="427" bestFit="1" customWidth="1"/>
    <col min="16160" max="16160" width="11.6640625" style="427" bestFit="1" customWidth="1"/>
    <col min="16161" max="16161" width="15.5546875" style="427" bestFit="1" customWidth="1"/>
    <col min="16162" max="16384" width="9.109375" style="427"/>
  </cols>
  <sheetData>
    <row r="1" spans="1:34" ht="15" hidden="1" outlineLevel="1">
      <c r="A1" s="688"/>
      <c r="B1" s="688"/>
      <c r="C1" s="688"/>
      <c r="D1" s="688"/>
      <c r="E1" s="696"/>
      <c r="F1" s="688"/>
      <c r="G1" s="688"/>
      <c r="H1" s="688"/>
      <c r="I1" s="688"/>
      <c r="J1" s="688"/>
      <c r="K1" s="688"/>
      <c r="L1" s="688"/>
      <c r="M1" s="688"/>
      <c r="N1" s="688"/>
      <c r="O1" s="688"/>
      <c r="P1" s="688"/>
      <c r="Q1" s="688"/>
      <c r="R1" s="688"/>
      <c r="S1" s="688"/>
      <c r="T1" s="688"/>
      <c r="U1" s="696"/>
      <c r="V1" s="688"/>
      <c r="W1" s="688"/>
      <c r="X1" s="688"/>
      <c r="Y1" s="688"/>
      <c r="Z1" s="688"/>
      <c r="AA1" s="688"/>
      <c r="AB1" s="688"/>
      <c r="AC1" s="688"/>
      <c r="AD1" s="688"/>
      <c r="AE1" s="688"/>
      <c r="AF1" s="688"/>
      <c r="AG1" s="688"/>
      <c r="AH1" s="486"/>
    </row>
    <row r="2" spans="1:34" ht="15.6" hidden="1" outlineLevel="1">
      <c r="A2" s="627"/>
      <c r="B2" s="629" t="s">
        <v>397</v>
      </c>
      <c r="C2" s="629"/>
      <c r="D2" s="629"/>
      <c r="E2" s="629"/>
      <c r="F2" s="630" t="s">
        <v>396</v>
      </c>
      <c r="G2" s="621"/>
      <c r="H2" s="621"/>
      <c r="I2" s="621"/>
      <c r="J2" s="621"/>
      <c r="K2" s="487"/>
      <c r="L2" s="623"/>
      <c r="M2" s="621"/>
      <c r="N2" s="621"/>
      <c r="O2" s="624"/>
      <c r="P2" s="625"/>
      <c r="Q2" s="624"/>
      <c r="R2" s="626"/>
      <c r="S2" s="621"/>
      <c r="T2" s="621"/>
      <c r="U2" s="622"/>
      <c r="V2" s="630" t="s">
        <v>396</v>
      </c>
      <c r="W2" s="621"/>
      <c r="X2" s="621"/>
      <c r="Y2" s="621"/>
      <c r="Z2" s="621"/>
      <c r="AA2" s="487"/>
      <c r="AB2" s="623"/>
      <c r="AC2" s="621"/>
      <c r="AD2" s="624"/>
      <c r="AE2" s="625"/>
      <c r="AF2" s="625"/>
      <c r="AG2" s="625"/>
      <c r="AH2" s="620"/>
    </row>
    <row r="3" spans="1:34" ht="15.6" hidden="1" outlineLevel="1">
      <c r="A3" s="627"/>
      <c r="B3" s="629"/>
      <c r="C3" s="629"/>
      <c r="D3" s="631" t="s">
        <v>67</v>
      </c>
      <c r="E3" s="631"/>
      <c r="F3" s="632" t="s">
        <v>674</v>
      </c>
      <c r="G3" s="621"/>
      <c r="H3" s="621"/>
      <c r="I3" s="621"/>
      <c r="J3" s="621"/>
      <c r="K3" s="487"/>
      <c r="L3" s="623"/>
      <c r="M3" s="621"/>
      <c r="N3" s="621"/>
      <c r="O3" s="624"/>
      <c r="P3" s="625"/>
      <c r="Q3" s="624"/>
      <c r="R3" s="626"/>
      <c r="S3" s="621"/>
      <c r="T3" s="621"/>
      <c r="U3" s="622"/>
      <c r="V3" s="633" t="s">
        <v>674</v>
      </c>
      <c r="W3" s="621"/>
      <c r="X3" s="621"/>
      <c r="Y3" s="621"/>
      <c r="Z3" s="621"/>
      <c r="AA3" s="487"/>
      <c r="AB3" s="623"/>
      <c r="AC3" s="621"/>
      <c r="AD3" s="624"/>
      <c r="AE3" s="625"/>
      <c r="AF3" s="625"/>
      <c r="AG3" s="625"/>
      <c r="AH3" s="620"/>
    </row>
    <row r="4" spans="1:34" ht="15.6" hidden="1" outlineLevel="1">
      <c r="A4" s="627"/>
      <c r="B4" s="628"/>
      <c r="C4" s="621"/>
      <c r="D4" s="621"/>
      <c r="E4" s="622"/>
      <c r="F4" s="621"/>
      <c r="G4" s="621"/>
      <c r="H4" s="621"/>
      <c r="I4" s="621"/>
      <c r="J4" s="621"/>
      <c r="K4" s="487"/>
      <c r="L4" s="623"/>
      <c r="M4" s="621"/>
      <c r="N4" s="621"/>
      <c r="O4" s="624"/>
      <c r="P4" s="625"/>
      <c r="Q4" s="624"/>
      <c r="R4" s="626"/>
      <c r="S4" s="621"/>
      <c r="T4" s="621"/>
      <c r="U4" s="622"/>
      <c r="V4" s="621"/>
      <c r="W4" s="621"/>
      <c r="X4" s="621"/>
      <c r="Y4" s="621"/>
      <c r="Z4" s="621"/>
      <c r="AA4" s="487"/>
      <c r="AB4" s="623"/>
      <c r="AC4" s="621"/>
      <c r="AD4" s="624"/>
      <c r="AE4" s="625"/>
      <c r="AF4" s="625"/>
      <c r="AG4" s="625"/>
      <c r="AH4" s="620"/>
    </row>
    <row r="5" spans="1:34" ht="15.6" hidden="1" outlineLevel="1">
      <c r="A5" s="627"/>
      <c r="B5" s="634" t="s">
        <v>245</v>
      </c>
      <c r="C5" s="621"/>
      <c r="D5" s="634" t="s">
        <v>244</v>
      </c>
      <c r="E5" s="622"/>
      <c r="F5" s="634" t="s">
        <v>243</v>
      </c>
      <c r="G5" s="621"/>
      <c r="H5" s="621"/>
      <c r="I5" s="621"/>
      <c r="J5" s="621"/>
      <c r="K5" s="487"/>
      <c r="L5" s="635" t="s">
        <v>242</v>
      </c>
      <c r="M5" s="621"/>
      <c r="N5" s="621"/>
      <c r="O5" s="624"/>
      <c r="P5" s="625"/>
      <c r="Q5" s="624"/>
      <c r="R5" s="626"/>
      <c r="S5" s="621"/>
      <c r="T5" s="634" t="s">
        <v>244</v>
      </c>
      <c r="U5" s="622"/>
      <c r="V5" s="634" t="s">
        <v>243</v>
      </c>
      <c r="W5" s="621"/>
      <c r="X5" s="621"/>
      <c r="Y5" s="621"/>
      <c r="Z5" s="621"/>
      <c r="AA5" s="487"/>
      <c r="AB5" s="635" t="s">
        <v>242</v>
      </c>
      <c r="AC5" s="621"/>
      <c r="AD5" s="624"/>
      <c r="AE5" s="625"/>
      <c r="AF5" s="625"/>
      <c r="AG5" s="625"/>
      <c r="AH5" s="620"/>
    </row>
    <row r="6" spans="1:34" ht="15.6" hidden="1" outlineLevel="1">
      <c r="A6" s="627"/>
      <c r="B6" s="628"/>
      <c r="C6" s="621"/>
      <c r="D6" s="636" t="s">
        <v>675</v>
      </c>
      <c r="E6" s="622"/>
      <c r="F6" s="637"/>
      <c r="G6" s="621"/>
      <c r="H6" s="621"/>
      <c r="I6" s="621"/>
      <c r="J6" s="621"/>
      <c r="K6" s="487"/>
      <c r="L6" s="484"/>
      <c r="M6" s="621"/>
      <c r="N6" s="621"/>
      <c r="O6" s="624"/>
      <c r="P6" s="625"/>
      <c r="Q6" s="624"/>
      <c r="R6" s="626"/>
      <c r="S6" s="621"/>
      <c r="T6" s="636" t="s">
        <v>675</v>
      </c>
      <c r="U6" s="622"/>
      <c r="V6" s="637"/>
      <c r="W6" s="621"/>
      <c r="X6" s="621"/>
      <c r="Y6" s="621"/>
      <c r="Z6" s="621"/>
      <c r="AA6" s="487"/>
      <c r="AB6" s="484"/>
      <c r="AC6" s="621"/>
      <c r="AD6" s="624"/>
      <c r="AE6" s="625"/>
      <c r="AF6" s="625"/>
      <c r="AG6" s="625"/>
      <c r="AH6" s="620"/>
    </row>
    <row r="7" spans="1:34" ht="15.6" hidden="1" outlineLevel="1">
      <c r="A7" s="627"/>
      <c r="B7" s="628"/>
      <c r="C7" s="621"/>
      <c r="D7" s="638" t="s">
        <v>239</v>
      </c>
      <c r="E7" s="622"/>
      <c r="F7" s="639" t="s">
        <v>25</v>
      </c>
      <c r="G7" s="621"/>
      <c r="H7" s="621"/>
      <c r="I7" s="621"/>
      <c r="J7" s="621"/>
      <c r="K7" s="487"/>
      <c r="L7" s="639" t="s">
        <v>333</v>
      </c>
      <c r="M7" s="621"/>
      <c r="N7" s="621"/>
      <c r="O7" s="624"/>
      <c r="P7" s="625"/>
      <c r="Q7" s="624"/>
      <c r="R7" s="626"/>
      <c r="S7" s="621"/>
      <c r="T7" s="638" t="s">
        <v>239</v>
      </c>
      <c r="U7" s="622"/>
      <c r="V7" s="639" t="s">
        <v>25</v>
      </c>
      <c r="W7" s="621"/>
      <c r="X7" s="621"/>
      <c r="Y7" s="621"/>
      <c r="Z7" s="621"/>
      <c r="AA7" s="487"/>
      <c r="AB7" s="639" t="s">
        <v>333</v>
      </c>
      <c r="AC7" s="621"/>
      <c r="AD7" s="624"/>
      <c r="AE7" s="625"/>
      <c r="AF7" s="625"/>
      <c r="AG7" s="625"/>
      <c r="AH7" s="620"/>
    </row>
    <row r="8" spans="1:34" ht="15.6" hidden="1" outlineLevel="1">
      <c r="A8" s="627"/>
      <c r="B8" s="628"/>
      <c r="C8" s="621"/>
      <c r="D8" s="621"/>
      <c r="E8" s="622"/>
      <c r="F8" s="621"/>
      <c r="G8" s="621"/>
      <c r="H8" s="621"/>
      <c r="I8" s="621"/>
      <c r="J8" s="621"/>
      <c r="K8" s="487"/>
      <c r="L8" s="623"/>
      <c r="M8" s="621"/>
      <c r="N8" s="621"/>
      <c r="O8" s="624"/>
      <c r="P8" s="625"/>
      <c r="Q8" s="624"/>
      <c r="R8" s="626"/>
      <c r="S8" s="621"/>
      <c r="T8" s="621"/>
      <c r="U8" s="622"/>
      <c r="V8" s="621"/>
      <c r="W8" s="621"/>
      <c r="X8" s="621"/>
      <c r="Y8" s="621"/>
      <c r="Z8" s="621"/>
      <c r="AA8" s="487"/>
      <c r="AB8" s="623"/>
      <c r="AC8" s="621"/>
      <c r="AD8" s="624"/>
      <c r="AE8" s="625"/>
      <c r="AF8" s="625"/>
      <c r="AG8" s="625"/>
      <c r="AH8" s="620"/>
    </row>
    <row r="9" spans="1:34" ht="15" hidden="1" outlineLevel="1">
      <c r="A9" s="488">
        <v>1</v>
      </c>
      <c r="B9" s="640" t="s">
        <v>394</v>
      </c>
      <c r="C9" s="621"/>
      <c r="D9" s="641" t="s">
        <v>676</v>
      </c>
      <c r="E9" s="622"/>
      <c r="F9" s="642">
        <v>4150928538.1234717</v>
      </c>
      <c r="G9" s="484" t="s">
        <v>677</v>
      </c>
      <c r="H9" s="621"/>
      <c r="I9" s="621"/>
      <c r="J9" s="621"/>
      <c r="K9" s="487"/>
      <c r="L9" s="484"/>
      <c r="M9" s="621"/>
      <c r="N9" s="621"/>
      <c r="O9" s="624"/>
      <c r="P9" s="625"/>
      <c r="Q9" s="624"/>
      <c r="R9" s="626"/>
      <c r="S9" s="621"/>
      <c r="T9" s="641" t="s">
        <v>676</v>
      </c>
      <c r="U9" s="622"/>
      <c r="V9" s="642">
        <v>4149327607.2907691</v>
      </c>
      <c r="W9" s="484" t="s">
        <v>677</v>
      </c>
      <c r="X9" s="621"/>
      <c r="Y9" s="621"/>
      <c r="Z9" s="621"/>
      <c r="AA9" s="487"/>
      <c r="AB9" s="484"/>
      <c r="AC9" s="621"/>
      <c r="AD9" s="624"/>
      <c r="AE9" s="625"/>
      <c r="AF9" s="625"/>
      <c r="AG9" s="625"/>
      <c r="AH9" s="620"/>
    </row>
    <row r="10" spans="1:34" ht="15" hidden="1" outlineLevel="1">
      <c r="A10" s="488">
        <v>2</v>
      </c>
      <c r="B10" s="640" t="s">
        <v>393</v>
      </c>
      <c r="C10" s="621"/>
      <c r="D10" s="641" t="s">
        <v>678</v>
      </c>
      <c r="E10" s="622"/>
      <c r="F10" s="642">
        <v>3155630822.6226988</v>
      </c>
      <c r="G10" s="484" t="s">
        <v>679</v>
      </c>
      <c r="H10" s="621"/>
      <c r="I10" s="621"/>
      <c r="J10" s="621"/>
      <c r="K10" s="487"/>
      <c r="L10" s="484"/>
      <c r="M10" s="621"/>
      <c r="N10" s="621"/>
      <c r="O10" s="624"/>
      <c r="P10" s="625"/>
      <c r="Q10" s="624"/>
      <c r="R10" s="626"/>
      <c r="S10" s="621"/>
      <c r="T10" s="641" t="s">
        <v>678</v>
      </c>
      <c r="U10" s="622"/>
      <c r="V10" s="642">
        <v>3159148104.7459092</v>
      </c>
      <c r="W10" s="484" t="s">
        <v>679</v>
      </c>
      <c r="X10" s="621"/>
      <c r="Y10" s="621"/>
      <c r="Z10" s="621"/>
      <c r="AA10" s="487"/>
      <c r="AB10" s="484"/>
      <c r="AC10" s="621"/>
      <c r="AD10" s="624"/>
      <c r="AE10" s="625"/>
      <c r="AF10" s="625"/>
      <c r="AG10" s="625"/>
      <c r="AH10" s="620"/>
    </row>
    <row r="11" spans="1:34" ht="15" hidden="1" outlineLevel="1">
      <c r="A11" s="488"/>
      <c r="B11" s="484"/>
      <c r="C11" s="621"/>
      <c r="D11" s="641"/>
      <c r="E11" s="622"/>
      <c r="F11" s="484"/>
      <c r="G11" s="484"/>
      <c r="H11" s="621"/>
      <c r="I11" s="621"/>
      <c r="J11" s="621"/>
      <c r="K11" s="487"/>
      <c r="L11" s="484"/>
      <c r="M11" s="621"/>
      <c r="N11" s="621"/>
      <c r="O11" s="624"/>
      <c r="P11" s="625"/>
      <c r="Q11" s="624"/>
      <c r="R11" s="626"/>
      <c r="S11" s="621"/>
      <c r="T11" s="641"/>
      <c r="U11" s="622"/>
      <c r="V11" s="484"/>
      <c r="W11" s="484"/>
      <c r="X11" s="621"/>
      <c r="Y11" s="621"/>
      <c r="Z11" s="621"/>
      <c r="AA11" s="487"/>
      <c r="AB11" s="484"/>
      <c r="AC11" s="621"/>
      <c r="AD11" s="624"/>
      <c r="AE11" s="625"/>
      <c r="AF11" s="625"/>
      <c r="AG11" s="625"/>
      <c r="AH11" s="620"/>
    </row>
    <row r="12" spans="1:34" ht="15" hidden="1" outlineLevel="1">
      <c r="A12" s="488"/>
      <c r="B12" s="640" t="s">
        <v>392</v>
      </c>
      <c r="C12" s="621"/>
      <c r="D12" s="641"/>
      <c r="E12" s="622"/>
      <c r="F12" s="637"/>
      <c r="G12" s="484"/>
      <c r="H12" s="621"/>
      <c r="I12" s="621"/>
      <c r="J12" s="621"/>
      <c r="K12" s="487"/>
      <c r="L12" s="637"/>
      <c r="M12" s="621"/>
      <c r="N12" s="621"/>
      <c r="O12" s="624"/>
      <c r="P12" s="625"/>
      <c r="Q12" s="624"/>
      <c r="R12" s="626"/>
      <c r="S12" s="621"/>
      <c r="T12" s="641"/>
      <c r="U12" s="622"/>
      <c r="V12" s="637"/>
      <c r="W12" s="484"/>
      <c r="X12" s="621"/>
      <c r="Y12" s="621"/>
      <c r="Z12" s="621"/>
      <c r="AA12" s="487"/>
      <c r="AB12" s="637"/>
      <c r="AC12" s="621"/>
      <c r="AD12" s="624"/>
      <c r="AE12" s="625"/>
      <c r="AF12" s="625"/>
      <c r="AG12" s="625"/>
      <c r="AH12" s="620"/>
    </row>
    <row r="13" spans="1:34" ht="15" hidden="1" outlineLevel="1">
      <c r="A13" s="488">
        <v>3</v>
      </c>
      <c r="B13" s="640" t="s">
        <v>391</v>
      </c>
      <c r="C13" s="621"/>
      <c r="D13" s="641" t="s">
        <v>680</v>
      </c>
      <c r="E13" s="622"/>
      <c r="F13" s="642">
        <v>159809923.32333401</v>
      </c>
      <c r="G13" s="643" t="s">
        <v>681</v>
      </c>
      <c r="H13" s="621"/>
      <c r="I13" s="621"/>
      <c r="J13" s="621"/>
      <c r="K13" s="487"/>
      <c r="L13" s="484"/>
      <c r="M13" s="621"/>
      <c r="N13" s="621"/>
      <c r="O13" s="624"/>
      <c r="P13" s="625"/>
      <c r="Q13" s="624"/>
      <c r="R13" s="626"/>
      <c r="S13" s="621"/>
      <c r="T13" s="641" t="s">
        <v>680</v>
      </c>
      <c r="U13" s="622"/>
      <c r="V13" s="642">
        <v>146218483.97076175</v>
      </c>
      <c r="W13" s="643" t="s">
        <v>681</v>
      </c>
      <c r="X13" s="621"/>
      <c r="Y13" s="621"/>
      <c r="Z13" s="621"/>
      <c r="AA13" s="487"/>
      <c r="AB13" s="484"/>
      <c r="AC13" s="621"/>
      <c r="AD13" s="624"/>
      <c r="AE13" s="625"/>
      <c r="AF13" s="625"/>
      <c r="AG13" s="625"/>
      <c r="AH13" s="620"/>
    </row>
    <row r="14" spans="1:34" ht="15" hidden="1" outlineLevel="1">
      <c r="A14" s="488" t="s">
        <v>447</v>
      </c>
      <c r="B14" s="640" t="s">
        <v>682</v>
      </c>
      <c r="C14" s="621"/>
      <c r="D14" s="641" t="s">
        <v>683</v>
      </c>
      <c r="E14" s="622"/>
      <c r="F14" s="642">
        <v>0</v>
      </c>
      <c r="G14" s="643"/>
      <c r="H14" s="621"/>
      <c r="I14" s="621"/>
      <c r="J14" s="621"/>
      <c r="K14" s="487"/>
      <c r="L14" s="484"/>
      <c r="M14" s="621"/>
      <c r="N14" s="621"/>
      <c r="O14" s="624"/>
      <c r="P14" s="625"/>
      <c r="Q14" s="624"/>
      <c r="R14" s="626"/>
      <c r="S14" s="621"/>
      <c r="T14" s="641" t="s">
        <v>683</v>
      </c>
      <c r="U14" s="622"/>
      <c r="V14" s="642">
        <v>19012033.280000001</v>
      </c>
      <c r="W14" s="643"/>
      <c r="X14" s="621"/>
      <c r="Y14" s="621"/>
      <c r="Z14" s="621"/>
      <c r="AA14" s="487"/>
      <c r="AB14" s="484"/>
      <c r="AC14" s="621"/>
      <c r="AD14" s="624"/>
      <c r="AE14" s="625"/>
      <c r="AF14" s="625"/>
      <c r="AG14" s="625"/>
      <c r="AH14" s="620"/>
    </row>
    <row r="15" spans="1:34" ht="15" hidden="1" outlineLevel="1">
      <c r="A15" s="488" t="s">
        <v>445</v>
      </c>
      <c r="B15" s="640" t="s">
        <v>684</v>
      </c>
      <c r="C15" s="621"/>
      <c r="D15" s="641"/>
      <c r="E15" s="622"/>
      <c r="F15" s="642">
        <v>159809923.32333401</v>
      </c>
      <c r="G15" s="643"/>
      <c r="H15" s="621"/>
      <c r="I15" s="621"/>
      <c r="J15" s="621"/>
      <c r="K15" s="487"/>
      <c r="L15" s="484"/>
      <c r="M15" s="621"/>
      <c r="N15" s="621"/>
      <c r="O15" s="624"/>
      <c r="P15" s="625"/>
      <c r="Q15" s="624"/>
      <c r="R15" s="626"/>
      <c r="S15" s="621"/>
      <c r="T15" s="641"/>
      <c r="U15" s="622"/>
      <c r="V15" s="637">
        <v>127206450.69076174</v>
      </c>
      <c r="W15" s="643"/>
      <c r="X15" s="621"/>
      <c r="Y15" s="621"/>
      <c r="Z15" s="621"/>
      <c r="AA15" s="487"/>
      <c r="AB15" s="484"/>
      <c r="AC15" s="621"/>
      <c r="AD15" s="624"/>
      <c r="AE15" s="625"/>
      <c r="AF15" s="625"/>
      <c r="AG15" s="625"/>
      <c r="AH15" s="620"/>
    </row>
    <row r="16" spans="1:34" ht="15" hidden="1" outlineLevel="1">
      <c r="A16" s="488">
        <v>4</v>
      </c>
      <c r="B16" s="640" t="s">
        <v>390</v>
      </c>
      <c r="C16" s="621"/>
      <c r="D16" s="641" t="s">
        <v>685</v>
      </c>
      <c r="E16" s="622"/>
      <c r="F16" s="644">
        <v>3.8499801154268959E-2</v>
      </c>
      <c r="G16" s="484"/>
      <c r="H16" s="621"/>
      <c r="I16" s="621"/>
      <c r="J16" s="621"/>
      <c r="K16" s="487"/>
      <c r="L16" s="645">
        <v>3.8499801154268959E-2</v>
      </c>
      <c r="M16" s="621"/>
      <c r="N16" s="621"/>
      <c r="O16" s="624"/>
      <c r="P16" s="625"/>
      <c r="Q16" s="624"/>
      <c r="R16" s="626"/>
      <c r="S16" s="621"/>
      <c r="T16" s="641" t="s">
        <v>685</v>
      </c>
      <c r="U16" s="622"/>
      <c r="V16" s="644">
        <v>3.0657123931898685E-2</v>
      </c>
      <c r="W16" s="484"/>
      <c r="X16" s="621"/>
      <c r="Y16" s="621"/>
      <c r="Z16" s="621"/>
      <c r="AA16" s="487"/>
      <c r="AB16" s="645">
        <v>3.0657123931898685E-2</v>
      </c>
      <c r="AC16" s="621"/>
      <c r="AD16" s="624"/>
      <c r="AE16" s="625"/>
      <c r="AF16" s="625"/>
      <c r="AG16" s="625"/>
      <c r="AH16" s="620"/>
    </row>
    <row r="17" spans="1:34" ht="15" hidden="1" outlineLevel="1">
      <c r="A17" s="488"/>
      <c r="B17" s="484"/>
      <c r="C17" s="621"/>
      <c r="D17" s="641"/>
      <c r="E17" s="622"/>
      <c r="F17" s="484"/>
      <c r="G17" s="484"/>
      <c r="H17" s="621"/>
      <c r="I17" s="621"/>
      <c r="J17" s="621"/>
      <c r="K17" s="487"/>
      <c r="L17" s="645"/>
      <c r="M17" s="621"/>
      <c r="N17" s="621"/>
      <c r="O17" s="624"/>
      <c r="P17" s="625"/>
      <c r="Q17" s="624"/>
      <c r="R17" s="626"/>
      <c r="S17" s="621"/>
      <c r="T17" s="641"/>
      <c r="U17" s="622"/>
      <c r="V17" s="484"/>
      <c r="W17" s="484"/>
      <c r="X17" s="777">
        <v>3.0657123931898685E-2</v>
      </c>
      <c r="Y17" s="621"/>
      <c r="Z17" s="621"/>
      <c r="AA17" s="487"/>
      <c r="AB17" s="484"/>
      <c r="AC17" s="621"/>
      <c r="AD17" s="624"/>
      <c r="AE17" s="625"/>
      <c r="AF17" s="625"/>
      <c r="AG17" s="625"/>
      <c r="AH17" s="620"/>
    </row>
    <row r="18" spans="1:34" ht="15" hidden="1" outlineLevel="1">
      <c r="A18" s="488"/>
      <c r="B18" s="484" t="s">
        <v>389</v>
      </c>
      <c r="C18" s="621"/>
      <c r="D18" s="641"/>
      <c r="E18" s="622"/>
      <c r="F18" s="484"/>
      <c r="G18" s="484"/>
      <c r="H18" s="621"/>
      <c r="I18" s="621"/>
      <c r="J18" s="621"/>
      <c r="K18" s="487"/>
      <c r="L18" s="616"/>
      <c r="M18" s="621"/>
      <c r="N18" s="621"/>
      <c r="O18" s="624"/>
      <c r="P18" s="625"/>
      <c r="Q18" s="624"/>
      <c r="R18" s="626"/>
      <c r="S18" s="621"/>
      <c r="T18" s="641"/>
      <c r="U18" s="622"/>
      <c r="V18" s="484"/>
      <c r="W18" s="484"/>
      <c r="X18" s="621"/>
      <c r="Y18" s="621"/>
      <c r="Z18" s="621"/>
      <c r="AA18" s="487"/>
      <c r="AB18" s="484"/>
      <c r="AC18" s="621"/>
      <c r="AD18" s="624"/>
      <c r="AE18" s="625"/>
      <c r="AF18" s="625"/>
      <c r="AG18" s="625"/>
      <c r="AH18" s="620"/>
    </row>
    <row r="19" spans="1:34" ht="15" hidden="1" outlineLevel="1">
      <c r="A19" s="488"/>
      <c r="B19" s="484" t="s">
        <v>387</v>
      </c>
      <c r="C19" s="621"/>
      <c r="D19" s="641" t="s">
        <v>686</v>
      </c>
      <c r="E19" s="622"/>
      <c r="F19" s="642">
        <v>5874067.4245338077</v>
      </c>
      <c r="G19" s="484"/>
      <c r="H19" s="621"/>
      <c r="I19" s="621"/>
      <c r="J19" s="621"/>
      <c r="K19" s="487"/>
      <c r="L19" s="620"/>
      <c r="M19" s="621"/>
      <c r="N19" s="621"/>
      <c r="O19" s="624"/>
      <c r="P19" s="625"/>
      <c r="Q19" s="624"/>
      <c r="R19" s="626"/>
      <c r="S19" s="621"/>
      <c r="T19" s="641" t="s">
        <v>686</v>
      </c>
      <c r="U19" s="622"/>
      <c r="V19" s="642">
        <v>7157102</v>
      </c>
      <c r="W19" s="484"/>
      <c r="X19" s="621"/>
      <c r="Y19" s="621"/>
      <c r="Z19" s="621"/>
      <c r="AA19" s="487"/>
      <c r="AB19" s="484"/>
      <c r="AC19" s="621"/>
      <c r="AD19" s="624"/>
      <c r="AE19" s="625"/>
      <c r="AF19" s="625"/>
      <c r="AG19" s="625"/>
      <c r="AH19" s="620"/>
    </row>
    <row r="20" spans="1:34" ht="15" hidden="1" outlineLevel="1">
      <c r="A20" s="488"/>
      <c r="B20" s="484" t="s">
        <v>385</v>
      </c>
      <c r="C20" s="621"/>
      <c r="D20" s="641" t="s">
        <v>384</v>
      </c>
      <c r="E20" s="622"/>
      <c r="F20" s="569">
        <v>1.4151213085420455E-3</v>
      </c>
      <c r="G20" s="484"/>
      <c r="H20" s="621"/>
      <c r="I20" s="621"/>
      <c r="J20" s="621"/>
      <c r="K20" s="487"/>
      <c r="L20" s="645">
        <v>1.4151213085420455E-3</v>
      </c>
      <c r="M20" s="621"/>
      <c r="N20" s="621"/>
      <c r="O20" s="624"/>
      <c r="P20" s="625"/>
      <c r="Q20" s="624"/>
      <c r="R20" s="626"/>
      <c r="S20" s="621"/>
      <c r="T20" s="641" t="s">
        <v>384</v>
      </c>
      <c r="U20" s="622"/>
      <c r="V20" s="569">
        <v>1.7248823610418905E-3</v>
      </c>
      <c r="W20" s="484"/>
      <c r="X20" s="621"/>
      <c r="Y20" s="621"/>
      <c r="Z20" s="621"/>
      <c r="AA20" s="487"/>
      <c r="AB20" s="645">
        <v>1.7248823610418905E-3</v>
      </c>
      <c r="AC20" s="621"/>
      <c r="AD20" s="624"/>
      <c r="AE20" s="625"/>
      <c r="AF20" s="625"/>
      <c r="AG20" s="625"/>
      <c r="AH20" s="620"/>
    </row>
    <row r="21" spans="1:34" ht="15" hidden="1" outlineLevel="1">
      <c r="A21" s="488"/>
      <c r="B21" s="484"/>
      <c r="C21" s="621"/>
      <c r="D21" s="641"/>
      <c r="E21" s="622"/>
      <c r="F21" s="484"/>
      <c r="G21" s="484"/>
      <c r="H21" s="621"/>
      <c r="I21" s="621"/>
      <c r="J21" s="621"/>
      <c r="K21" s="487"/>
      <c r="L21" s="645"/>
      <c r="M21" s="621"/>
      <c r="N21" s="621"/>
      <c r="O21" s="624"/>
      <c r="P21" s="625"/>
      <c r="Q21" s="624"/>
      <c r="R21" s="626"/>
      <c r="S21" s="621"/>
      <c r="T21" s="641"/>
      <c r="U21" s="622"/>
      <c r="V21" s="484"/>
      <c r="W21" s="484"/>
      <c r="X21" s="621"/>
      <c r="Y21" s="621"/>
      <c r="Z21" s="621"/>
      <c r="AA21" s="487"/>
      <c r="AB21" s="484"/>
      <c r="AC21" s="621"/>
      <c r="AD21" s="624"/>
      <c r="AE21" s="625"/>
      <c r="AF21" s="625"/>
      <c r="AG21" s="625"/>
      <c r="AH21" s="620"/>
    </row>
    <row r="22" spans="1:34" ht="15" hidden="1" outlineLevel="1">
      <c r="A22" s="489"/>
      <c r="B22" s="640" t="s">
        <v>383</v>
      </c>
      <c r="C22" s="621"/>
      <c r="D22" s="646"/>
      <c r="E22" s="622"/>
      <c r="F22" s="637"/>
      <c r="G22" s="484"/>
      <c r="H22" s="621"/>
      <c r="I22" s="621"/>
      <c r="J22" s="621"/>
      <c r="K22" s="487"/>
      <c r="L22" s="616"/>
      <c r="M22" s="621"/>
      <c r="N22" s="621"/>
      <c r="O22" s="624"/>
      <c r="P22" s="625"/>
      <c r="Q22" s="624"/>
      <c r="R22" s="626"/>
      <c r="S22" s="621"/>
      <c r="T22" s="646"/>
      <c r="U22" s="622"/>
      <c r="V22" s="637"/>
      <c r="W22" s="484"/>
      <c r="X22" s="621"/>
      <c r="Y22" s="621"/>
      <c r="Z22" s="621"/>
      <c r="AA22" s="487"/>
      <c r="AB22" s="637"/>
      <c r="AC22" s="621"/>
      <c r="AD22" s="624"/>
      <c r="AE22" s="625"/>
      <c r="AF22" s="625"/>
      <c r="AG22" s="625"/>
      <c r="AH22" s="620"/>
    </row>
    <row r="23" spans="1:34" ht="15" hidden="1" outlineLevel="1">
      <c r="A23" s="489" t="s">
        <v>388</v>
      </c>
      <c r="B23" s="640" t="s">
        <v>381</v>
      </c>
      <c r="C23" s="621"/>
      <c r="D23" s="641" t="s">
        <v>687</v>
      </c>
      <c r="E23" s="622"/>
      <c r="F23" s="642">
        <v>18179330.449999999</v>
      </c>
      <c r="G23" s="484" t="s">
        <v>688</v>
      </c>
      <c r="H23" s="621"/>
      <c r="I23" s="621"/>
      <c r="J23" s="621"/>
      <c r="K23" s="487"/>
      <c r="L23" s="486"/>
      <c r="M23" s="621"/>
      <c r="N23" s="621"/>
      <c r="O23" s="624"/>
      <c r="P23" s="625"/>
      <c r="Q23" s="624"/>
      <c r="R23" s="626"/>
      <c r="S23" s="621"/>
      <c r="T23" s="641" t="s">
        <v>687</v>
      </c>
      <c r="U23" s="622"/>
      <c r="V23" s="642">
        <v>19083646.300000001</v>
      </c>
      <c r="W23" s="484" t="s">
        <v>688</v>
      </c>
      <c r="X23" s="621"/>
      <c r="Y23" s="621"/>
      <c r="Z23" s="621"/>
      <c r="AA23" s="487"/>
      <c r="AB23" s="484"/>
      <c r="AC23" s="621"/>
      <c r="AD23" s="624"/>
      <c r="AE23" s="625"/>
      <c r="AF23" s="625"/>
      <c r="AG23" s="625"/>
      <c r="AH23" s="620"/>
    </row>
    <row r="24" spans="1:34" ht="15" hidden="1" outlineLevel="1">
      <c r="A24" s="489" t="s">
        <v>386</v>
      </c>
      <c r="B24" s="640" t="s">
        <v>379</v>
      </c>
      <c r="C24" s="621"/>
      <c r="D24" s="641" t="s">
        <v>378</v>
      </c>
      <c r="E24" s="622"/>
      <c r="F24" s="644">
        <v>4.3795816485480638E-3</v>
      </c>
      <c r="G24" s="484"/>
      <c r="H24" s="621"/>
      <c r="I24" s="621"/>
      <c r="J24" s="621"/>
      <c r="K24" s="487"/>
      <c r="L24" s="645">
        <v>4.3795816485480638E-3</v>
      </c>
      <c r="M24" s="621"/>
      <c r="N24" s="621"/>
      <c r="O24" s="624"/>
      <c r="P24" s="625"/>
      <c r="Q24" s="624"/>
      <c r="R24" s="626"/>
      <c r="S24" s="621"/>
      <c r="T24" s="641" t="s">
        <v>378</v>
      </c>
      <c r="U24" s="622"/>
      <c r="V24" s="644">
        <v>4.5992141633907609E-3</v>
      </c>
      <c r="W24" s="484"/>
      <c r="X24" s="621"/>
      <c r="Y24" s="621"/>
      <c r="Z24" s="621"/>
      <c r="AA24" s="487"/>
      <c r="AB24" s="645">
        <v>4.5992141633907609E-3</v>
      </c>
      <c r="AC24" s="621"/>
      <c r="AD24" s="624"/>
      <c r="AE24" s="625"/>
      <c r="AF24" s="625"/>
      <c r="AG24" s="625"/>
      <c r="AH24" s="620"/>
    </row>
    <row r="25" spans="1:34" ht="15" hidden="1" outlineLevel="1">
      <c r="A25" s="489"/>
      <c r="B25" s="640"/>
      <c r="C25" s="621"/>
      <c r="D25" s="641"/>
      <c r="E25" s="622"/>
      <c r="F25" s="637"/>
      <c r="G25" s="484"/>
      <c r="H25" s="621"/>
      <c r="I25" s="621"/>
      <c r="J25" s="621"/>
      <c r="K25" s="487"/>
      <c r="L25" s="616"/>
      <c r="M25" s="621"/>
      <c r="N25" s="621"/>
      <c r="O25" s="624"/>
      <c r="P25" s="625"/>
      <c r="Q25" s="624"/>
      <c r="R25" s="626"/>
      <c r="S25" s="621"/>
      <c r="T25" s="641"/>
      <c r="U25" s="622"/>
      <c r="V25" s="637"/>
      <c r="W25" s="484"/>
      <c r="X25" s="621"/>
      <c r="Y25" s="621"/>
      <c r="Z25" s="621"/>
      <c r="AA25" s="487"/>
      <c r="AB25" s="637"/>
      <c r="AC25" s="621"/>
      <c r="AD25" s="624"/>
      <c r="AE25" s="625"/>
      <c r="AF25" s="625"/>
      <c r="AG25" s="625"/>
      <c r="AH25" s="620"/>
    </row>
    <row r="26" spans="1:34" ht="15.6" hidden="1" outlineLevel="1">
      <c r="A26" s="647" t="s">
        <v>382</v>
      </c>
      <c r="B26" s="648" t="s">
        <v>10</v>
      </c>
      <c r="C26" s="621"/>
      <c r="D26" s="636" t="s">
        <v>376</v>
      </c>
      <c r="E26" s="622"/>
      <c r="F26" s="649"/>
      <c r="G26" s="484"/>
      <c r="H26" s="621"/>
      <c r="I26" s="621"/>
      <c r="J26" s="621"/>
      <c r="K26" s="487"/>
      <c r="L26" s="586">
        <v>4.4294504111359066E-2</v>
      </c>
      <c r="M26" s="621"/>
      <c r="N26" s="621"/>
      <c r="O26" s="624"/>
      <c r="P26" s="625"/>
      <c r="Q26" s="624"/>
      <c r="R26" s="626"/>
      <c r="S26" s="621"/>
      <c r="T26" s="636" t="s">
        <v>376</v>
      </c>
      <c r="U26" s="622"/>
      <c r="V26" s="649"/>
      <c r="W26" s="484"/>
      <c r="X26" s="621"/>
      <c r="Y26" s="621"/>
      <c r="Z26" s="621"/>
      <c r="AA26" s="487"/>
      <c r="AB26" s="586">
        <v>3.6981220456331336E-2</v>
      </c>
      <c r="AC26" s="621"/>
      <c r="AD26" s="624"/>
      <c r="AE26" s="625"/>
      <c r="AF26" s="625"/>
      <c r="AG26" s="625"/>
      <c r="AH26" s="620"/>
    </row>
    <row r="27" spans="1:34" ht="15" hidden="1" outlineLevel="1">
      <c r="A27" s="489"/>
      <c r="B27" s="640"/>
      <c r="C27" s="621"/>
      <c r="D27" s="641"/>
      <c r="E27" s="622"/>
      <c r="F27" s="637"/>
      <c r="G27" s="484"/>
      <c r="H27" s="621"/>
      <c r="I27" s="621"/>
      <c r="J27" s="621"/>
      <c r="K27" s="487"/>
      <c r="L27" s="616"/>
      <c r="M27" s="621"/>
      <c r="N27" s="621"/>
      <c r="O27" s="624"/>
      <c r="P27" s="625"/>
      <c r="Q27" s="624"/>
      <c r="R27" s="626"/>
      <c r="S27" s="621"/>
      <c r="T27" s="641"/>
      <c r="U27" s="622"/>
      <c r="V27" s="637"/>
      <c r="W27" s="484"/>
      <c r="X27" s="621"/>
      <c r="Y27" s="621"/>
      <c r="Z27" s="621"/>
      <c r="AA27" s="487"/>
      <c r="AB27" s="637"/>
      <c r="AC27" s="621"/>
      <c r="AD27" s="624"/>
      <c r="AE27" s="625"/>
      <c r="AF27" s="625"/>
      <c r="AG27" s="625"/>
      <c r="AH27" s="620"/>
    </row>
    <row r="28" spans="1:34" ht="15" hidden="1" outlineLevel="1">
      <c r="A28" s="650"/>
      <c r="B28" s="637" t="s">
        <v>375</v>
      </c>
      <c r="C28" s="621"/>
      <c r="D28" s="641"/>
      <c r="E28" s="622"/>
      <c r="F28" s="637"/>
      <c r="G28" s="484"/>
      <c r="H28" s="621"/>
      <c r="I28" s="621"/>
      <c r="J28" s="621"/>
      <c r="K28" s="487"/>
      <c r="L28" s="616"/>
      <c r="M28" s="621"/>
      <c r="N28" s="621"/>
      <c r="O28" s="624"/>
      <c r="P28" s="625"/>
      <c r="Q28" s="624"/>
      <c r="R28" s="626"/>
      <c r="S28" s="621"/>
      <c r="T28" s="641"/>
      <c r="U28" s="622"/>
      <c r="V28" s="637"/>
      <c r="W28" s="484"/>
      <c r="X28" s="621"/>
      <c r="Y28" s="621"/>
      <c r="Z28" s="621"/>
      <c r="AA28" s="487"/>
      <c r="AB28" s="637"/>
      <c r="AC28" s="621"/>
      <c r="AD28" s="624"/>
      <c r="AE28" s="625"/>
      <c r="AF28" s="625"/>
      <c r="AG28" s="625"/>
      <c r="AH28" s="620"/>
    </row>
    <row r="29" spans="1:34" ht="15" hidden="1" outlineLevel="1">
      <c r="A29" s="489" t="s">
        <v>380</v>
      </c>
      <c r="B29" s="637" t="s">
        <v>13</v>
      </c>
      <c r="C29" s="621"/>
      <c r="D29" s="641" t="s">
        <v>689</v>
      </c>
      <c r="E29" s="622"/>
      <c r="F29" s="642">
        <v>100390059.57100353</v>
      </c>
      <c r="G29" s="484" t="s">
        <v>690</v>
      </c>
      <c r="H29" s="621"/>
      <c r="I29" s="621"/>
      <c r="J29" s="621"/>
      <c r="K29" s="487"/>
      <c r="L29" s="616"/>
      <c r="M29" s="621"/>
      <c r="N29" s="621"/>
      <c r="O29" s="624"/>
      <c r="P29" s="625"/>
      <c r="Q29" s="624"/>
      <c r="R29" s="626"/>
      <c r="S29" s="621"/>
      <c r="T29" s="641" t="s">
        <v>689</v>
      </c>
      <c r="U29" s="622"/>
      <c r="V29" s="642">
        <v>98921602.21656163</v>
      </c>
      <c r="W29" s="484" t="s">
        <v>690</v>
      </c>
      <c r="X29" s="621"/>
      <c r="Y29" s="621"/>
      <c r="Z29" s="621"/>
      <c r="AA29" s="487"/>
      <c r="AB29" s="637"/>
      <c r="AC29" s="621"/>
      <c r="AD29" s="624"/>
      <c r="AE29" s="625"/>
      <c r="AF29" s="625"/>
      <c r="AG29" s="625"/>
      <c r="AH29" s="620"/>
    </row>
    <row r="30" spans="1:34" ht="15" hidden="1" outlineLevel="1">
      <c r="A30" s="489" t="s">
        <v>377</v>
      </c>
      <c r="B30" s="637" t="s">
        <v>372</v>
      </c>
      <c r="C30" s="621"/>
      <c r="D30" s="641" t="s">
        <v>371</v>
      </c>
      <c r="E30" s="622"/>
      <c r="F30" s="644">
        <v>3.181299246138293E-2</v>
      </c>
      <c r="G30" s="484"/>
      <c r="H30" s="621"/>
      <c r="I30" s="621"/>
      <c r="J30" s="621"/>
      <c r="K30" s="487"/>
      <c r="L30" s="645">
        <v>3.181299246138293E-2</v>
      </c>
      <c r="M30" s="621"/>
      <c r="N30" s="621"/>
      <c r="O30" s="624"/>
      <c r="P30" s="625"/>
      <c r="Q30" s="624"/>
      <c r="R30" s="626"/>
      <c r="S30" s="621"/>
      <c r="T30" s="641" t="s">
        <v>371</v>
      </c>
      <c r="U30" s="622"/>
      <c r="V30" s="644">
        <v>3.1312746011481443E-2</v>
      </c>
      <c r="W30" s="484"/>
      <c r="X30" s="621"/>
      <c r="Y30" s="621"/>
      <c r="Z30" s="621"/>
      <c r="AA30" s="487"/>
      <c r="AB30" s="645">
        <v>3.1312746011481443E-2</v>
      </c>
      <c r="AC30" s="621"/>
      <c r="AD30" s="624"/>
      <c r="AE30" s="625"/>
      <c r="AF30" s="625"/>
      <c r="AG30" s="625"/>
      <c r="AH30" s="620"/>
    </row>
    <row r="31" spans="1:34" ht="15" hidden="1" outlineLevel="1">
      <c r="A31" s="489"/>
      <c r="B31" s="637"/>
      <c r="C31" s="621"/>
      <c r="D31" s="641"/>
      <c r="E31" s="622"/>
      <c r="F31" s="637"/>
      <c r="G31" s="484"/>
      <c r="H31" s="621"/>
      <c r="I31" s="621"/>
      <c r="J31" s="621"/>
      <c r="K31" s="487"/>
      <c r="L31" s="616"/>
      <c r="M31" s="621"/>
      <c r="N31" s="621"/>
      <c r="O31" s="624"/>
      <c r="P31" s="625"/>
      <c r="Q31" s="624"/>
      <c r="R31" s="626"/>
      <c r="S31" s="621"/>
      <c r="T31" s="641"/>
      <c r="U31" s="622"/>
      <c r="V31" s="637"/>
      <c r="W31" s="484"/>
      <c r="X31" s="621"/>
      <c r="Y31" s="621"/>
      <c r="Z31" s="621"/>
      <c r="AA31" s="487"/>
      <c r="AB31" s="637"/>
      <c r="AC31" s="621"/>
      <c r="AD31" s="624"/>
      <c r="AE31" s="625"/>
      <c r="AF31" s="625"/>
      <c r="AG31" s="625"/>
      <c r="AH31" s="620"/>
    </row>
    <row r="32" spans="1:34" ht="15" hidden="1" outlineLevel="1">
      <c r="A32" s="489"/>
      <c r="B32" s="640" t="s">
        <v>189</v>
      </c>
      <c r="C32" s="621"/>
      <c r="D32" s="651"/>
      <c r="E32" s="622"/>
      <c r="F32" s="484"/>
      <c r="G32" s="484"/>
      <c r="H32" s="621"/>
      <c r="I32" s="621"/>
      <c r="J32" s="621"/>
      <c r="K32" s="487"/>
      <c r="L32" s="486"/>
      <c r="M32" s="621"/>
      <c r="N32" s="621"/>
      <c r="O32" s="624"/>
      <c r="P32" s="625"/>
      <c r="Q32" s="624"/>
      <c r="R32" s="626"/>
      <c r="S32" s="621"/>
      <c r="T32" s="651"/>
      <c r="U32" s="622"/>
      <c r="V32" s="484"/>
      <c r="W32" s="484"/>
      <c r="X32" s="621"/>
      <c r="Y32" s="621"/>
      <c r="Z32" s="621"/>
      <c r="AA32" s="487"/>
      <c r="AB32" s="484"/>
      <c r="AC32" s="621"/>
      <c r="AD32" s="624"/>
      <c r="AE32" s="625"/>
      <c r="AF32" s="625"/>
      <c r="AG32" s="625"/>
      <c r="AH32" s="620"/>
    </row>
    <row r="33" spans="1:34" ht="15" hidden="1" outlineLevel="1">
      <c r="A33" s="489" t="s">
        <v>374</v>
      </c>
      <c r="B33" s="640" t="s">
        <v>369</v>
      </c>
      <c r="C33" s="621"/>
      <c r="D33" s="641" t="s">
        <v>691</v>
      </c>
      <c r="E33" s="622"/>
      <c r="F33" s="642">
        <v>238960682.14668423</v>
      </c>
      <c r="G33" s="484" t="s">
        <v>692</v>
      </c>
      <c r="H33" s="621"/>
      <c r="I33" s="621"/>
      <c r="J33" s="621"/>
      <c r="K33" s="487"/>
      <c r="L33" s="616"/>
      <c r="M33" s="621"/>
      <c r="N33" s="621"/>
      <c r="O33" s="624"/>
      <c r="P33" s="625"/>
      <c r="Q33" s="624"/>
      <c r="R33" s="626"/>
      <c r="S33" s="621"/>
      <c r="T33" s="641" t="s">
        <v>691</v>
      </c>
      <c r="U33" s="622"/>
      <c r="V33" s="642">
        <v>235586448.71995243</v>
      </c>
      <c r="W33" s="484" t="s">
        <v>692</v>
      </c>
      <c r="X33" s="621"/>
      <c r="Y33" s="621"/>
      <c r="Z33" s="621"/>
      <c r="AA33" s="487"/>
      <c r="AB33" s="637"/>
      <c r="AC33" s="621"/>
      <c r="AD33" s="624"/>
      <c r="AE33" s="625"/>
      <c r="AF33" s="625"/>
      <c r="AG33" s="625"/>
      <c r="AH33" s="620"/>
    </row>
    <row r="34" spans="1:34" ht="15" hidden="1" outlineLevel="1">
      <c r="A34" s="489" t="s">
        <v>373</v>
      </c>
      <c r="B34" s="637" t="s">
        <v>367</v>
      </c>
      <c r="C34" s="621"/>
      <c r="D34" s="641" t="s">
        <v>366</v>
      </c>
      <c r="E34" s="622"/>
      <c r="F34" s="569">
        <v>7.5725170521715179E-2</v>
      </c>
      <c r="G34" s="484"/>
      <c r="H34" s="621"/>
      <c r="I34" s="621"/>
      <c r="J34" s="621"/>
      <c r="K34" s="487"/>
      <c r="L34" s="645">
        <v>7.5725170521715179E-2</v>
      </c>
      <c r="M34" s="621"/>
      <c r="N34" s="621"/>
      <c r="O34" s="624"/>
      <c r="P34" s="625"/>
      <c r="Q34" s="624"/>
      <c r="R34" s="626"/>
      <c r="S34" s="621"/>
      <c r="T34" s="641" t="s">
        <v>366</v>
      </c>
      <c r="U34" s="622"/>
      <c r="V34" s="569">
        <v>7.4572777504807952E-2</v>
      </c>
      <c r="W34" s="484"/>
      <c r="X34" s="621"/>
      <c r="Y34" s="621"/>
      <c r="Z34" s="621"/>
      <c r="AA34" s="487"/>
      <c r="AB34" s="645">
        <v>7.4572777504807952E-2</v>
      </c>
      <c r="AC34" s="621"/>
      <c r="AD34" s="624"/>
      <c r="AE34" s="625"/>
      <c r="AF34" s="625"/>
      <c r="AG34" s="625"/>
      <c r="AH34" s="620"/>
    </row>
    <row r="35" spans="1:34" ht="15" hidden="1" outlineLevel="1">
      <c r="A35" s="489"/>
      <c r="B35" s="640"/>
      <c r="C35" s="621"/>
      <c r="D35" s="641"/>
      <c r="E35" s="622"/>
      <c r="F35" s="637"/>
      <c r="G35" s="484"/>
      <c r="H35" s="621"/>
      <c r="I35" s="621"/>
      <c r="J35" s="621"/>
      <c r="K35" s="487"/>
      <c r="L35" s="616"/>
      <c r="M35" s="621"/>
      <c r="N35" s="621"/>
      <c r="O35" s="624"/>
      <c r="P35" s="625"/>
      <c r="Q35" s="624"/>
      <c r="R35" s="626"/>
      <c r="S35" s="621"/>
      <c r="T35" s="641"/>
      <c r="U35" s="622"/>
      <c r="V35" s="637"/>
      <c r="W35" s="484"/>
      <c r="X35" s="621"/>
      <c r="Y35" s="621"/>
      <c r="Z35" s="621"/>
      <c r="AA35" s="487"/>
      <c r="AB35" s="637"/>
      <c r="AC35" s="621"/>
      <c r="AD35" s="624"/>
      <c r="AE35" s="625"/>
      <c r="AF35" s="625"/>
      <c r="AG35" s="625"/>
      <c r="AH35" s="620"/>
    </row>
    <row r="36" spans="1:34" ht="15.6" hidden="1" outlineLevel="1">
      <c r="A36" s="647" t="s">
        <v>370</v>
      </c>
      <c r="B36" s="648" t="s">
        <v>9</v>
      </c>
      <c r="C36" s="621"/>
      <c r="D36" s="636" t="s">
        <v>364</v>
      </c>
      <c r="E36" s="622"/>
      <c r="F36" s="649"/>
      <c r="G36" s="484"/>
      <c r="H36" s="621"/>
      <c r="I36" s="621"/>
      <c r="J36" s="621"/>
      <c r="K36" s="487"/>
      <c r="L36" s="586">
        <v>0.10753816298309811</v>
      </c>
      <c r="M36" s="621"/>
      <c r="N36" s="621"/>
      <c r="O36" s="624"/>
      <c r="P36" s="625"/>
      <c r="Q36" s="624"/>
      <c r="R36" s="626"/>
      <c r="S36" s="621"/>
      <c r="T36" s="636" t="s">
        <v>364</v>
      </c>
      <c r="U36" s="622"/>
      <c r="V36" s="649"/>
      <c r="W36" s="484"/>
      <c r="X36" s="621"/>
      <c r="Y36" s="621"/>
      <c r="Z36" s="621"/>
      <c r="AA36" s="487"/>
      <c r="AB36" s="586">
        <v>0.1058855235162894</v>
      </c>
      <c r="AC36" s="621"/>
      <c r="AD36" s="624"/>
      <c r="AE36" s="625"/>
      <c r="AF36" s="625"/>
      <c r="AG36" s="625"/>
      <c r="AH36" s="620"/>
    </row>
    <row r="37" spans="1:34" ht="15.6" hidden="1" outlineLevel="1">
      <c r="A37" s="627"/>
      <c r="B37" s="628"/>
      <c r="C37" s="621"/>
      <c r="D37" s="621"/>
      <c r="E37" s="622"/>
      <c r="F37" s="621"/>
      <c r="G37" s="621"/>
      <c r="H37" s="621"/>
      <c r="I37" s="621"/>
      <c r="J37" s="621"/>
      <c r="K37" s="487"/>
      <c r="L37" s="623"/>
      <c r="M37" s="621"/>
      <c r="N37" s="621"/>
      <c r="O37" s="624"/>
      <c r="P37" s="625"/>
      <c r="Q37" s="624"/>
      <c r="R37" s="626"/>
      <c r="S37" s="621"/>
      <c r="T37" s="621"/>
      <c r="U37" s="622"/>
      <c r="V37" s="621"/>
      <c r="W37" s="621"/>
      <c r="X37" s="621"/>
      <c r="Y37" s="621"/>
      <c r="Z37" s="621"/>
      <c r="AA37" s="487"/>
      <c r="AB37" s="623"/>
      <c r="AC37" s="621"/>
      <c r="AD37" s="624"/>
      <c r="AE37" s="625"/>
      <c r="AF37" s="625"/>
      <c r="AG37" s="625"/>
      <c r="AH37" s="620"/>
    </row>
    <row r="38" spans="1:34" ht="15.6" hidden="1" outlineLevel="1">
      <c r="A38" s="627"/>
      <c r="B38" s="628"/>
      <c r="C38" s="621"/>
      <c r="D38" s="621"/>
      <c r="E38" s="622"/>
      <c r="F38" s="621"/>
      <c r="G38" s="621"/>
      <c r="H38" s="621"/>
      <c r="I38" s="621"/>
      <c r="J38" s="621"/>
      <c r="K38" s="487"/>
      <c r="L38" s="623"/>
      <c r="M38" s="621"/>
      <c r="N38" s="621"/>
      <c r="O38" s="624"/>
      <c r="P38" s="625"/>
      <c r="Q38" s="624"/>
      <c r="R38" s="626"/>
      <c r="S38" s="621"/>
      <c r="T38" s="621"/>
      <c r="U38" s="622"/>
      <c r="V38" s="621"/>
      <c r="W38" s="621"/>
      <c r="X38" s="621"/>
      <c r="Y38" s="621"/>
      <c r="Z38" s="621"/>
      <c r="AA38" s="487"/>
      <c r="AB38" s="623"/>
      <c r="AC38" s="621"/>
      <c r="AD38" s="624"/>
      <c r="AE38" s="625"/>
      <c r="AF38" s="625"/>
      <c r="AG38" s="625"/>
      <c r="AH38" s="620"/>
    </row>
    <row r="39" spans="1:34" ht="15" hidden="1" outlineLevel="1">
      <c r="A39" s="486"/>
      <c r="B39" s="486"/>
      <c r="C39" s="652"/>
      <c r="D39" s="652"/>
      <c r="E39" s="653"/>
      <c r="F39" s="652"/>
      <c r="G39" s="652"/>
      <c r="H39" s="652"/>
      <c r="I39" s="652"/>
      <c r="J39" s="652"/>
      <c r="K39" s="652"/>
      <c r="L39" s="652"/>
      <c r="M39" s="652"/>
      <c r="N39" s="652"/>
      <c r="O39" s="486"/>
      <c r="P39" s="486"/>
      <c r="Q39" s="619"/>
      <c r="R39" s="620"/>
      <c r="S39" s="652"/>
      <c r="T39" s="652"/>
      <c r="U39" s="653"/>
      <c r="V39" s="652"/>
      <c r="W39" s="652"/>
      <c r="X39" s="652"/>
      <c r="Y39" s="652"/>
      <c r="Z39" s="652"/>
      <c r="AA39" s="652"/>
      <c r="AB39" s="652"/>
      <c r="AC39" s="652"/>
      <c r="AD39" s="617"/>
      <c r="AE39" s="654"/>
      <c r="AF39" s="654"/>
      <c r="AG39" s="654"/>
      <c r="AH39" s="620"/>
    </row>
    <row r="40" spans="1:34" ht="15.6" collapsed="1">
      <c r="A40" s="781" t="s">
        <v>693</v>
      </c>
      <c r="B40" s="486"/>
      <c r="C40" s="1032" t="s">
        <v>778</v>
      </c>
      <c r="D40" s="1032"/>
      <c r="E40" s="1032"/>
      <c r="F40" s="1032"/>
      <c r="G40" s="1032"/>
      <c r="H40" s="1032"/>
      <c r="I40" s="1032"/>
      <c r="J40" s="1032"/>
      <c r="K40" s="1032"/>
      <c r="L40" s="1032"/>
      <c r="M40" s="1032"/>
      <c r="N40" s="1032"/>
      <c r="O40" s="617"/>
      <c r="P40" s="1033" t="s">
        <v>694</v>
      </c>
      <c r="Q40" s="1033"/>
      <c r="R40" s="620"/>
      <c r="S40" s="1034" t="s">
        <v>779</v>
      </c>
      <c r="T40" s="1034"/>
      <c r="U40" s="1034"/>
      <c r="V40" s="1034"/>
      <c r="W40" s="1034"/>
      <c r="X40" s="1034"/>
      <c r="Y40" s="1034"/>
      <c r="Z40" s="1034"/>
      <c r="AA40" s="1034"/>
      <c r="AB40" s="1034"/>
      <c r="AC40" s="1034"/>
      <c r="AD40" s="617"/>
      <c r="AE40" s="1033" t="s">
        <v>780</v>
      </c>
      <c r="AF40" s="1033"/>
      <c r="AG40" s="1033"/>
      <c r="AH40" s="620"/>
    </row>
    <row r="41" spans="1:34" ht="15.6">
      <c r="A41" s="712"/>
      <c r="B41" s="486"/>
      <c r="C41" s="712"/>
      <c r="D41" s="712"/>
      <c r="E41" s="712"/>
      <c r="F41" s="712"/>
      <c r="G41" s="712"/>
      <c r="H41" s="712"/>
      <c r="I41" s="712"/>
      <c r="J41" s="712"/>
      <c r="K41" s="712"/>
      <c r="L41" s="712"/>
      <c r="M41" s="712"/>
      <c r="N41" s="712"/>
      <c r="O41" s="617"/>
      <c r="P41" s="654">
        <v>83450639.569999993</v>
      </c>
      <c r="Q41" s="618" t="s">
        <v>695</v>
      </c>
      <c r="R41" s="620"/>
      <c r="S41" s="714"/>
      <c r="T41" s="714"/>
      <c r="U41" s="714"/>
      <c r="V41" s="714"/>
      <c r="W41" s="714"/>
      <c r="X41" s="714"/>
      <c r="Y41" s="714"/>
      <c r="Z41" s="714"/>
      <c r="AA41" s="714"/>
      <c r="AB41" s="714"/>
      <c r="AC41" s="714"/>
      <c r="AD41" s="617"/>
      <c r="AE41" s="713"/>
      <c r="AF41" s="713"/>
      <c r="AG41" s="713"/>
      <c r="AH41" s="620"/>
    </row>
    <row r="42" spans="1:34" ht="15.6">
      <c r="A42" s="712"/>
      <c r="B42" s="486"/>
      <c r="C42" s="712"/>
      <c r="D42" s="712"/>
      <c r="E42" s="712"/>
      <c r="F42" s="712"/>
      <c r="G42" s="712"/>
      <c r="H42" s="712"/>
      <c r="I42" s="712"/>
      <c r="J42" s="712"/>
      <c r="K42" s="712"/>
      <c r="L42" s="712"/>
      <c r="M42" s="712"/>
      <c r="N42" s="712"/>
      <c r="O42" s="617"/>
      <c r="P42" s="716">
        <v>-6294573.7515399167</v>
      </c>
      <c r="Q42" s="618" t="s">
        <v>640</v>
      </c>
      <c r="R42" s="620"/>
      <c r="S42" s="714"/>
      <c r="T42" s="714"/>
      <c r="U42" s="714"/>
      <c r="V42" s="714"/>
      <c r="W42" s="714"/>
      <c r="X42" s="714"/>
      <c r="Y42" s="714"/>
      <c r="Z42" s="714"/>
      <c r="AA42" s="714"/>
      <c r="AB42" s="714"/>
      <c r="AC42" s="714"/>
      <c r="AD42" s="617"/>
      <c r="AE42" s="713"/>
      <c r="AF42" s="657">
        <v>2.1304397294932467E-3</v>
      </c>
      <c r="AG42" s="618" t="s">
        <v>696</v>
      </c>
      <c r="AH42" s="620"/>
    </row>
    <row r="43" spans="1:34" ht="15">
      <c r="A43" s="655">
        <v>2013</v>
      </c>
      <c r="B43" s="486"/>
      <c r="C43" s="656" t="s">
        <v>781</v>
      </c>
      <c r="D43" s="657">
        <v>4.4294504111359066E-2</v>
      </c>
      <c r="E43" s="490"/>
      <c r="F43" s="656" t="s">
        <v>782</v>
      </c>
      <c r="G43" s="657">
        <v>0.10753816298309811</v>
      </c>
      <c r="H43" s="658"/>
      <c r="I43" s="658"/>
      <c r="J43" s="658"/>
      <c r="K43" s="658"/>
      <c r="L43" s="616"/>
      <c r="M43" s="616"/>
      <c r="N43" s="616"/>
      <c r="O43" s="491"/>
      <c r="P43" s="715">
        <v>77156065.818460077</v>
      </c>
      <c r="Q43" s="619"/>
      <c r="R43" s="620"/>
      <c r="S43" s="656" t="s">
        <v>697</v>
      </c>
      <c r="T43" s="657">
        <v>3.6981220456331336E-2</v>
      </c>
      <c r="U43" s="490"/>
      <c r="V43" s="656" t="s">
        <v>698</v>
      </c>
      <c r="W43" s="657">
        <v>0.1058855235162894</v>
      </c>
      <c r="X43" s="658"/>
      <c r="Y43" s="658"/>
      <c r="Z43" s="658"/>
      <c r="AA43" s="658"/>
      <c r="AB43" s="616"/>
      <c r="AC43" s="618"/>
      <c r="AD43" s="618"/>
      <c r="AE43" s="618"/>
      <c r="AF43" s="523">
        <v>3054.9609769993535</v>
      </c>
      <c r="AG43" s="618" t="s">
        <v>581</v>
      </c>
      <c r="AH43" s="620"/>
    </row>
    <row r="44" spans="1:34" ht="15">
      <c r="A44" s="660" t="s">
        <v>87</v>
      </c>
      <c r="B44" s="660" t="s">
        <v>85</v>
      </c>
      <c r="C44" s="661" t="s">
        <v>699</v>
      </c>
      <c r="D44" s="660" t="s">
        <v>700</v>
      </c>
      <c r="E44" s="660" t="s">
        <v>701</v>
      </c>
      <c r="F44" s="660" t="s">
        <v>702</v>
      </c>
      <c r="G44" s="660" t="s">
        <v>703</v>
      </c>
      <c r="H44" s="660" t="s">
        <v>704</v>
      </c>
      <c r="I44" s="660" t="s">
        <v>705</v>
      </c>
      <c r="J44" s="660" t="s">
        <v>741</v>
      </c>
      <c r="K44" s="660" t="s">
        <v>83</v>
      </c>
      <c r="L44" s="660" t="s">
        <v>82</v>
      </c>
      <c r="M44" s="660" t="s">
        <v>80</v>
      </c>
      <c r="N44" s="660" t="s">
        <v>78</v>
      </c>
      <c r="O44" s="617"/>
      <c r="P44" s="662">
        <v>0</v>
      </c>
      <c r="Q44" s="663" t="s">
        <v>74</v>
      </c>
      <c r="R44" s="620"/>
      <c r="S44" s="660" t="s">
        <v>706</v>
      </c>
      <c r="T44" s="660" t="s">
        <v>707</v>
      </c>
      <c r="U44" s="660" t="s">
        <v>708</v>
      </c>
      <c r="V44" s="660" t="s">
        <v>709</v>
      </c>
      <c r="W44" s="660" t="s">
        <v>710</v>
      </c>
      <c r="X44" s="660" t="s">
        <v>711</v>
      </c>
      <c r="Y44" s="660" t="s">
        <v>712</v>
      </c>
      <c r="Z44" s="660" t="s">
        <v>746</v>
      </c>
      <c r="AA44" s="660" t="s">
        <v>72</v>
      </c>
      <c r="AB44" s="660" t="s">
        <v>70</v>
      </c>
      <c r="AC44" s="660" t="s">
        <v>68</v>
      </c>
      <c r="AD44" s="617"/>
      <c r="AE44" s="662" t="s">
        <v>61</v>
      </c>
      <c r="AF44" s="662" t="s">
        <v>60</v>
      </c>
      <c r="AG44" s="662" t="s">
        <v>58</v>
      </c>
      <c r="AH44" s="620"/>
    </row>
    <row r="45" spans="1:34" ht="60">
      <c r="A45" s="664" t="s">
        <v>359</v>
      </c>
      <c r="B45" s="665" t="s">
        <v>360</v>
      </c>
      <c r="C45" s="666" t="s">
        <v>713</v>
      </c>
      <c r="D45" s="666" t="s">
        <v>697</v>
      </c>
      <c r="E45" s="667" t="s">
        <v>357</v>
      </c>
      <c r="F45" s="666" t="s">
        <v>356</v>
      </c>
      <c r="G45" s="666" t="s">
        <v>698</v>
      </c>
      <c r="H45" s="668" t="s">
        <v>355</v>
      </c>
      <c r="I45" s="666" t="s">
        <v>2</v>
      </c>
      <c r="J45" s="775" t="s">
        <v>489</v>
      </c>
      <c r="K45" s="669" t="s">
        <v>354</v>
      </c>
      <c r="L45" s="670" t="s">
        <v>714</v>
      </c>
      <c r="M45" s="669" t="s">
        <v>352</v>
      </c>
      <c r="N45" s="669" t="s">
        <v>715</v>
      </c>
      <c r="O45" s="671"/>
      <c r="P45" s="669" t="s">
        <v>716</v>
      </c>
      <c r="Q45" s="669" t="s">
        <v>717</v>
      </c>
      <c r="R45" s="672"/>
      <c r="S45" s="673" t="s">
        <v>718</v>
      </c>
      <c r="T45" s="666" t="s">
        <v>697</v>
      </c>
      <c r="U45" s="667" t="s">
        <v>357</v>
      </c>
      <c r="V45" s="666" t="s">
        <v>356</v>
      </c>
      <c r="W45" s="666" t="s">
        <v>698</v>
      </c>
      <c r="X45" s="668" t="s">
        <v>355</v>
      </c>
      <c r="Y45" s="666" t="s">
        <v>2</v>
      </c>
      <c r="Z45" s="775" t="s">
        <v>489</v>
      </c>
      <c r="AA45" s="669" t="s">
        <v>354</v>
      </c>
      <c r="AB45" s="670" t="s">
        <v>714</v>
      </c>
      <c r="AC45" s="669" t="s">
        <v>352</v>
      </c>
      <c r="AD45" s="671"/>
      <c r="AE45" s="669" t="s">
        <v>719</v>
      </c>
      <c r="AF45" s="669" t="s">
        <v>720</v>
      </c>
      <c r="AG45" s="669" t="s">
        <v>783</v>
      </c>
      <c r="AH45" s="672"/>
    </row>
    <row r="46" spans="1:34" ht="15">
      <c r="A46" s="674"/>
      <c r="B46" s="674"/>
      <c r="C46" s="675"/>
      <c r="D46" s="675"/>
      <c r="E46" s="676"/>
      <c r="F46" s="675"/>
      <c r="G46" s="675"/>
      <c r="H46" s="677"/>
      <c r="I46" s="675"/>
      <c r="J46" s="677"/>
      <c r="K46" s="677"/>
      <c r="L46" s="678"/>
      <c r="M46" s="679"/>
      <c r="N46" s="679"/>
      <c r="O46" s="617"/>
      <c r="P46" s="679"/>
      <c r="Q46" s="679"/>
      <c r="R46" s="620"/>
      <c r="S46" s="680"/>
      <c r="T46" s="675"/>
      <c r="U46" s="676"/>
      <c r="V46" s="675"/>
      <c r="W46" s="675"/>
      <c r="X46" s="677"/>
      <c r="Y46" s="675"/>
      <c r="Z46" s="677"/>
      <c r="AA46" s="677"/>
      <c r="AB46" s="678"/>
      <c r="AC46" s="679"/>
      <c r="AD46" s="617"/>
      <c r="AE46" s="679"/>
      <c r="AF46" s="679"/>
      <c r="AG46" s="679"/>
      <c r="AH46" s="620"/>
    </row>
    <row r="47" spans="1:34" ht="15">
      <c r="A47" s="681"/>
      <c r="B47" s="658"/>
      <c r="C47" s="658"/>
      <c r="D47" s="658"/>
      <c r="E47" s="682"/>
      <c r="F47" s="658"/>
      <c r="G47" s="658"/>
      <c r="H47" s="683"/>
      <c r="I47" s="658"/>
      <c r="J47" s="683"/>
      <c r="K47" s="683"/>
      <c r="L47" s="616"/>
      <c r="M47" s="684"/>
      <c r="N47" s="684"/>
      <c r="O47" s="617"/>
      <c r="P47" s="684"/>
      <c r="Q47" s="684"/>
      <c r="R47" s="620"/>
      <c r="S47" s="685"/>
      <c r="T47" s="658"/>
      <c r="U47" s="682"/>
      <c r="V47" s="658"/>
      <c r="W47" s="658"/>
      <c r="X47" s="683"/>
      <c r="Y47" s="658"/>
      <c r="Z47" s="683"/>
      <c r="AA47" s="683"/>
      <c r="AB47" s="616"/>
      <c r="AC47" s="684"/>
      <c r="AD47" s="617"/>
      <c r="AE47" s="684"/>
      <c r="AF47" s="684"/>
      <c r="AG47" s="684"/>
      <c r="AH47" s="620"/>
    </row>
    <row r="48" spans="1:34" ht="15">
      <c r="A48" s="686">
        <v>345</v>
      </c>
      <c r="B48" s="486" t="s">
        <v>647</v>
      </c>
      <c r="C48" s="659">
        <v>148597383.20000005</v>
      </c>
      <c r="D48" s="645">
        <v>4.4294504111359066E-2</v>
      </c>
      <c r="E48" s="492">
        <v>6582047.4010896003</v>
      </c>
      <c r="F48" s="659">
        <v>131527808.19884083</v>
      </c>
      <c r="G48" s="645">
        <v>0.10753816298309811</v>
      </c>
      <c r="H48" s="493">
        <v>14144258.874896612</v>
      </c>
      <c r="I48" s="659">
        <v>4014471.2411592337</v>
      </c>
      <c r="J48" s="776">
        <v>0</v>
      </c>
      <c r="K48" s="493">
        <v>24740777.517145447</v>
      </c>
      <c r="L48" s="659">
        <v>-3882675.67865628</v>
      </c>
      <c r="M48" s="608">
        <v>20858101.838489167</v>
      </c>
      <c r="N48" s="687">
        <v>0.28415742324495397</v>
      </c>
      <c r="O48" s="688"/>
      <c r="P48" s="608">
        <v>21924468.850691687</v>
      </c>
      <c r="Q48" s="687">
        <v>0.28415742324495397</v>
      </c>
      <c r="R48" s="688"/>
      <c r="S48" s="689">
        <v>148572047.65153846</v>
      </c>
      <c r="T48" s="645">
        <v>3.6981220456331336E-2</v>
      </c>
      <c r="U48" s="492">
        <v>5494375.6478501083</v>
      </c>
      <c r="V48" s="689">
        <v>131692752.05615386</v>
      </c>
      <c r="W48" s="645">
        <v>0.1058855235162894</v>
      </c>
      <c r="X48" s="493">
        <v>13944355.994766749</v>
      </c>
      <c r="Y48" s="689">
        <v>3848466.92</v>
      </c>
      <c r="Z48" s="776">
        <v>0</v>
      </c>
      <c r="AA48" s="493">
        <v>23287198.562616855</v>
      </c>
      <c r="AB48" s="494">
        <v>-3882675.67865628</v>
      </c>
      <c r="AC48" s="608">
        <v>19404522.883960575</v>
      </c>
      <c r="AD48" s="688"/>
      <c r="AE48" s="608">
        <v>-2519945.9667311125</v>
      </c>
      <c r="AF48" s="608">
        <v>-10737.186007400458</v>
      </c>
      <c r="AG48" s="608">
        <v>-2530683.152738513</v>
      </c>
      <c r="AH48" s="486"/>
    </row>
    <row r="49" spans="1:34" ht="15">
      <c r="A49" s="686">
        <v>1453</v>
      </c>
      <c r="B49" s="486" t="s">
        <v>649</v>
      </c>
      <c r="C49" s="659">
        <v>8764879.3100000005</v>
      </c>
      <c r="D49" s="645">
        <v>4.4294504111359066E-2</v>
      </c>
      <c r="E49" s="492">
        <v>388235.98263236106</v>
      </c>
      <c r="F49" s="659">
        <v>7578696.2041320745</v>
      </c>
      <c r="G49" s="645">
        <v>0.10753816298309811</v>
      </c>
      <c r="H49" s="493">
        <v>814999.06759934197</v>
      </c>
      <c r="I49" s="659">
        <v>236789.87586792558</v>
      </c>
      <c r="J49" s="776">
        <v>0</v>
      </c>
      <c r="K49" s="493">
        <v>1440024.9260996287</v>
      </c>
      <c r="L49" s="659">
        <v>-137275.69011719729</v>
      </c>
      <c r="M49" s="608">
        <v>1302749.2359824313</v>
      </c>
      <c r="N49" s="687">
        <v>1.7747821393220033E-2</v>
      </c>
      <c r="O49" s="688"/>
      <c r="P49" s="608">
        <v>1369352.0755495587</v>
      </c>
      <c r="Q49" s="687">
        <v>1.7747821393220033E-2</v>
      </c>
      <c r="R49" s="688"/>
      <c r="S49" s="689">
        <v>8751971.6800000034</v>
      </c>
      <c r="T49" s="645">
        <v>3.6981220456331336E-2</v>
      </c>
      <c r="U49" s="492">
        <v>323658.59412564867</v>
      </c>
      <c r="V49" s="689">
        <v>7563739.3972307695</v>
      </c>
      <c r="W49" s="645">
        <v>0.1058855235162894</v>
      </c>
      <c r="X49" s="493">
        <v>800890.50581656327</v>
      </c>
      <c r="Y49" s="689">
        <v>251596.08</v>
      </c>
      <c r="Z49" s="776">
        <v>0</v>
      </c>
      <c r="AA49" s="493">
        <v>1376145.1799422121</v>
      </c>
      <c r="AB49" s="494">
        <v>-137275.69011719729</v>
      </c>
      <c r="AC49" s="608">
        <v>1238869.4898250147</v>
      </c>
      <c r="AD49" s="688"/>
      <c r="AE49" s="608">
        <v>-130482.58572454401</v>
      </c>
      <c r="AF49" s="608">
        <v>-555.97056926915388</v>
      </c>
      <c r="AG49" s="608">
        <v>-131038.55629381316</v>
      </c>
      <c r="AH49" s="486"/>
    </row>
    <row r="50" spans="1:34" ht="15">
      <c r="A50" s="686">
        <v>352</v>
      </c>
      <c r="B50" s="486" t="s">
        <v>651</v>
      </c>
      <c r="C50" s="659">
        <v>92883232.139999956</v>
      </c>
      <c r="D50" s="645">
        <v>4.4294504111359066E-2</v>
      </c>
      <c r="E50" s="492">
        <v>4114216.7079015467</v>
      </c>
      <c r="F50" s="659">
        <v>82745295.782481447</v>
      </c>
      <c r="G50" s="645">
        <v>0.10753816298309811</v>
      </c>
      <c r="H50" s="493">
        <v>8898277.10394115</v>
      </c>
      <c r="I50" s="659">
        <v>2509311.1075185253</v>
      </c>
      <c r="J50" s="776">
        <v>0</v>
      </c>
      <c r="K50" s="493">
        <v>15521804.919361223</v>
      </c>
      <c r="L50" s="659">
        <v>-1222146.1256743765</v>
      </c>
      <c r="M50" s="608">
        <v>14299658.793686846</v>
      </c>
      <c r="N50" s="687">
        <v>0.19480939481262141</v>
      </c>
      <c r="O50" s="688"/>
      <c r="P50" s="608">
        <v>15030726.488216992</v>
      </c>
      <c r="Q50" s="687">
        <v>0.19480939481262141</v>
      </c>
      <c r="R50" s="688"/>
      <c r="S50" s="689">
        <v>92879628.797692284</v>
      </c>
      <c r="T50" s="645">
        <v>3.6981220456331336E-2</v>
      </c>
      <c r="U50" s="492">
        <v>3434802.0284696789</v>
      </c>
      <c r="V50" s="689">
        <v>82847019.024615362</v>
      </c>
      <c r="W50" s="645">
        <v>0.1058855235162894</v>
      </c>
      <c r="X50" s="493">
        <v>8772299.9811853841</v>
      </c>
      <c r="Y50" s="689">
        <v>2407539.0600000005</v>
      </c>
      <c r="Z50" s="776">
        <v>0</v>
      </c>
      <c r="AA50" s="493">
        <v>14614641.069655063</v>
      </c>
      <c r="AB50" s="494">
        <v>-1222146.1256743765</v>
      </c>
      <c r="AC50" s="608">
        <v>13392494.943980686</v>
      </c>
      <c r="AD50" s="688"/>
      <c r="AE50" s="608">
        <v>-1638231.5442363061</v>
      </c>
      <c r="AF50" s="608">
        <v>-6980.3071359001997</v>
      </c>
      <c r="AG50" s="608">
        <v>-1645211.8513722064</v>
      </c>
      <c r="AH50" s="486"/>
    </row>
    <row r="51" spans="1:34" ht="15">
      <c r="A51" s="686">
        <v>356</v>
      </c>
      <c r="B51" s="486" t="s">
        <v>653</v>
      </c>
      <c r="C51" s="659">
        <v>139801186.19769228</v>
      </c>
      <c r="D51" s="645">
        <v>4.4294504111359066E-2</v>
      </c>
      <c r="E51" s="492">
        <v>6192424.2168065552</v>
      </c>
      <c r="F51" s="659">
        <v>138431784.09833592</v>
      </c>
      <c r="G51" s="645">
        <v>0.10753816298309811</v>
      </c>
      <c r="H51" s="493">
        <v>14886699.760407897</v>
      </c>
      <c r="I51" s="659">
        <v>2601148.1494534947</v>
      </c>
      <c r="J51" s="776">
        <v>0</v>
      </c>
      <c r="K51" s="493">
        <v>23680272.126667947</v>
      </c>
      <c r="L51" s="659">
        <v>-1422653.7058480422</v>
      </c>
      <c r="M51" s="608">
        <v>22257618.420819905</v>
      </c>
      <c r="N51" s="687">
        <v>0.3032235410011655</v>
      </c>
      <c r="O51" s="688"/>
      <c r="P51" s="608">
        <v>23395535.487192452</v>
      </c>
      <c r="Q51" s="687">
        <v>0.3032235410011655</v>
      </c>
      <c r="R51" s="688"/>
      <c r="S51" s="689">
        <v>138072579.35076925</v>
      </c>
      <c r="T51" s="645">
        <v>3.6981220456331336E-2</v>
      </c>
      <c r="U51" s="492">
        <v>5106092.4959450997</v>
      </c>
      <c r="V51" s="689">
        <v>136450205.56846154</v>
      </c>
      <c r="W51" s="645">
        <v>0.1058855235162894</v>
      </c>
      <c r="X51" s="493">
        <v>14448101.450521857</v>
      </c>
      <c r="Y51" s="689">
        <v>3040145.7200000007</v>
      </c>
      <c r="Z51" s="776">
        <v>0</v>
      </c>
      <c r="AA51" s="493">
        <v>22594339.666466959</v>
      </c>
      <c r="AB51" s="494">
        <v>-1422653.7058480422</v>
      </c>
      <c r="AC51" s="608">
        <v>21171685.960618917</v>
      </c>
      <c r="AD51" s="688"/>
      <c r="AE51" s="608">
        <v>-2223849.5265735351</v>
      </c>
      <c r="AF51" s="608">
        <v>-9475.5547676540136</v>
      </c>
      <c r="AG51" s="608">
        <v>-2233325.0813411889</v>
      </c>
      <c r="AH51" s="486"/>
    </row>
    <row r="52" spans="1:34" ht="15">
      <c r="A52" s="686">
        <v>1621</v>
      </c>
      <c r="B52" s="486" t="s">
        <v>721</v>
      </c>
      <c r="C52" s="659">
        <v>0</v>
      </c>
      <c r="D52" s="645">
        <v>4.4294504111359066E-2</v>
      </c>
      <c r="E52" s="492">
        <v>0</v>
      </c>
      <c r="F52" s="659">
        <v>0</v>
      </c>
      <c r="G52" s="645">
        <v>0.10753816298309811</v>
      </c>
      <c r="H52" s="493">
        <v>0</v>
      </c>
      <c r="I52" s="659">
        <v>0</v>
      </c>
      <c r="J52" s="776">
        <v>0</v>
      </c>
      <c r="K52" s="493">
        <v>0</v>
      </c>
      <c r="L52" s="659">
        <v>0</v>
      </c>
      <c r="M52" s="608">
        <v>0</v>
      </c>
      <c r="N52" s="687">
        <v>0</v>
      </c>
      <c r="O52" s="688"/>
      <c r="P52" s="608">
        <v>0</v>
      </c>
      <c r="Q52" s="687">
        <v>0</v>
      </c>
      <c r="R52" s="688"/>
      <c r="S52" s="689">
        <v>0</v>
      </c>
      <c r="T52" s="645">
        <v>3.6981220456331336E-2</v>
      </c>
      <c r="U52" s="492">
        <v>0</v>
      </c>
      <c r="V52" s="689">
        <v>0</v>
      </c>
      <c r="W52" s="645">
        <v>0.1058855235162894</v>
      </c>
      <c r="X52" s="493">
        <v>0</v>
      </c>
      <c r="Y52" s="689">
        <v>0</v>
      </c>
      <c r="Z52" s="776">
        <v>0</v>
      </c>
      <c r="AA52" s="493">
        <v>0</v>
      </c>
      <c r="AB52" s="494">
        <v>0</v>
      </c>
      <c r="AC52" s="608">
        <v>0</v>
      </c>
      <c r="AD52" s="688"/>
      <c r="AE52" s="608">
        <v>0</v>
      </c>
      <c r="AF52" s="608">
        <v>0</v>
      </c>
      <c r="AG52" s="608">
        <v>0</v>
      </c>
      <c r="AH52" s="486"/>
    </row>
    <row r="53" spans="1:34" ht="15">
      <c r="A53" s="686">
        <v>1712</v>
      </c>
      <c r="B53" s="486" t="s">
        <v>722</v>
      </c>
      <c r="C53" s="659">
        <v>0</v>
      </c>
      <c r="D53" s="645">
        <v>4.4294504111359066E-2</v>
      </c>
      <c r="E53" s="492">
        <v>0</v>
      </c>
      <c r="F53" s="659">
        <v>0</v>
      </c>
      <c r="G53" s="645">
        <v>0.10753816298309811</v>
      </c>
      <c r="H53" s="493">
        <v>0</v>
      </c>
      <c r="I53" s="659">
        <v>0</v>
      </c>
      <c r="J53" s="776">
        <v>0</v>
      </c>
      <c r="K53" s="493">
        <v>0</v>
      </c>
      <c r="L53" s="659">
        <v>0</v>
      </c>
      <c r="M53" s="608">
        <v>0</v>
      </c>
      <c r="N53" s="687">
        <v>0</v>
      </c>
      <c r="O53" s="688"/>
      <c r="P53" s="608">
        <v>0</v>
      </c>
      <c r="Q53" s="687">
        <v>0</v>
      </c>
      <c r="R53" s="688"/>
      <c r="S53" s="689">
        <v>0</v>
      </c>
      <c r="T53" s="645">
        <v>3.6981220456331336E-2</v>
      </c>
      <c r="U53" s="492">
        <v>0</v>
      </c>
      <c r="V53" s="689">
        <v>0</v>
      </c>
      <c r="W53" s="645">
        <v>0.1058855235162894</v>
      </c>
      <c r="X53" s="493">
        <v>0</v>
      </c>
      <c r="Y53" s="689">
        <v>0</v>
      </c>
      <c r="Z53" s="776">
        <v>0</v>
      </c>
      <c r="AA53" s="493">
        <v>0</v>
      </c>
      <c r="AB53" s="494">
        <v>0</v>
      </c>
      <c r="AC53" s="608">
        <v>0</v>
      </c>
      <c r="AD53" s="688"/>
      <c r="AE53" s="608">
        <v>0</v>
      </c>
      <c r="AF53" s="608">
        <v>0</v>
      </c>
      <c r="AG53" s="608">
        <v>0</v>
      </c>
      <c r="AH53" s="486"/>
    </row>
    <row r="54" spans="1:34" ht="15">
      <c r="A54" s="686">
        <v>1616</v>
      </c>
      <c r="B54" s="486" t="s">
        <v>655</v>
      </c>
      <c r="C54" s="659">
        <v>1382778.6099999999</v>
      </c>
      <c r="D54" s="645">
        <v>4.4294504111359066E-2</v>
      </c>
      <c r="E54" s="492">
        <v>61249.492825744368</v>
      </c>
      <c r="F54" s="659">
        <v>1200292.289939106</v>
      </c>
      <c r="G54" s="645">
        <v>0.10753816298309811</v>
      </c>
      <c r="H54" s="493">
        <v>129077.22790282762</v>
      </c>
      <c r="I54" s="659">
        <v>37356.815060893605</v>
      </c>
      <c r="J54" s="776">
        <v>0</v>
      </c>
      <c r="K54" s="493">
        <v>227683.53578946559</v>
      </c>
      <c r="L54" s="659">
        <v>1854.8827152634885</v>
      </c>
      <c r="M54" s="608">
        <v>229538.41850472908</v>
      </c>
      <c r="N54" s="687">
        <v>3.1270844318952743E-3</v>
      </c>
      <c r="O54" s="688"/>
      <c r="P54" s="608">
        <v>241273.53224719362</v>
      </c>
      <c r="Q54" s="687">
        <v>3.1270844318952743E-3</v>
      </c>
      <c r="R54" s="688"/>
      <c r="S54" s="689">
        <v>1379725.8599999999</v>
      </c>
      <c r="T54" s="645">
        <v>3.6981220456331336E-2</v>
      </c>
      <c r="U54" s="492">
        <v>51023.946197961341</v>
      </c>
      <c r="V54" s="689">
        <v>1199461.73</v>
      </c>
      <c r="W54" s="645">
        <v>0.1058855235162894</v>
      </c>
      <c r="X54" s="493">
        <v>127005.63321880416</v>
      </c>
      <c r="Y54" s="689">
        <v>76292.640000000014</v>
      </c>
      <c r="Z54" s="776">
        <v>0</v>
      </c>
      <c r="AA54" s="493">
        <v>254322.2194167655</v>
      </c>
      <c r="AB54" s="494">
        <v>1854.8827152634885</v>
      </c>
      <c r="AC54" s="608">
        <v>256177.10213202899</v>
      </c>
      <c r="AD54" s="688"/>
      <c r="AE54" s="608">
        <v>14903.569884835364</v>
      </c>
      <c r="AF54" s="608">
        <v>63.502314787864698</v>
      </c>
      <c r="AG54" s="608">
        <v>14967.07219962323</v>
      </c>
      <c r="AH54" s="486"/>
    </row>
    <row r="55" spans="1:34" ht="15">
      <c r="A55" s="686" t="s">
        <v>471</v>
      </c>
      <c r="B55" s="486" t="s">
        <v>657</v>
      </c>
      <c r="C55" s="659">
        <v>2147722.77</v>
      </c>
      <c r="D55" s="645">
        <v>4.4294504111359066E-2</v>
      </c>
      <c r="E55" s="492">
        <v>95132.315065824485</v>
      </c>
      <c r="F55" s="659">
        <v>2069403.4970991446</v>
      </c>
      <c r="G55" s="645">
        <v>0.10753816298309811</v>
      </c>
      <c r="H55" s="493">
        <v>222539.850548841</v>
      </c>
      <c r="I55" s="659">
        <v>58022.362900855194</v>
      </c>
      <c r="J55" s="776">
        <v>0</v>
      </c>
      <c r="K55" s="493">
        <v>375694.52851552068</v>
      </c>
      <c r="L55" s="659">
        <v>-904.05537991300605</v>
      </c>
      <c r="M55" s="608">
        <v>374790.47313560767</v>
      </c>
      <c r="N55" s="687">
        <v>5.1059054140031746E-3</v>
      </c>
      <c r="O55" s="688"/>
      <c r="P55" s="608">
        <v>393951.57418566057</v>
      </c>
      <c r="Q55" s="687">
        <v>5.1059054140031746E-3</v>
      </c>
      <c r="R55" s="688"/>
      <c r="S55" s="689">
        <v>2147722.77</v>
      </c>
      <c r="T55" s="645">
        <v>3.6981220456331336E-2</v>
      </c>
      <c r="U55" s="492">
        <v>79425.4092364526</v>
      </c>
      <c r="V55" s="689">
        <v>2067188.4649999999</v>
      </c>
      <c r="W55" s="645">
        <v>0.1058855235162894</v>
      </c>
      <c r="X55" s="493">
        <v>218885.33282335967</v>
      </c>
      <c r="Y55" s="689">
        <v>119407.43999999997</v>
      </c>
      <c r="Z55" s="776">
        <v>0</v>
      </c>
      <c r="AA55" s="493">
        <v>417718.18205981224</v>
      </c>
      <c r="AB55" s="494">
        <v>-904.05537991300605</v>
      </c>
      <c r="AC55" s="608">
        <v>416814.12667989923</v>
      </c>
      <c r="AD55" s="688"/>
      <c r="AE55" s="608">
        <v>22862.552494238655</v>
      </c>
      <c r="AF55" s="608">
        <v>97.414580302701893</v>
      </c>
      <c r="AG55" s="608">
        <v>22959.967074541357</v>
      </c>
      <c r="AH55" s="486"/>
    </row>
    <row r="56" spans="1:34" ht="15">
      <c r="A56" s="686">
        <v>3161</v>
      </c>
      <c r="B56" s="486" t="s">
        <v>723</v>
      </c>
      <c r="C56" s="659">
        <v>0</v>
      </c>
      <c r="D56" s="645">
        <v>4.4294504111359066E-2</v>
      </c>
      <c r="E56" s="492">
        <v>0</v>
      </c>
      <c r="F56" s="659">
        <v>0</v>
      </c>
      <c r="G56" s="645">
        <v>0.10753816298309811</v>
      </c>
      <c r="H56" s="493">
        <v>0</v>
      </c>
      <c r="I56" s="659">
        <v>0</v>
      </c>
      <c r="J56" s="776">
        <v>0</v>
      </c>
      <c r="K56" s="493">
        <v>0</v>
      </c>
      <c r="L56" s="659">
        <v>0</v>
      </c>
      <c r="M56" s="608">
        <v>0</v>
      </c>
      <c r="N56" s="687">
        <v>0</v>
      </c>
      <c r="O56" s="688"/>
      <c r="P56" s="608">
        <v>0</v>
      </c>
      <c r="Q56" s="687">
        <v>0</v>
      </c>
      <c r="R56" s="688"/>
      <c r="S56" s="689">
        <v>0</v>
      </c>
      <c r="T56" s="645">
        <v>3.6981220456331336E-2</v>
      </c>
      <c r="U56" s="492">
        <v>0</v>
      </c>
      <c r="V56" s="689">
        <v>0</v>
      </c>
      <c r="W56" s="645">
        <v>0.1058855235162894</v>
      </c>
      <c r="X56" s="493">
        <v>0</v>
      </c>
      <c r="Y56" s="689">
        <v>0</v>
      </c>
      <c r="Z56" s="776">
        <v>0</v>
      </c>
      <c r="AA56" s="493">
        <v>0</v>
      </c>
      <c r="AB56" s="494">
        <v>0</v>
      </c>
      <c r="AC56" s="608">
        <v>0</v>
      </c>
      <c r="AD56" s="688"/>
      <c r="AE56" s="608">
        <v>0</v>
      </c>
      <c r="AF56" s="608">
        <v>0</v>
      </c>
      <c r="AG56" s="608">
        <v>0</v>
      </c>
      <c r="AH56" s="486"/>
    </row>
    <row r="57" spans="1:34" ht="15">
      <c r="A57" s="686">
        <v>2837</v>
      </c>
      <c r="B57" s="486" t="s">
        <v>663</v>
      </c>
      <c r="C57" s="659">
        <v>628135.42999999982</v>
      </c>
      <c r="D57" s="645">
        <v>4.4294504111359066E-2</v>
      </c>
      <c r="E57" s="492">
        <v>27822.947386625288</v>
      </c>
      <c r="F57" s="659">
        <v>603471.19897562324</v>
      </c>
      <c r="G57" s="645">
        <v>0.10753816298309811</v>
      </c>
      <c r="H57" s="493">
        <v>64896.184151046204</v>
      </c>
      <c r="I57" s="659">
        <v>16969.556024376805</v>
      </c>
      <c r="J57" s="776">
        <v>0</v>
      </c>
      <c r="K57" s="493">
        <v>109688.68756204829</v>
      </c>
      <c r="L57" s="659">
        <v>0</v>
      </c>
      <c r="M57" s="608">
        <v>109688.68756204829</v>
      </c>
      <c r="N57" s="687">
        <v>1.4943284416819279E-3</v>
      </c>
      <c r="O57" s="688"/>
      <c r="P57" s="608">
        <v>115296.5036008077</v>
      </c>
      <c r="Q57" s="687">
        <v>1.4943284416819279E-3</v>
      </c>
      <c r="R57" s="688"/>
      <c r="S57" s="689">
        <v>626602.79500000004</v>
      </c>
      <c r="T57" s="645">
        <v>3.6981220456331336E-2</v>
      </c>
      <c r="U57" s="492">
        <v>23172.536100448393</v>
      </c>
      <c r="V57" s="689">
        <v>600582.11</v>
      </c>
      <c r="W57" s="645">
        <v>0.1058855235162894</v>
      </c>
      <c r="X57" s="493">
        <v>63592.951131867703</v>
      </c>
      <c r="Y57" s="689">
        <v>36557.87999999999</v>
      </c>
      <c r="Z57" s="776">
        <v>0</v>
      </c>
      <c r="AA57" s="493">
        <v>123323.36723231609</v>
      </c>
      <c r="AB57" s="494">
        <v>0</v>
      </c>
      <c r="AC57" s="608">
        <v>123323.36723231609</v>
      </c>
      <c r="AD57" s="688"/>
      <c r="AE57" s="608">
        <v>8026.8636315083859</v>
      </c>
      <c r="AF57" s="608">
        <v>34.201498367579809</v>
      </c>
      <c r="AG57" s="608">
        <v>8061.0651298759658</v>
      </c>
      <c r="AH57" s="486"/>
    </row>
    <row r="58" spans="1:34" ht="15">
      <c r="A58" s="686">
        <v>2793</v>
      </c>
      <c r="B58" s="486" t="s">
        <v>665</v>
      </c>
      <c r="C58" s="659">
        <v>405929.96499999991</v>
      </c>
      <c r="D58" s="645">
        <v>4.4294504111359066E-2</v>
      </c>
      <c r="E58" s="492">
        <v>17980.466503616339</v>
      </c>
      <c r="F58" s="659">
        <v>387589.0584887517</v>
      </c>
      <c r="G58" s="645">
        <v>0.10753816298309811</v>
      </c>
      <c r="H58" s="493">
        <v>41680.615342228928</v>
      </c>
      <c r="I58" s="659">
        <v>10966.506511248399</v>
      </c>
      <c r="J58" s="776">
        <v>0</v>
      </c>
      <c r="K58" s="493">
        <v>70627.588357093671</v>
      </c>
      <c r="L58" s="659">
        <v>-25771.58026706686</v>
      </c>
      <c r="M58" s="608">
        <v>44856.008090026808</v>
      </c>
      <c r="N58" s="687">
        <v>6.1108953128210825E-4</v>
      </c>
      <c r="O58" s="688"/>
      <c r="P58" s="608">
        <v>47149.264096574261</v>
      </c>
      <c r="Q58" s="687">
        <v>6.1108953128210825E-4</v>
      </c>
      <c r="R58" s="688"/>
      <c r="S58" s="689">
        <v>405929.96499999991</v>
      </c>
      <c r="T58" s="645">
        <v>3.6981220456331336E-2</v>
      </c>
      <c r="U58" s="492">
        <v>15011.785525495859</v>
      </c>
      <c r="V58" s="689">
        <v>380857.00499999995</v>
      </c>
      <c r="W58" s="645">
        <v>0.1058855235162894</v>
      </c>
      <c r="X58" s="493">
        <v>40327.243359271044</v>
      </c>
      <c r="Y58" s="689">
        <v>35397.12000000001</v>
      </c>
      <c r="Z58" s="776">
        <v>0</v>
      </c>
      <c r="AA58" s="493">
        <v>90736.14888476691</v>
      </c>
      <c r="AB58" s="494">
        <v>-25771.58026706686</v>
      </c>
      <c r="AC58" s="608">
        <v>64964.568617700046</v>
      </c>
      <c r="AD58" s="688"/>
      <c r="AE58" s="608">
        <v>17815.304521125785</v>
      </c>
      <c r="AF58" s="608">
        <v>75.908865089654057</v>
      </c>
      <c r="AG58" s="608">
        <v>17891.213386215441</v>
      </c>
      <c r="AH58" s="486"/>
    </row>
    <row r="59" spans="1:34" ht="15">
      <c r="A59" s="686">
        <v>1950</v>
      </c>
      <c r="B59" s="486" t="s">
        <v>659</v>
      </c>
      <c r="C59" s="659">
        <v>15402302.789999994</v>
      </c>
      <c r="D59" s="645">
        <v>4.4294504111359066E-2</v>
      </c>
      <c r="E59" s="492">
        <v>682237.36425605195</v>
      </c>
      <c r="F59" s="659">
        <v>14554812.534378029</v>
      </c>
      <c r="G59" s="645">
        <v>0.10753816298309811</v>
      </c>
      <c r="H59" s="493">
        <v>1565197.8025103838</v>
      </c>
      <c r="I59" s="659">
        <v>416104.91562197031</v>
      </c>
      <c r="J59" s="776">
        <v>0</v>
      </c>
      <c r="K59" s="493">
        <v>2663540.0823884062</v>
      </c>
      <c r="L59" s="659">
        <v>230842.3575688994</v>
      </c>
      <c r="M59" s="608">
        <v>2894382.4399573058</v>
      </c>
      <c r="N59" s="687">
        <v>3.943121298343822E-2</v>
      </c>
      <c r="O59" s="688"/>
      <c r="P59" s="608">
        <v>3042357.2642518766</v>
      </c>
      <c r="Q59" s="687">
        <v>3.943121298343822E-2</v>
      </c>
      <c r="R59" s="688"/>
      <c r="S59" s="689">
        <v>15402302.789999994</v>
      </c>
      <c r="T59" s="645">
        <v>3.6981220456331336E-2</v>
      </c>
      <c r="U59" s="492">
        <v>569595.95501215698</v>
      </c>
      <c r="V59" s="689">
        <v>14514794.929999998</v>
      </c>
      <c r="W59" s="645">
        <v>0.1058855235162894</v>
      </c>
      <c r="X59" s="493">
        <v>1536906.6598946329</v>
      </c>
      <c r="Y59" s="689">
        <v>456122.52000000008</v>
      </c>
      <c r="Z59" s="776">
        <v>0</v>
      </c>
      <c r="AA59" s="493">
        <v>2562625.1349067898</v>
      </c>
      <c r="AB59" s="494">
        <v>230842.3575688994</v>
      </c>
      <c r="AC59" s="608">
        <v>2793467.4924756894</v>
      </c>
      <c r="AD59" s="688"/>
      <c r="AE59" s="608">
        <v>-248889.77177618723</v>
      </c>
      <c r="AF59" s="608">
        <v>-1060.4893161129926</v>
      </c>
      <c r="AG59" s="608">
        <v>-249950.26109230024</v>
      </c>
      <c r="AH59" s="486"/>
    </row>
    <row r="60" spans="1:34" ht="15">
      <c r="A60" s="686">
        <v>3206</v>
      </c>
      <c r="B60" s="486" t="s">
        <v>671</v>
      </c>
      <c r="C60" s="659">
        <v>989927.48846153845</v>
      </c>
      <c r="D60" s="645">
        <v>4.4294504111359066E-2</v>
      </c>
      <c r="E60" s="492">
        <v>43848.347207606967</v>
      </c>
      <c r="F60" s="659">
        <v>989927.48846153845</v>
      </c>
      <c r="G60" s="645">
        <v>0.10753816298309811</v>
      </c>
      <c r="H60" s="493">
        <v>106454.98359562589</v>
      </c>
      <c r="I60" s="659">
        <v>0</v>
      </c>
      <c r="J60" s="776">
        <v>0</v>
      </c>
      <c r="K60" s="493">
        <v>150303.33080323285</v>
      </c>
      <c r="L60" s="659">
        <v>0</v>
      </c>
      <c r="M60" s="608">
        <v>150303.33080323285</v>
      </c>
      <c r="N60" s="687">
        <v>2.0476363341638665E-3</v>
      </c>
      <c r="O60" s="688"/>
      <c r="P60" s="608">
        <v>157987.56377101759</v>
      </c>
      <c r="Q60" s="687">
        <v>2.0476363341638665E-3</v>
      </c>
      <c r="R60" s="688"/>
      <c r="S60" s="689">
        <v>0</v>
      </c>
      <c r="T60" s="645">
        <v>3.6981220456331336E-2</v>
      </c>
      <c r="U60" s="492">
        <v>0</v>
      </c>
      <c r="V60" s="689">
        <v>0</v>
      </c>
      <c r="W60" s="645">
        <v>0.1058855235162894</v>
      </c>
      <c r="X60" s="493">
        <v>0</v>
      </c>
      <c r="Y60" s="689">
        <v>0</v>
      </c>
      <c r="Z60" s="776">
        <v>179313.55999999994</v>
      </c>
      <c r="AA60" s="493">
        <v>179313.55999999994</v>
      </c>
      <c r="AB60" s="494">
        <v>0</v>
      </c>
      <c r="AC60" s="608">
        <v>179313.55999999994</v>
      </c>
      <c r="AD60" s="688"/>
      <c r="AE60" s="608">
        <v>21325.996228982345</v>
      </c>
      <c r="AF60" s="608">
        <v>90.867499274494293</v>
      </c>
      <c r="AG60" s="608">
        <v>21416.863728256838</v>
      </c>
      <c r="AH60" s="486"/>
    </row>
    <row r="61" spans="1:34" ht="15">
      <c r="A61" s="686">
        <v>2846</v>
      </c>
      <c r="B61" s="486" t="s">
        <v>661</v>
      </c>
      <c r="C61" s="659">
        <v>68530006.26846154</v>
      </c>
      <c r="D61" s="645">
        <v>4.4294504111359066E-2</v>
      </c>
      <c r="E61" s="492">
        <v>3035502.6444098321</v>
      </c>
      <c r="F61" s="659">
        <v>68412306.530013293</v>
      </c>
      <c r="G61" s="645">
        <v>0.10753816298309811</v>
      </c>
      <c r="H61" s="493">
        <v>7356933.7696742369</v>
      </c>
      <c r="I61" s="659">
        <v>325052.6570432263</v>
      </c>
      <c r="J61" s="776">
        <v>0</v>
      </c>
      <c r="K61" s="493">
        <v>10717489.071127295</v>
      </c>
      <c r="L61" s="659">
        <v>164155.84411879614</v>
      </c>
      <c r="M61" s="608">
        <v>10881644.915246092</v>
      </c>
      <c r="N61" s="687">
        <v>0.14824456241157452</v>
      </c>
      <c r="O61" s="688"/>
      <c r="P61" s="608">
        <v>11437967.214656256</v>
      </c>
      <c r="Q61" s="687">
        <v>0.14824456241157452</v>
      </c>
      <c r="R61" s="688"/>
      <c r="S61" s="689">
        <v>66221517.537692308</v>
      </c>
      <c r="T61" s="645">
        <v>3.6981220456331336E-2</v>
      </c>
      <c r="U61" s="492">
        <v>2448952.5390142109</v>
      </c>
      <c r="V61" s="689">
        <v>66117244.606153846</v>
      </c>
      <c r="W61" s="645">
        <v>0.1058855235162894</v>
      </c>
      <c r="X61" s="493">
        <v>7000859.0585771613</v>
      </c>
      <c r="Y61" s="689">
        <v>307098.11</v>
      </c>
      <c r="Z61" s="776">
        <v>0</v>
      </c>
      <c r="AA61" s="493">
        <v>9756909.7075913716</v>
      </c>
      <c r="AB61" s="494">
        <v>164155.84411879614</v>
      </c>
      <c r="AC61" s="608">
        <v>9921065.5517101679</v>
      </c>
      <c r="AD61" s="688"/>
      <c r="AE61" s="608">
        <v>-1516901.6629460882</v>
      </c>
      <c r="AF61" s="608">
        <v>-6463.3351369494412</v>
      </c>
      <c r="AG61" s="608">
        <v>-1523364.9980830378</v>
      </c>
      <c r="AH61" s="486"/>
    </row>
    <row r="62" spans="1:34" ht="15">
      <c r="A62" s="686">
        <v>1270</v>
      </c>
      <c r="B62" s="486" t="s">
        <v>667</v>
      </c>
      <c r="C62" s="659">
        <v>0</v>
      </c>
      <c r="D62" s="645">
        <v>4.4294504111359066E-2</v>
      </c>
      <c r="E62" s="492">
        <v>0</v>
      </c>
      <c r="F62" s="659">
        <v>0</v>
      </c>
      <c r="G62" s="645">
        <v>0.10753816298309811</v>
      </c>
      <c r="H62" s="493">
        <v>0</v>
      </c>
      <c r="I62" s="659">
        <v>0</v>
      </c>
      <c r="J62" s="776">
        <v>0</v>
      </c>
      <c r="K62" s="493">
        <v>0</v>
      </c>
      <c r="L62" s="659">
        <v>0</v>
      </c>
      <c r="M62" s="608">
        <v>0</v>
      </c>
      <c r="N62" s="687">
        <v>0</v>
      </c>
      <c r="O62" s="688"/>
      <c r="P62" s="608">
        <v>0</v>
      </c>
      <c r="Q62" s="687">
        <v>0</v>
      </c>
      <c r="R62" s="688"/>
      <c r="S62" s="689">
        <v>0</v>
      </c>
      <c r="T62" s="645">
        <v>3.6981220456331336E-2</v>
      </c>
      <c r="U62" s="492">
        <v>0</v>
      </c>
      <c r="V62" s="689">
        <v>0</v>
      </c>
      <c r="W62" s="645">
        <v>0.1058855235162894</v>
      </c>
      <c r="X62" s="493">
        <v>0</v>
      </c>
      <c r="Y62" s="689">
        <v>0</v>
      </c>
      <c r="Z62" s="776">
        <v>403444.35</v>
      </c>
      <c r="AA62" s="493">
        <v>403444.35</v>
      </c>
      <c r="AB62" s="494">
        <v>0</v>
      </c>
      <c r="AC62" s="608">
        <v>403444.35</v>
      </c>
      <c r="AD62" s="688"/>
      <c r="AE62" s="608">
        <v>403444.35</v>
      </c>
      <c r="AF62" s="608">
        <v>1719.0277437591574</v>
      </c>
      <c r="AG62" s="608">
        <v>405163.37774375913</v>
      </c>
      <c r="AH62" s="486"/>
    </row>
    <row r="63" spans="1:34" ht="15">
      <c r="A63" s="686">
        <v>3125</v>
      </c>
      <c r="B63" s="486" t="s">
        <v>669</v>
      </c>
      <c r="C63" s="659">
        <v>0</v>
      </c>
      <c r="D63" s="645">
        <v>4.4294504111359066E-2</v>
      </c>
      <c r="E63" s="492">
        <v>0</v>
      </c>
      <c r="F63" s="659">
        <v>0</v>
      </c>
      <c r="G63" s="645">
        <v>0.10753816298309811</v>
      </c>
      <c r="H63" s="493">
        <v>0</v>
      </c>
      <c r="I63" s="659">
        <v>0</v>
      </c>
      <c r="J63" s="776">
        <v>0</v>
      </c>
      <c r="K63" s="493">
        <v>0</v>
      </c>
      <c r="L63" s="659">
        <v>0</v>
      </c>
      <c r="M63" s="608">
        <v>0</v>
      </c>
      <c r="N63" s="687">
        <v>0</v>
      </c>
      <c r="O63" s="688"/>
      <c r="P63" s="608">
        <v>0</v>
      </c>
      <c r="Q63" s="687">
        <v>0</v>
      </c>
      <c r="R63" s="688"/>
      <c r="S63" s="689">
        <v>1397137.2084615384</v>
      </c>
      <c r="T63" s="645">
        <v>3.6981220456331336E-2</v>
      </c>
      <c r="U63" s="492">
        <v>51667.839113859503</v>
      </c>
      <c r="V63" s="689">
        <v>1397137.2084615384</v>
      </c>
      <c r="W63" s="645">
        <v>0.1058855235162894</v>
      </c>
      <c r="X63" s="493">
        <v>147936.60474203713</v>
      </c>
      <c r="Y63" s="689">
        <v>0</v>
      </c>
      <c r="Z63" s="776">
        <v>0</v>
      </c>
      <c r="AA63" s="493">
        <v>199604.44385589665</v>
      </c>
      <c r="AB63" s="494">
        <v>0</v>
      </c>
      <c r="AC63" s="608">
        <v>199604.44385589665</v>
      </c>
      <c r="AD63" s="688"/>
      <c r="AE63" s="608">
        <v>199604.44385589665</v>
      </c>
      <c r="AF63" s="608">
        <v>850.49047474801284</v>
      </c>
      <c r="AG63" s="608">
        <v>200454.93433064467</v>
      </c>
      <c r="AH63" s="486"/>
    </row>
    <row r="64" spans="1:34" ht="15">
      <c r="A64" s="686">
        <v>3679</v>
      </c>
      <c r="B64" s="486" t="s">
        <v>784</v>
      </c>
      <c r="C64" s="659">
        <v>0</v>
      </c>
      <c r="D64" s="645">
        <v>4.4294504111359066E-2</v>
      </c>
      <c r="E64" s="492">
        <v>0</v>
      </c>
      <c r="F64" s="659">
        <v>0</v>
      </c>
      <c r="G64" s="645">
        <v>0.10753816298309811</v>
      </c>
      <c r="H64" s="493">
        <v>0</v>
      </c>
      <c r="I64" s="659">
        <v>0</v>
      </c>
      <c r="J64" s="776">
        <v>0</v>
      </c>
      <c r="K64" s="493">
        <v>0</v>
      </c>
      <c r="L64" s="659">
        <v>0</v>
      </c>
      <c r="M64" s="608">
        <v>0</v>
      </c>
      <c r="N64" s="687">
        <v>0</v>
      </c>
      <c r="O64" s="688"/>
      <c r="P64" s="608">
        <v>0</v>
      </c>
      <c r="Q64" s="687">
        <v>0</v>
      </c>
      <c r="R64" s="688"/>
      <c r="S64" s="689">
        <v>0</v>
      </c>
      <c r="T64" s="645">
        <v>3.6981220456331336E-2</v>
      </c>
      <c r="U64" s="492">
        <v>0</v>
      </c>
      <c r="V64" s="689">
        <v>0</v>
      </c>
      <c r="W64" s="645">
        <v>0.1058855235162894</v>
      </c>
      <c r="X64" s="493">
        <v>0</v>
      </c>
      <c r="Y64" s="689">
        <v>0</v>
      </c>
      <c r="Z64" s="776">
        <v>8307296.9499999993</v>
      </c>
      <c r="AA64" s="493">
        <v>8307296.9499999993</v>
      </c>
      <c r="AB64" s="494">
        <v>0</v>
      </c>
      <c r="AC64" s="608">
        <v>8307296.9499999993</v>
      </c>
      <c r="AD64" s="688"/>
      <c r="AE64" s="608">
        <v>8307296.9499999993</v>
      </c>
      <c r="AF64" s="608">
        <v>35396.390933956143</v>
      </c>
      <c r="AG64" s="608">
        <v>8342693.3409339553</v>
      </c>
      <c r="AH64" s="486"/>
    </row>
    <row r="65" spans="1:34" ht="15">
      <c r="A65" s="686">
        <v>3951</v>
      </c>
      <c r="B65" s="486" t="s">
        <v>785</v>
      </c>
      <c r="C65" s="659">
        <v>0</v>
      </c>
      <c r="D65" s="645">
        <v>4.4294504111359066E-2</v>
      </c>
      <c r="E65" s="492">
        <v>0</v>
      </c>
      <c r="F65" s="659">
        <v>0</v>
      </c>
      <c r="G65" s="645">
        <v>0.10753816298309811</v>
      </c>
      <c r="H65" s="493">
        <v>0</v>
      </c>
      <c r="I65" s="659">
        <v>0</v>
      </c>
      <c r="J65" s="776">
        <v>0</v>
      </c>
      <c r="K65" s="493">
        <v>0</v>
      </c>
      <c r="L65" s="659">
        <v>0</v>
      </c>
      <c r="M65" s="608">
        <v>0</v>
      </c>
      <c r="N65" s="687">
        <v>0</v>
      </c>
      <c r="O65" s="688"/>
      <c r="P65" s="608">
        <v>0</v>
      </c>
      <c r="Q65" s="687">
        <v>0</v>
      </c>
      <c r="R65" s="688"/>
      <c r="S65" s="689">
        <v>0</v>
      </c>
      <c r="T65" s="645">
        <v>3.6981220456331336E-2</v>
      </c>
      <c r="U65" s="492">
        <v>0</v>
      </c>
      <c r="V65" s="689">
        <v>0</v>
      </c>
      <c r="W65" s="645">
        <v>0.1058855235162894</v>
      </c>
      <c r="X65" s="493">
        <v>0</v>
      </c>
      <c r="Y65" s="689">
        <v>0</v>
      </c>
      <c r="Z65" s="776">
        <v>0</v>
      </c>
      <c r="AA65" s="493">
        <v>0</v>
      </c>
      <c r="AB65" s="494">
        <v>0</v>
      </c>
      <c r="AC65" s="608">
        <v>0</v>
      </c>
      <c r="AD65" s="688"/>
      <c r="AE65" s="608">
        <v>0</v>
      </c>
      <c r="AF65" s="608">
        <v>0</v>
      </c>
      <c r="AG65" s="608">
        <v>0</v>
      </c>
      <c r="AH65" s="486"/>
    </row>
    <row r="66" spans="1:34" ht="15">
      <c r="A66" s="686">
        <v>3950</v>
      </c>
      <c r="B66" s="486" t="s">
        <v>786</v>
      </c>
      <c r="C66" s="659">
        <v>0</v>
      </c>
      <c r="D66" s="645">
        <v>4.4294504111359066E-2</v>
      </c>
      <c r="E66" s="492">
        <v>0</v>
      </c>
      <c r="F66" s="659">
        <v>0</v>
      </c>
      <c r="G66" s="645">
        <v>0.10753816298309811</v>
      </c>
      <c r="H66" s="493">
        <v>0</v>
      </c>
      <c r="I66" s="659">
        <v>0</v>
      </c>
      <c r="J66" s="776">
        <v>0</v>
      </c>
      <c r="K66" s="493">
        <v>0</v>
      </c>
      <c r="L66" s="659">
        <v>0</v>
      </c>
      <c r="M66" s="608">
        <v>0</v>
      </c>
      <c r="N66" s="687">
        <v>0</v>
      </c>
      <c r="O66" s="688"/>
      <c r="P66" s="608">
        <v>0</v>
      </c>
      <c r="Q66" s="687">
        <v>0</v>
      </c>
      <c r="R66" s="688"/>
      <c r="S66" s="689">
        <v>0</v>
      </c>
      <c r="T66" s="645">
        <v>3.6981220456331336E-2</v>
      </c>
      <c r="U66" s="492">
        <v>0</v>
      </c>
      <c r="V66" s="689">
        <v>0</v>
      </c>
      <c r="W66" s="645">
        <v>0.1058855235162894</v>
      </c>
      <c r="X66" s="493">
        <v>0</v>
      </c>
      <c r="Y66" s="689">
        <v>0</v>
      </c>
      <c r="Z66" s="776">
        <v>0</v>
      </c>
      <c r="AA66" s="493">
        <v>0</v>
      </c>
      <c r="AB66" s="494">
        <v>0</v>
      </c>
      <c r="AC66" s="608">
        <v>0</v>
      </c>
      <c r="AD66" s="688"/>
      <c r="AE66" s="608">
        <v>0</v>
      </c>
      <c r="AF66" s="608">
        <v>0</v>
      </c>
      <c r="AG66" s="608">
        <v>0</v>
      </c>
      <c r="AH66" s="486"/>
    </row>
    <row r="67" spans="1:34" ht="15">
      <c r="A67" s="686">
        <v>3953</v>
      </c>
      <c r="B67" s="486" t="s">
        <v>787</v>
      </c>
      <c r="C67" s="659">
        <v>0</v>
      </c>
      <c r="D67" s="645">
        <v>4.4294504111359066E-2</v>
      </c>
      <c r="E67" s="492">
        <v>0</v>
      </c>
      <c r="F67" s="659">
        <v>0</v>
      </c>
      <c r="G67" s="645">
        <v>0.10753816298309811</v>
      </c>
      <c r="H67" s="493">
        <v>0</v>
      </c>
      <c r="I67" s="659">
        <v>0</v>
      </c>
      <c r="J67" s="776">
        <v>0</v>
      </c>
      <c r="K67" s="493">
        <v>0</v>
      </c>
      <c r="L67" s="659">
        <v>0</v>
      </c>
      <c r="M67" s="608">
        <v>0</v>
      </c>
      <c r="N67" s="687">
        <v>0</v>
      </c>
      <c r="O67" s="688"/>
      <c r="P67" s="608">
        <v>0</v>
      </c>
      <c r="Q67" s="687">
        <v>0</v>
      </c>
      <c r="R67" s="688"/>
      <c r="S67" s="689">
        <v>0</v>
      </c>
      <c r="T67" s="645">
        <v>3.6981220456331336E-2</v>
      </c>
      <c r="U67" s="492">
        <v>0</v>
      </c>
      <c r="V67" s="689">
        <v>0</v>
      </c>
      <c r="W67" s="645">
        <v>0.1058855235162894</v>
      </c>
      <c r="X67" s="493">
        <v>0</v>
      </c>
      <c r="Y67" s="689">
        <v>0</v>
      </c>
      <c r="Z67" s="776">
        <v>0</v>
      </c>
      <c r="AA67" s="493">
        <v>0</v>
      </c>
      <c r="AB67" s="494">
        <v>0</v>
      </c>
      <c r="AC67" s="608">
        <v>0</v>
      </c>
      <c r="AD67" s="688"/>
      <c r="AE67" s="608">
        <v>0</v>
      </c>
      <c r="AF67" s="608">
        <v>0</v>
      </c>
      <c r="AG67" s="608">
        <v>0</v>
      </c>
      <c r="AH67" s="486"/>
    </row>
    <row r="68" spans="1:34" ht="15">
      <c r="A68" s="686">
        <v>3838</v>
      </c>
      <c r="B68" s="486" t="s">
        <v>788</v>
      </c>
      <c r="C68" s="659">
        <v>0</v>
      </c>
      <c r="D68" s="645">
        <v>4.4294504111359066E-2</v>
      </c>
      <c r="E68" s="492">
        <v>0</v>
      </c>
      <c r="F68" s="659">
        <v>0</v>
      </c>
      <c r="G68" s="645">
        <v>0.10753816298309811</v>
      </c>
      <c r="H68" s="493">
        <v>0</v>
      </c>
      <c r="I68" s="659">
        <v>0</v>
      </c>
      <c r="J68" s="776">
        <v>0</v>
      </c>
      <c r="K68" s="493">
        <v>0</v>
      </c>
      <c r="L68" s="659">
        <v>0</v>
      </c>
      <c r="M68" s="608">
        <v>0</v>
      </c>
      <c r="N68" s="687">
        <v>0</v>
      </c>
      <c r="O68" s="688"/>
      <c r="P68" s="608">
        <v>0</v>
      </c>
      <c r="Q68" s="687">
        <v>0</v>
      </c>
      <c r="R68" s="688"/>
      <c r="S68" s="689">
        <v>0</v>
      </c>
      <c r="T68" s="645">
        <v>3.6981220456331336E-2</v>
      </c>
      <c r="U68" s="492">
        <v>0</v>
      </c>
      <c r="V68" s="689">
        <v>0</v>
      </c>
      <c r="W68" s="645">
        <v>0.1058855235162894</v>
      </c>
      <c r="X68" s="493">
        <v>0</v>
      </c>
      <c r="Y68" s="689">
        <v>0</v>
      </c>
      <c r="Z68" s="776">
        <v>0</v>
      </c>
      <c r="AA68" s="493">
        <v>0</v>
      </c>
      <c r="AB68" s="494">
        <v>0</v>
      </c>
      <c r="AC68" s="608">
        <v>0</v>
      </c>
      <c r="AD68" s="688"/>
      <c r="AE68" s="608">
        <v>0</v>
      </c>
      <c r="AF68" s="608">
        <v>0</v>
      </c>
      <c r="AG68" s="608">
        <v>0</v>
      </c>
      <c r="AH68" s="486"/>
    </row>
    <row r="69" spans="1:34" ht="15">
      <c r="A69" s="686">
        <v>3681</v>
      </c>
      <c r="B69" s="486" t="s">
        <v>789</v>
      </c>
      <c r="C69" s="659">
        <v>0</v>
      </c>
      <c r="D69" s="645">
        <v>4.4294504111359066E-2</v>
      </c>
      <c r="E69" s="492">
        <v>0</v>
      </c>
      <c r="F69" s="659">
        <v>0</v>
      </c>
      <c r="G69" s="645">
        <v>0.10753816298309811</v>
      </c>
      <c r="H69" s="493">
        <v>0</v>
      </c>
      <c r="I69" s="659">
        <v>0</v>
      </c>
      <c r="J69" s="776">
        <v>0</v>
      </c>
      <c r="K69" s="493">
        <v>0</v>
      </c>
      <c r="L69" s="659">
        <v>0</v>
      </c>
      <c r="M69" s="608">
        <v>0</v>
      </c>
      <c r="N69" s="687">
        <v>0</v>
      </c>
      <c r="O69" s="688"/>
      <c r="P69" s="608">
        <v>0</v>
      </c>
      <c r="Q69" s="687">
        <v>0</v>
      </c>
      <c r="R69" s="688"/>
      <c r="S69" s="689">
        <v>0</v>
      </c>
      <c r="T69" s="645">
        <v>3.6981220456331336E-2</v>
      </c>
      <c r="U69" s="492">
        <v>0</v>
      </c>
      <c r="V69" s="689">
        <v>0</v>
      </c>
      <c r="W69" s="645">
        <v>0.1058855235162894</v>
      </c>
      <c r="X69" s="493">
        <v>0</v>
      </c>
      <c r="Y69" s="689">
        <v>0</v>
      </c>
      <c r="Z69" s="776">
        <v>0</v>
      </c>
      <c r="AA69" s="493">
        <v>0</v>
      </c>
      <c r="AB69" s="494">
        <v>0</v>
      </c>
      <c r="AC69" s="608">
        <v>0</v>
      </c>
      <c r="AD69" s="688"/>
      <c r="AE69" s="608">
        <v>0</v>
      </c>
      <c r="AF69" s="608">
        <v>0</v>
      </c>
      <c r="AG69" s="608">
        <v>0</v>
      </c>
      <c r="AH69" s="486"/>
    </row>
    <row r="70" spans="1:34" ht="15">
      <c r="A70" s="686">
        <v>3678</v>
      </c>
      <c r="B70" s="486" t="s">
        <v>790</v>
      </c>
      <c r="C70" s="659">
        <v>0</v>
      </c>
      <c r="D70" s="645">
        <v>4.4294504111359066E-2</v>
      </c>
      <c r="E70" s="492">
        <v>0</v>
      </c>
      <c r="F70" s="659">
        <v>0</v>
      </c>
      <c r="G70" s="645">
        <v>0.10753816298309811</v>
      </c>
      <c r="H70" s="493">
        <v>0</v>
      </c>
      <c r="I70" s="659">
        <v>0</v>
      </c>
      <c r="J70" s="776">
        <v>0</v>
      </c>
      <c r="K70" s="493">
        <v>0</v>
      </c>
      <c r="L70" s="659">
        <v>0</v>
      </c>
      <c r="M70" s="608">
        <v>0</v>
      </c>
      <c r="N70" s="687">
        <v>0</v>
      </c>
      <c r="O70" s="688"/>
      <c r="P70" s="608">
        <v>0</v>
      </c>
      <c r="Q70" s="687">
        <v>0</v>
      </c>
      <c r="R70" s="688"/>
      <c r="S70" s="689">
        <v>0</v>
      </c>
      <c r="T70" s="645">
        <v>3.6981220456331336E-2</v>
      </c>
      <c r="U70" s="492">
        <v>0</v>
      </c>
      <c r="V70" s="689">
        <v>0</v>
      </c>
      <c r="W70" s="645">
        <v>0.1058855235162894</v>
      </c>
      <c r="X70" s="493">
        <v>0</v>
      </c>
      <c r="Y70" s="689">
        <v>0</v>
      </c>
      <c r="Z70" s="776">
        <v>0</v>
      </c>
      <c r="AA70" s="493">
        <v>0</v>
      </c>
      <c r="AB70" s="494">
        <v>0</v>
      </c>
      <c r="AC70" s="608">
        <v>0</v>
      </c>
      <c r="AD70" s="688"/>
      <c r="AE70" s="608">
        <v>0</v>
      </c>
      <c r="AF70" s="608">
        <v>0</v>
      </c>
      <c r="AG70" s="608">
        <v>0</v>
      </c>
      <c r="AH70" s="486"/>
    </row>
    <row r="71" spans="1:34" ht="15">
      <c r="A71" s="686">
        <v>4053</v>
      </c>
      <c r="B71" s="486" t="s">
        <v>791</v>
      </c>
      <c r="C71" s="659">
        <v>0</v>
      </c>
      <c r="D71" s="645">
        <v>4.4294504111359066E-2</v>
      </c>
      <c r="E71" s="492">
        <v>0</v>
      </c>
      <c r="F71" s="659">
        <v>0</v>
      </c>
      <c r="G71" s="645">
        <v>0.10753816298309811</v>
      </c>
      <c r="H71" s="493">
        <v>0</v>
      </c>
      <c r="I71" s="659">
        <v>0</v>
      </c>
      <c r="J71" s="776">
        <v>0</v>
      </c>
      <c r="K71" s="493">
        <v>0</v>
      </c>
      <c r="L71" s="659">
        <v>0</v>
      </c>
      <c r="M71" s="608">
        <v>0</v>
      </c>
      <c r="N71" s="687">
        <v>0</v>
      </c>
      <c r="O71" s="688"/>
      <c r="P71" s="608">
        <v>0</v>
      </c>
      <c r="Q71" s="687">
        <v>0</v>
      </c>
      <c r="R71" s="688"/>
      <c r="S71" s="689">
        <v>0</v>
      </c>
      <c r="T71" s="645">
        <v>3.6981220456331336E-2</v>
      </c>
      <c r="U71" s="492">
        <v>0</v>
      </c>
      <c r="V71" s="689">
        <v>0</v>
      </c>
      <c r="W71" s="645">
        <v>0.1058855235162894</v>
      </c>
      <c r="X71" s="493">
        <v>0</v>
      </c>
      <c r="Y71" s="689">
        <v>0</v>
      </c>
      <c r="Z71" s="776">
        <v>0</v>
      </c>
      <c r="AA71" s="493">
        <v>0</v>
      </c>
      <c r="AB71" s="494">
        <v>0</v>
      </c>
      <c r="AC71" s="608">
        <v>0</v>
      </c>
      <c r="AD71" s="688"/>
      <c r="AE71" s="608">
        <v>0</v>
      </c>
      <c r="AF71" s="608">
        <v>0</v>
      </c>
      <c r="AG71" s="608">
        <v>0</v>
      </c>
      <c r="AH71" s="486"/>
    </row>
    <row r="72" spans="1:34" ht="15">
      <c r="A72" s="686"/>
      <c r="B72" s="486"/>
      <c r="C72" s="659">
        <v>0</v>
      </c>
      <c r="D72" s="645">
        <v>4.4294504111359066E-2</v>
      </c>
      <c r="E72" s="492">
        <v>0</v>
      </c>
      <c r="F72" s="659">
        <v>0</v>
      </c>
      <c r="G72" s="645">
        <v>0.10753816298309811</v>
      </c>
      <c r="H72" s="493">
        <v>0</v>
      </c>
      <c r="I72" s="659">
        <v>0</v>
      </c>
      <c r="J72" s="776">
        <v>0</v>
      </c>
      <c r="K72" s="493">
        <v>0</v>
      </c>
      <c r="L72" s="659">
        <v>0</v>
      </c>
      <c r="M72" s="608">
        <v>0</v>
      </c>
      <c r="N72" s="687">
        <v>0</v>
      </c>
      <c r="O72" s="688"/>
      <c r="P72" s="608">
        <v>0</v>
      </c>
      <c r="Q72" s="687">
        <v>0</v>
      </c>
      <c r="R72" s="688"/>
      <c r="S72" s="689">
        <v>0</v>
      </c>
      <c r="T72" s="645">
        <v>3.6981220456331336E-2</v>
      </c>
      <c r="U72" s="492">
        <v>0</v>
      </c>
      <c r="V72" s="689">
        <v>0</v>
      </c>
      <c r="W72" s="645">
        <v>0.1058855235162894</v>
      </c>
      <c r="X72" s="493">
        <v>0</v>
      </c>
      <c r="Y72" s="689">
        <v>0</v>
      </c>
      <c r="Z72" s="776">
        <v>0</v>
      </c>
      <c r="AA72" s="493">
        <v>0</v>
      </c>
      <c r="AB72" s="494">
        <v>0</v>
      </c>
      <c r="AC72" s="608">
        <v>0</v>
      </c>
      <c r="AD72" s="688"/>
      <c r="AE72" s="608">
        <v>0</v>
      </c>
      <c r="AF72" s="608">
        <v>0</v>
      </c>
      <c r="AG72" s="608">
        <v>0</v>
      </c>
      <c r="AH72" s="486"/>
    </row>
    <row r="73" spans="1:34" ht="15">
      <c r="A73" s="686"/>
      <c r="B73" s="486"/>
      <c r="C73" s="659">
        <v>0</v>
      </c>
      <c r="D73" s="645">
        <v>4.4294504111359066E-2</v>
      </c>
      <c r="E73" s="492">
        <v>0</v>
      </c>
      <c r="F73" s="659">
        <v>0</v>
      </c>
      <c r="G73" s="645">
        <v>0.10753816298309811</v>
      </c>
      <c r="H73" s="493">
        <v>0</v>
      </c>
      <c r="I73" s="659">
        <v>0</v>
      </c>
      <c r="J73" s="776">
        <v>0</v>
      </c>
      <c r="K73" s="493">
        <v>0</v>
      </c>
      <c r="L73" s="659">
        <v>0</v>
      </c>
      <c r="M73" s="608">
        <v>0</v>
      </c>
      <c r="N73" s="687">
        <v>0</v>
      </c>
      <c r="O73" s="688"/>
      <c r="P73" s="608">
        <v>0</v>
      </c>
      <c r="Q73" s="687">
        <v>0</v>
      </c>
      <c r="R73" s="688"/>
      <c r="S73" s="689">
        <v>0</v>
      </c>
      <c r="T73" s="645">
        <v>3.6981220456331336E-2</v>
      </c>
      <c r="U73" s="492">
        <v>0</v>
      </c>
      <c r="V73" s="689">
        <v>0</v>
      </c>
      <c r="W73" s="645">
        <v>0.1058855235162894</v>
      </c>
      <c r="X73" s="493">
        <v>0</v>
      </c>
      <c r="Y73" s="689">
        <v>0</v>
      </c>
      <c r="Z73" s="776">
        <v>0</v>
      </c>
      <c r="AA73" s="493">
        <v>0</v>
      </c>
      <c r="AB73" s="494">
        <v>0</v>
      </c>
      <c r="AC73" s="608">
        <v>0</v>
      </c>
      <c r="AD73" s="688"/>
      <c r="AE73" s="608">
        <v>0</v>
      </c>
      <c r="AF73" s="608">
        <v>0</v>
      </c>
      <c r="AG73" s="608">
        <v>0</v>
      </c>
      <c r="AH73" s="486"/>
    </row>
    <row r="74" spans="1:34" ht="15">
      <c r="A74" s="690"/>
      <c r="B74" s="691"/>
      <c r="C74" s="691"/>
      <c r="D74" s="691"/>
      <c r="E74" s="692"/>
      <c r="F74" s="691"/>
      <c r="G74" s="691"/>
      <c r="H74" s="693"/>
      <c r="I74" s="691"/>
      <c r="J74" s="693"/>
      <c r="K74" s="693"/>
      <c r="L74" s="691"/>
      <c r="M74" s="693"/>
      <c r="N74" s="693"/>
      <c r="O74" s="688"/>
      <c r="P74" s="693"/>
      <c r="Q74" s="693"/>
      <c r="R74" s="688"/>
      <c r="S74" s="694"/>
      <c r="T74" s="691"/>
      <c r="U74" s="692"/>
      <c r="V74" s="691"/>
      <c r="W74" s="691"/>
      <c r="X74" s="693"/>
      <c r="Y74" s="691"/>
      <c r="Z74" s="693"/>
      <c r="AA74" s="693"/>
      <c r="AB74" s="691"/>
      <c r="AC74" s="693"/>
      <c r="AD74" s="688"/>
      <c r="AE74" s="693"/>
      <c r="AF74" s="693"/>
      <c r="AG74" s="693"/>
      <c r="AH74" s="486"/>
    </row>
    <row r="75" spans="1:34" ht="15">
      <c r="A75" s="652"/>
      <c r="B75" s="652" t="s">
        <v>345</v>
      </c>
      <c r="C75" s="695"/>
      <c r="D75" s="695"/>
      <c r="E75" s="653"/>
      <c r="F75" s="616"/>
      <c r="G75" s="616"/>
      <c r="H75" s="616"/>
      <c r="I75" s="616"/>
      <c r="J75" s="616"/>
      <c r="K75" s="654">
        <v>79697906.313817307</v>
      </c>
      <c r="L75" s="654">
        <v>-6294573.7515399167</v>
      </c>
      <c r="M75" s="654">
        <v>73403332.562277392</v>
      </c>
      <c r="N75" s="569">
        <v>1</v>
      </c>
      <c r="O75" s="688"/>
      <c r="P75" s="654">
        <v>77156065.818460077</v>
      </c>
      <c r="Q75" s="569">
        <v>1</v>
      </c>
      <c r="R75" s="688"/>
      <c r="S75" s="695"/>
      <c r="T75" s="695"/>
      <c r="U75" s="653"/>
      <c r="V75" s="616"/>
      <c r="W75" s="616"/>
      <c r="X75" s="616"/>
      <c r="Y75" s="616"/>
      <c r="Z75" s="616"/>
      <c r="AA75" s="654">
        <v>84167618.54262881</v>
      </c>
      <c r="AB75" s="654">
        <v>-6294573.7515399167</v>
      </c>
      <c r="AC75" s="654">
        <v>77873044.791088894</v>
      </c>
      <c r="AD75" s="688"/>
      <c r="AE75" s="654">
        <v>716978.97262881417</v>
      </c>
      <c r="AF75" s="654">
        <v>3054.9609769993585</v>
      </c>
      <c r="AG75" s="654">
        <v>720033.93360581156</v>
      </c>
      <c r="AH75" s="486"/>
    </row>
    <row r="76" spans="1:34" ht="15">
      <c r="A76" s="688"/>
      <c r="B76" s="688"/>
      <c r="C76" s="688"/>
      <c r="D76" s="688"/>
      <c r="E76" s="696"/>
      <c r="F76" s="688"/>
      <c r="G76" s="688"/>
      <c r="H76" s="688"/>
      <c r="I76" s="688"/>
      <c r="J76" s="688"/>
      <c r="K76" s="688"/>
      <c r="L76" s="485"/>
      <c r="M76" s="688"/>
      <c r="N76" s="688"/>
      <c r="O76" s="688"/>
      <c r="P76" s="688"/>
      <c r="Q76" s="688"/>
      <c r="R76" s="688"/>
      <c r="S76" s="688"/>
      <c r="T76" s="688"/>
      <c r="U76" s="696"/>
      <c r="V76" s="688"/>
      <c r="W76" s="688"/>
      <c r="X76" s="688"/>
      <c r="Y76" s="688"/>
      <c r="Z76" s="688"/>
      <c r="AA76" s="688"/>
      <c r="AB76" s="485"/>
      <c r="AC76" s="688"/>
      <c r="AD76" s="688"/>
      <c r="AE76" s="688"/>
      <c r="AF76" s="688"/>
      <c r="AG76" s="688"/>
      <c r="AH76" s="486"/>
    </row>
    <row r="77" spans="1:34" ht="15.6">
      <c r="A77" s="522" t="s">
        <v>592</v>
      </c>
      <c r="B77" s="615"/>
      <c r="C77" s="688"/>
      <c r="D77" s="688"/>
      <c r="E77" s="696"/>
      <c r="F77" s="688"/>
      <c r="G77" s="688"/>
      <c r="H77" s="688"/>
      <c r="I77" s="688"/>
      <c r="J77" s="688"/>
      <c r="K77" s="697"/>
      <c r="L77" s="485"/>
      <c r="M77" s="688"/>
      <c r="N77" s="688"/>
      <c r="O77" s="688"/>
      <c r="P77" s="688"/>
      <c r="Q77" s="688"/>
      <c r="R77" s="688"/>
      <c r="S77" s="688"/>
      <c r="T77" s="688"/>
      <c r="U77" s="696"/>
      <c r="V77" s="688"/>
      <c r="W77" s="688"/>
      <c r="X77" s="688"/>
      <c r="Y77" s="688"/>
      <c r="Z77" s="688"/>
      <c r="AA77" s="782"/>
      <c r="AB77" s="485"/>
      <c r="AC77" s="688"/>
      <c r="AD77" s="688"/>
      <c r="AE77" s="688"/>
      <c r="AF77" s="688"/>
      <c r="AG77" s="688"/>
      <c r="AH77" s="486"/>
    </row>
    <row r="78" spans="1:34" ht="15.6">
      <c r="A78" s="521" t="s">
        <v>724</v>
      </c>
      <c r="B78" s="688"/>
      <c r="C78" s="688"/>
      <c r="D78" s="688"/>
      <c r="E78" s="696"/>
      <c r="F78" s="688"/>
      <c r="G78" s="688"/>
      <c r="H78" s="688"/>
      <c r="I78" s="688"/>
      <c r="J78" s="688"/>
      <c r="K78" s="688"/>
      <c r="L78" s="485"/>
      <c r="M78" s="688"/>
      <c r="N78" s="688"/>
      <c r="O78" s="688"/>
      <c r="P78" s="688"/>
      <c r="Q78" s="688"/>
      <c r="R78" s="688"/>
      <c r="S78" s="688"/>
      <c r="T78" s="688"/>
      <c r="U78" s="696"/>
      <c r="V78" s="688"/>
      <c r="W78" s="688"/>
      <c r="X78" s="688"/>
      <c r="Y78" s="688"/>
      <c r="Z78" s="688"/>
      <c r="AA78" s="688"/>
      <c r="AB78" s="485"/>
      <c r="AC78" s="688"/>
      <c r="AD78" s="688"/>
      <c r="AE78" s="688"/>
      <c r="AF78" s="688"/>
      <c r="AG78" s="688"/>
      <c r="AH78" s="486"/>
    </row>
    <row r="79" spans="1:34" ht="15.6">
      <c r="A79" s="521" t="s">
        <v>725</v>
      </c>
      <c r="B79" s="688"/>
      <c r="C79" s="688"/>
      <c r="D79" s="688"/>
      <c r="E79" s="696"/>
      <c r="F79" s="688"/>
      <c r="G79" s="688"/>
      <c r="H79" s="688"/>
      <c r="I79" s="688"/>
      <c r="J79" s="688"/>
      <c r="K79" s="688"/>
      <c r="L79" s="485"/>
      <c r="M79" s="688"/>
      <c r="N79" s="688"/>
      <c r="O79" s="688"/>
      <c r="P79" s="688"/>
      <c r="Q79" s="688"/>
      <c r="R79" s="688"/>
      <c r="S79" s="688"/>
      <c r="T79" s="688"/>
      <c r="U79" s="696"/>
      <c r="V79" s="688"/>
      <c r="W79" s="688"/>
      <c r="X79" s="688"/>
      <c r="Y79" s="688"/>
      <c r="Z79" s="688"/>
      <c r="AA79" s="688"/>
      <c r="AB79" s="485"/>
      <c r="AC79" s="688"/>
      <c r="AD79" s="688"/>
      <c r="AE79" s="688"/>
      <c r="AF79" s="688"/>
      <c r="AG79" s="688"/>
      <c r="AH79" s="486"/>
    </row>
    <row r="80" spans="1:34" ht="15.6">
      <c r="A80" s="521" t="s">
        <v>726</v>
      </c>
      <c r="B80" s="688"/>
      <c r="C80" s="688"/>
      <c r="D80" s="688"/>
      <c r="E80" s="696"/>
      <c r="F80" s="688"/>
      <c r="G80" s="688"/>
      <c r="H80" s="688"/>
      <c r="I80" s="688"/>
      <c r="J80" s="688"/>
      <c r="K80" s="688"/>
      <c r="L80" s="688"/>
      <c r="M80" s="688"/>
      <c r="N80" s="688"/>
      <c r="O80" s="688"/>
      <c r="P80" s="688"/>
      <c r="Q80" s="688"/>
      <c r="R80" s="688"/>
      <c r="S80" s="688"/>
      <c r="T80" s="688"/>
      <c r="U80" s="696"/>
      <c r="V80" s="688"/>
      <c r="W80" s="688"/>
      <c r="X80" s="688"/>
      <c r="Y80" s="688"/>
      <c r="Z80" s="688"/>
      <c r="AA80" s="688"/>
      <c r="AB80" s="688"/>
      <c r="AC80" s="688"/>
      <c r="AD80" s="688"/>
      <c r="AE80" s="688"/>
      <c r="AF80" s="688"/>
      <c r="AG80" s="688"/>
      <c r="AH80" s="486"/>
    </row>
    <row r="81" spans="1:34" ht="15.6">
      <c r="A81" s="521" t="s">
        <v>727</v>
      </c>
      <c r="B81" s="688"/>
      <c r="C81" s="688"/>
      <c r="D81" s="688"/>
      <c r="E81" s="696"/>
      <c r="F81" s="688"/>
      <c r="G81" s="688"/>
      <c r="H81" s="688"/>
      <c r="I81" s="688"/>
      <c r="J81" s="688"/>
      <c r="K81" s="688"/>
      <c r="L81" s="688"/>
      <c r="M81" s="688"/>
      <c r="N81" s="688"/>
      <c r="O81" s="688"/>
      <c r="P81" s="688"/>
      <c r="Q81" s="688"/>
      <c r="R81" s="688"/>
      <c r="S81" s="688"/>
      <c r="T81" s="688"/>
      <c r="U81" s="696"/>
      <c r="V81" s="688"/>
      <c r="W81" s="688"/>
      <c r="X81" s="688"/>
      <c r="Y81" s="688"/>
      <c r="Z81" s="688"/>
      <c r="AA81" s="688"/>
      <c r="AB81" s="688"/>
      <c r="AC81" s="688"/>
      <c r="AD81" s="688"/>
      <c r="AE81" s="688"/>
      <c r="AF81" s="688"/>
      <c r="AG81" s="688"/>
      <c r="AH81" s="486"/>
    </row>
    <row r="82" spans="1:34" ht="15.6">
      <c r="A82" s="521" t="s">
        <v>728</v>
      </c>
      <c r="B82" s="698"/>
      <c r="C82" s="698"/>
      <c r="D82" s="698"/>
      <c r="E82" s="698"/>
      <c r="F82" s="698"/>
      <c r="G82" s="698"/>
      <c r="H82" s="698"/>
      <c r="I82" s="698"/>
      <c r="J82" s="698"/>
      <c r="K82" s="698"/>
      <c r="L82" s="698"/>
      <c r="M82" s="698"/>
      <c r="N82" s="688"/>
      <c r="O82" s="688"/>
      <c r="P82" s="688"/>
      <c r="Q82" s="688"/>
      <c r="R82" s="688"/>
      <c r="S82" s="688"/>
      <c r="T82" s="486"/>
      <c r="U82" s="486"/>
      <c r="V82" s="486"/>
      <c r="W82" s="486"/>
      <c r="X82" s="486"/>
      <c r="Y82" s="486"/>
      <c r="Z82" s="486"/>
      <c r="AA82" s="486"/>
      <c r="AB82" s="486"/>
      <c r="AC82" s="486"/>
      <c r="AD82" s="688"/>
      <c r="AE82" s="688"/>
      <c r="AF82" s="688"/>
      <c r="AG82" s="688"/>
      <c r="AH82" s="486"/>
    </row>
    <row r="83" spans="1:34" ht="15.6">
      <c r="A83" s="520" t="s">
        <v>729</v>
      </c>
      <c r="B83" s="698"/>
      <c r="C83" s="698"/>
      <c r="D83" s="698"/>
      <c r="E83" s="698"/>
      <c r="F83" s="698"/>
      <c r="G83" s="698"/>
      <c r="H83" s="698"/>
      <c r="I83" s="698"/>
      <c r="J83" s="698"/>
      <c r="K83" s="698"/>
      <c r="L83" s="698"/>
      <c r="M83" s="698"/>
      <c r="N83" s="688"/>
      <c r="O83" s="688"/>
      <c r="P83" s="688"/>
      <c r="Q83" s="688"/>
      <c r="R83" s="688"/>
      <c r="S83" s="688"/>
      <c r="T83" s="486"/>
      <c r="U83" s="486"/>
      <c r="V83" s="486"/>
      <c r="W83" s="486"/>
      <c r="X83" s="486"/>
      <c r="Y83" s="486"/>
      <c r="Z83" s="486"/>
      <c r="AA83" s="486"/>
      <c r="AB83" s="486"/>
      <c r="AC83" s="486"/>
      <c r="AD83" s="688"/>
      <c r="AE83" s="688"/>
      <c r="AF83" s="688"/>
      <c r="AG83" s="688"/>
      <c r="AH83" s="486"/>
    </row>
    <row r="84" spans="1:34" ht="15.6" thickBot="1">
      <c r="A84" s="765"/>
      <c r="B84" s="765"/>
      <c r="C84" s="765"/>
      <c r="D84" s="765"/>
      <c r="E84" s="766"/>
      <c r="F84" s="765"/>
      <c r="G84" s="765"/>
      <c r="H84" s="765"/>
      <c r="I84" s="765"/>
      <c r="J84" s="765"/>
      <c r="K84" s="765"/>
      <c r="L84" s="765"/>
      <c r="M84" s="765"/>
      <c r="N84" s="765"/>
      <c r="O84" s="765"/>
      <c r="P84" s="765"/>
      <c r="Q84" s="765"/>
      <c r="R84" s="765"/>
      <c r="S84" s="765"/>
      <c r="T84" s="765"/>
      <c r="U84" s="766"/>
      <c r="V84" s="765"/>
      <c r="W84" s="765"/>
      <c r="X84" s="765"/>
      <c r="Y84" s="765"/>
      <c r="Z84" s="765"/>
      <c r="AA84" s="765"/>
      <c r="AB84" s="765"/>
      <c r="AC84" s="765"/>
      <c r="AD84" s="765"/>
      <c r="AE84" s="765"/>
      <c r="AF84" s="765"/>
      <c r="AG84" s="765"/>
      <c r="AH84" s="495"/>
    </row>
  </sheetData>
  <mergeCells count="4">
    <mergeCell ref="C40:N40"/>
    <mergeCell ref="P40:Q40"/>
    <mergeCell ref="S40:AC40"/>
    <mergeCell ref="AE40:AG40"/>
  </mergeCells>
  <pageMargins left="0.7" right="0.7" top="0.75" bottom="0.75" header="0.3" footer="0.3"/>
  <pageSetup paperSize="5" scale="29"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S337"/>
  <sheetViews>
    <sheetView zoomScale="80" zoomScaleNormal="80" zoomScaleSheetLayoutView="80" workbookViewId="0">
      <selection activeCell="N280" sqref="N280"/>
    </sheetView>
  </sheetViews>
  <sheetFormatPr defaultColWidth="9.109375" defaultRowHeight="15.6"/>
  <cols>
    <col min="1" max="1" width="5.6640625" style="786" customWidth="1"/>
    <col min="2" max="2" width="35.44140625" style="786" customWidth="1"/>
    <col min="3" max="3" width="42.5546875" style="786" customWidth="1"/>
    <col min="4" max="4" width="16.33203125" style="786" customWidth="1"/>
    <col min="5" max="5" width="5.6640625" style="786" customWidth="1"/>
    <col min="6" max="6" width="7.33203125" style="786" customWidth="1"/>
    <col min="7" max="7" width="16.6640625" style="786" bestFit="1" customWidth="1"/>
    <col min="8" max="8" width="4.88671875" style="786" customWidth="1"/>
    <col min="9" max="9" width="17.5546875" style="786" customWidth="1"/>
    <col min="10" max="10" width="2.5546875" style="786" customWidth="1"/>
    <col min="11" max="11" width="11.44140625" style="786" customWidth="1"/>
    <col min="12" max="12" width="19.88671875" style="786" customWidth="1"/>
    <col min="13" max="15" width="9.109375" style="786"/>
    <col min="16" max="16" width="13.5546875" style="786" customWidth="1"/>
    <col min="17" max="16384" width="9.109375" style="786"/>
  </cols>
  <sheetData>
    <row r="1" spans="1:12">
      <c r="K1" s="787" t="s">
        <v>342</v>
      </c>
    </row>
    <row r="3" spans="1:12">
      <c r="A3" s="26"/>
      <c r="B3" s="17" t="s">
        <v>94</v>
      </c>
      <c r="C3" s="17"/>
      <c r="D3" s="111" t="s">
        <v>93</v>
      </c>
      <c r="E3" s="17"/>
      <c r="F3" s="17"/>
      <c r="G3" s="110"/>
      <c r="H3" s="109"/>
      <c r="I3" s="788"/>
      <c r="J3" s="108"/>
      <c r="K3" s="789" t="s">
        <v>761</v>
      </c>
      <c r="L3" s="22"/>
    </row>
    <row r="4" spans="1:12">
      <c r="A4" s="26"/>
      <c r="B4" s="17"/>
      <c r="C4" s="16" t="s">
        <v>67</v>
      </c>
      <c r="D4" s="16" t="s">
        <v>92</v>
      </c>
      <c r="E4" s="16"/>
      <c r="F4" s="16"/>
      <c r="G4" s="16"/>
      <c r="H4" s="5"/>
      <c r="I4" s="5"/>
      <c r="J4" s="22"/>
      <c r="K4" s="22"/>
      <c r="L4" s="22"/>
    </row>
    <row r="5" spans="1:12">
      <c r="A5" s="26"/>
      <c r="B5" s="22"/>
      <c r="C5" s="22"/>
      <c r="D5" s="22"/>
      <c r="E5" s="22"/>
      <c r="F5" s="22"/>
      <c r="G5" s="22"/>
      <c r="H5" s="22"/>
      <c r="I5" s="22"/>
      <c r="J5" s="22"/>
      <c r="K5" s="22"/>
      <c r="L5" s="22"/>
    </row>
    <row r="6" spans="1:12">
      <c r="A6" s="1015" t="s">
        <v>341</v>
      </c>
      <c r="B6" s="1015"/>
      <c r="C6" s="1015"/>
      <c r="D6" s="1015"/>
      <c r="E6" s="1015"/>
      <c r="F6" s="1015"/>
      <c r="G6" s="1015"/>
      <c r="H6" s="1015"/>
      <c r="I6" s="1015"/>
      <c r="J6" s="1015"/>
      <c r="K6" s="1015"/>
      <c r="L6" s="22"/>
    </row>
    <row r="7" spans="1:12" ht="16.2">
      <c r="A7" s="1"/>
      <c r="B7" s="107" t="s">
        <v>340</v>
      </c>
      <c r="C7" s="22"/>
      <c r="D7" s="784"/>
      <c r="E7" s="22"/>
      <c r="F7" s="22"/>
      <c r="G7" s="22"/>
      <c r="H7" s="22"/>
      <c r="I7" s="22"/>
      <c r="J7" s="22"/>
      <c r="K7" s="22"/>
      <c r="L7" s="22"/>
    </row>
    <row r="8" spans="1:12" ht="16.2">
      <c r="A8" s="1"/>
      <c r="B8" s="107" t="s">
        <v>339</v>
      </c>
      <c r="C8" s="22"/>
      <c r="D8" s="106"/>
      <c r="E8" s="22"/>
      <c r="F8" s="22"/>
      <c r="G8" s="22"/>
      <c r="H8" s="22"/>
      <c r="I8" s="22"/>
      <c r="J8" s="22"/>
      <c r="K8" s="22"/>
      <c r="L8" s="22"/>
    </row>
    <row r="9" spans="1:12">
      <c r="A9" s="1" t="s">
        <v>8</v>
      </c>
      <c r="B9" s="22"/>
      <c r="C9" s="22"/>
      <c r="D9" s="106"/>
      <c r="E9" s="22"/>
      <c r="F9" s="22"/>
      <c r="G9" s="22"/>
      <c r="H9" s="22"/>
      <c r="I9" s="1" t="s">
        <v>338</v>
      </c>
      <c r="J9" s="22"/>
      <c r="K9" s="22"/>
      <c r="L9" s="22"/>
    </row>
    <row r="10" spans="1:12" ht="16.2" thickBot="1">
      <c r="A10" s="790" t="s">
        <v>177</v>
      </c>
      <c r="B10" s="22"/>
      <c r="C10" s="22"/>
      <c r="D10" s="22"/>
      <c r="E10" s="22"/>
      <c r="F10" s="22"/>
      <c r="G10" s="22"/>
      <c r="H10" s="22"/>
      <c r="I10" s="790" t="s">
        <v>337</v>
      </c>
      <c r="J10" s="22"/>
      <c r="K10" s="22"/>
      <c r="L10" s="22"/>
    </row>
    <row r="11" spans="1:12">
      <c r="A11" s="1">
        <v>1</v>
      </c>
      <c r="B11" s="22" t="s">
        <v>793</v>
      </c>
      <c r="C11" s="22"/>
      <c r="D11" s="101"/>
      <c r="E11" s="22"/>
      <c r="F11" s="22"/>
      <c r="G11" s="22"/>
      <c r="H11" s="22"/>
      <c r="I11" s="791">
        <f>+I211</f>
        <v>564062110.72795475</v>
      </c>
      <c r="J11" s="22"/>
      <c r="K11" s="22"/>
      <c r="L11" s="22"/>
    </row>
    <row r="12" spans="1:12">
      <c r="A12" s="1"/>
      <c r="B12" s="22"/>
      <c r="C12" s="22"/>
      <c r="D12" s="22"/>
      <c r="E12" s="22"/>
      <c r="F12" s="22"/>
      <c r="G12" s="22"/>
      <c r="H12" s="22"/>
      <c r="I12" s="101"/>
      <c r="J12" s="22"/>
      <c r="K12" s="22"/>
      <c r="L12" s="22"/>
    </row>
    <row r="13" spans="1:12" ht="16.2" thickBot="1">
      <c r="A13" s="1" t="s">
        <v>67</v>
      </c>
      <c r="B13" s="23" t="s">
        <v>336</v>
      </c>
      <c r="C13" s="52" t="s">
        <v>335</v>
      </c>
      <c r="D13" s="790" t="s">
        <v>334</v>
      </c>
      <c r="E13" s="16"/>
      <c r="F13" s="792" t="s">
        <v>333</v>
      </c>
      <c r="G13" s="792"/>
      <c r="H13" s="22"/>
      <c r="I13" s="101"/>
      <c r="J13" s="22"/>
      <c r="K13" s="22"/>
      <c r="L13" s="22"/>
    </row>
    <row r="14" spans="1:12">
      <c r="A14" s="1">
        <v>2</v>
      </c>
      <c r="B14" s="23" t="s">
        <v>332</v>
      </c>
      <c r="C14" s="16" t="s">
        <v>331</v>
      </c>
      <c r="D14" s="52">
        <f>I280</f>
        <v>1558720</v>
      </c>
      <c r="E14" s="16"/>
      <c r="F14" s="16" t="s">
        <v>159</v>
      </c>
      <c r="G14" s="793">
        <f>I231</f>
        <v>1</v>
      </c>
      <c r="H14" s="794"/>
      <c r="I14" s="794">
        <f>+G14*D14</f>
        <v>1558720</v>
      </c>
      <c r="J14" s="22"/>
      <c r="K14" s="22"/>
      <c r="L14" s="22"/>
    </row>
    <row r="15" spans="1:12">
      <c r="A15" s="1">
        <v>3</v>
      </c>
      <c r="B15" s="23" t="s">
        <v>330</v>
      </c>
      <c r="C15" s="16" t="s">
        <v>329</v>
      </c>
      <c r="D15" s="52">
        <f>I287</f>
        <v>8241942.0000000475</v>
      </c>
      <c r="E15" s="16"/>
      <c r="F15" s="16" t="s">
        <v>159</v>
      </c>
      <c r="G15" s="793">
        <f>+G14</f>
        <v>1</v>
      </c>
      <c r="H15" s="794"/>
      <c r="I15" s="794">
        <f>+G15*D15</f>
        <v>8241942.0000000475</v>
      </c>
      <c r="J15" s="22"/>
      <c r="K15" s="22"/>
      <c r="L15" s="22"/>
    </row>
    <row r="16" spans="1:12">
      <c r="A16" s="1">
        <v>4</v>
      </c>
      <c r="B16" s="102" t="s">
        <v>328</v>
      </c>
      <c r="C16" s="16"/>
      <c r="D16" s="56">
        <v>0</v>
      </c>
      <c r="E16" s="16"/>
      <c r="F16" s="16" t="s">
        <v>159</v>
      </c>
      <c r="G16" s="793">
        <f>+G15</f>
        <v>1</v>
      </c>
      <c r="H16" s="794"/>
      <c r="I16" s="794">
        <f>+G16*D16</f>
        <v>0</v>
      </c>
      <c r="J16" s="22"/>
      <c r="K16" s="22"/>
      <c r="L16" s="22"/>
    </row>
    <row r="17" spans="1:12" ht="16.2" thickBot="1">
      <c r="A17" s="1">
        <v>5</v>
      </c>
      <c r="B17" s="102" t="s">
        <v>327</v>
      </c>
      <c r="C17" s="16"/>
      <c r="D17" s="56">
        <v>0</v>
      </c>
      <c r="E17" s="16"/>
      <c r="F17" s="16" t="s">
        <v>159</v>
      </c>
      <c r="G17" s="793">
        <f>+G16</f>
        <v>1</v>
      </c>
      <c r="H17" s="794"/>
      <c r="I17" s="795">
        <f>+G17*D17</f>
        <v>0</v>
      </c>
      <c r="J17" s="22"/>
      <c r="K17" s="22"/>
      <c r="L17" s="22"/>
    </row>
    <row r="18" spans="1:12">
      <c r="A18" s="1">
        <v>6</v>
      </c>
      <c r="B18" s="23" t="s">
        <v>326</v>
      </c>
      <c r="C18" s="22"/>
      <c r="D18" s="91" t="s">
        <v>67</v>
      </c>
      <c r="E18" s="16"/>
      <c r="F18" s="16"/>
      <c r="G18" s="793"/>
      <c r="H18" s="794"/>
      <c r="I18" s="794">
        <f>SUM(I14:I17)</f>
        <v>9800662.0000000484</v>
      </c>
      <c r="J18" s="22"/>
      <c r="K18" s="22"/>
      <c r="L18" s="22"/>
    </row>
    <row r="19" spans="1:12">
      <c r="A19" s="1"/>
      <c r="B19" s="26"/>
      <c r="C19" s="22"/>
      <c r="D19" s="16" t="s">
        <v>67</v>
      </c>
      <c r="E19" s="22"/>
      <c r="F19" s="22"/>
      <c r="G19" s="55"/>
      <c r="H19" s="22"/>
      <c r="I19" s="26"/>
      <c r="J19" s="22"/>
      <c r="K19" s="22"/>
      <c r="L19" s="22"/>
    </row>
    <row r="20" spans="1:12" ht="16.2" thickBot="1">
      <c r="A20" s="1">
        <v>7</v>
      </c>
      <c r="B20" s="23" t="s">
        <v>325</v>
      </c>
      <c r="C20" s="22" t="s">
        <v>324</v>
      </c>
      <c r="D20" s="91" t="s">
        <v>67</v>
      </c>
      <c r="E20" s="16"/>
      <c r="F20" s="16"/>
      <c r="G20" s="16"/>
      <c r="H20" s="16"/>
      <c r="I20" s="105">
        <f>I11-I18</f>
        <v>554261448.72795475</v>
      </c>
      <c r="J20" s="22"/>
      <c r="K20" s="22"/>
      <c r="L20" s="22"/>
    </row>
    <row r="21" spans="1:12" ht="16.2" thickTop="1">
      <c r="A21" s="1"/>
      <c r="B21" s="26"/>
      <c r="C21" s="22"/>
      <c r="D21" s="91"/>
      <c r="E21" s="16"/>
      <c r="F21" s="16"/>
      <c r="G21" s="16"/>
      <c r="H21" s="16"/>
      <c r="I21" s="26"/>
      <c r="J21" s="22"/>
      <c r="K21" s="22"/>
      <c r="L21" s="22"/>
    </row>
    <row r="22" spans="1:12">
      <c r="A22" s="1"/>
      <c r="B22" s="23" t="s">
        <v>323</v>
      </c>
      <c r="C22" s="22"/>
      <c r="D22" s="101"/>
      <c r="E22" s="22"/>
      <c r="F22" s="22"/>
      <c r="G22" s="22"/>
      <c r="H22" s="22"/>
      <c r="I22" s="101"/>
      <c r="J22" s="22"/>
      <c r="K22" s="22"/>
      <c r="L22" s="22"/>
    </row>
    <row r="23" spans="1:12">
      <c r="A23" s="1">
        <v>8</v>
      </c>
      <c r="B23" s="23" t="s">
        <v>0</v>
      </c>
      <c r="C23" s="26"/>
      <c r="D23" s="101"/>
      <c r="E23" s="22"/>
      <c r="F23" s="22"/>
      <c r="G23" s="11" t="s">
        <v>322</v>
      </c>
      <c r="H23" s="22"/>
      <c r="I23" s="104">
        <v>0</v>
      </c>
      <c r="J23" s="22"/>
      <c r="K23" s="22"/>
      <c r="L23" s="483"/>
    </row>
    <row r="24" spans="1:12">
      <c r="A24" s="1">
        <v>9</v>
      </c>
      <c r="B24" s="23" t="s">
        <v>321</v>
      </c>
      <c r="C24" s="16"/>
      <c r="D24" s="16"/>
      <c r="E24" s="16"/>
      <c r="F24" s="16"/>
      <c r="G24" s="52" t="s">
        <v>320</v>
      </c>
      <c r="H24" s="16"/>
      <c r="I24" s="104">
        <v>0</v>
      </c>
      <c r="J24" s="22"/>
      <c r="K24" s="22"/>
      <c r="L24" s="26"/>
    </row>
    <row r="25" spans="1:12">
      <c r="A25" s="1">
        <v>10</v>
      </c>
      <c r="B25" s="102" t="s">
        <v>319</v>
      </c>
      <c r="C25" s="22"/>
      <c r="D25" s="22"/>
      <c r="E25" s="22"/>
      <c r="F25" s="26"/>
      <c r="G25" s="11" t="s">
        <v>318</v>
      </c>
      <c r="H25" s="22"/>
      <c r="I25" s="104">
        <v>0</v>
      </c>
      <c r="J25" s="22"/>
      <c r="K25" s="22"/>
      <c r="L25" s="26"/>
    </row>
    <row r="26" spans="1:12">
      <c r="A26" s="1">
        <v>11</v>
      </c>
      <c r="B26" s="23" t="s">
        <v>317</v>
      </c>
      <c r="C26" s="22"/>
      <c r="D26" s="22"/>
      <c r="E26" s="22"/>
      <c r="F26" s="26"/>
      <c r="G26" s="11" t="s">
        <v>316</v>
      </c>
      <c r="H26" s="22"/>
      <c r="I26" s="103">
        <v>0</v>
      </c>
      <c r="J26" s="22"/>
      <c r="K26" s="22"/>
      <c r="L26" s="26"/>
    </row>
    <row r="27" spans="1:12">
      <c r="A27" s="1">
        <v>12</v>
      </c>
      <c r="B27" s="102" t="s">
        <v>315</v>
      </c>
      <c r="C27" s="22"/>
      <c r="D27" s="22"/>
      <c r="E27" s="22"/>
      <c r="F27" s="22"/>
      <c r="G27" s="5"/>
      <c r="H27" s="22"/>
      <c r="I27" s="103">
        <v>0</v>
      </c>
      <c r="J27" s="22"/>
      <c r="K27" s="22"/>
      <c r="L27" s="26"/>
    </row>
    <row r="28" spans="1:12">
      <c r="A28" s="1">
        <v>13</v>
      </c>
      <c r="B28" s="102" t="s">
        <v>314</v>
      </c>
      <c r="C28" s="22"/>
      <c r="D28" s="22"/>
      <c r="E28" s="22"/>
      <c r="F28" s="22"/>
      <c r="G28" s="11"/>
      <c r="H28" s="22"/>
      <c r="I28" s="103">
        <v>0</v>
      </c>
      <c r="J28" s="22"/>
      <c r="K28" s="22"/>
      <c r="L28" s="26"/>
    </row>
    <row r="29" spans="1:12" ht="16.2" thickBot="1">
      <c r="A29" s="1">
        <v>14</v>
      </c>
      <c r="B29" s="102" t="s">
        <v>313</v>
      </c>
      <c r="C29" s="22"/>
      <c r="D29" s="22"/>
      <c r="E29" s="22"/>
      <c r="F29" s="22"/>
      <c r="G29" s="5"/>
      <c r="H29" s="22"/>
      <c r="I29" s="796">
        <v>0</v>
      </c>
      <c r="J29" s="22"/>
      <c r="K29" s="22"/>
      <c r="L29" s="26"/>
    </row>
    <row r="30" spans="1:12">
      <c r="A30" s="1">
        <v>15</v>
      </c>
      <c r="B30" s="17" t="s">
        <v>312</v>
      </c>
      <c r="C30" s="22"/>
      <c r="D30" s="22"/>
      <c r="E30" s="22"/>
      <c r="F30" s="22"/>
      <c r="G30" s="22"/>
      <c r="H30" s="22"/>
      <c r="I30" s="101">
        <f>SUM(I23:I29)</f>
        <v>0</v>
      </c>
      <c r="J30" s="22"/>
      <c r="K30" s="22"/>
      <c r="L30" s="22"/>
    </row>
    <row r="31" spans="1:12">
      <c r="A31" s="1"/>
      <c r="B31" s="23"/>
      <c r="C31" s="22"/>
      <c r="D31" s="22"/>
      <c r="E31" s="22"/>
      <c r="F31" s="22"/>
      <c r="G31" s="22"/>
      <c r="H31" s="22"/>
      <c r="I31" s="101"/>
      <c r="J31" s="22"/>
      <c r="K31" s="22"/>
      <c r="L31" s="22"/>
    </row>
    <row r="32" spans="1:12">
      <c r="A32" s="1">
        <v>16</v>
      </c>
      <c r="B32" s="23" t="s">
        <v>311</v>
      </c>
      <c r="C32" s="22" t="s">
        <v>310</v>
      </c>
      <c r="D32" s="797">
        <f>IF(I30&gt;0,I20/I30,0)</f>
        <v>0</v>
      </c>
      <c r="E32" s="22"/>
      <c r="F32" s="22"/>
      <c r="G32" s="22"/>
      <c r="H32" s="22"/>
      <c r="I32" s="26"/>
      <c r="J32" s="22"/>
      <c r="K32" s="22"/>
      <c r="L32" s="22"/>
    </row>
    <row r="33" spans="1:12">
      <c r="A33" s="1">
        <v>17</v>
      </c>
      <c r="B33" s="23" t="s">
        <v>309</v>
      </c>
      <c r="C33" s="22" t="s">
        <v>308</v>
      </c>
      <c r="D33" s="797">
        <f>+D32/12</f>
        <v>0</v>
      </c>
      <c r="E33" s="22"/>
      <c r="F33" s="22"/>
      <c r="G33" s="22"/>
      <c r="H33" s="22"/>
      <c r="I33" s="26"/>
      <c r="J33" s="22"/>
      <c r="K33" s="22"/>
      <c r="L33" s="22"/>
    </row>
    <row r="34" spans="1:12">
      <c r="A34" s="1"/>
      <c r="B34" s="23"/>
      <c r="C34" s="22"/>
      <c r="D34" s="100"/>
      <c r="E34" s="22"/>
      <c r="F34" s="22"/>
      <c r="G34" s="22"/>
      <c r="H34" s="22"/>
      <c r="I34" s="26"/>
      <c r="J34" s="22"/>
      <c r="K34" s="22"/>
      <c r="L34" s="22"/>
    </row>
    <row r="35" spans="1:12">
      <c r="A35" s="1"/>
      <c r="B35" s="23"/>
      <c r="C35" s="22"/>
      <c r="D35" s="99" t="s">
        <v>307</v>
      </c>
      <c r="E35" s="22"/>
      <c r="F35" s="22"/>
      <c r="G35" s="22"/>
      <c r="H35" s="22"/>
      <c r="I35" s="785" t="s">
        <v>306</v>
      </c>
      <c r="J35" s="22"/>
      <c r="K35" s="22"/>
      <c r="L35" s="22"/>
    </row>
    <row r="36" spans="1:12">
      <c r="A36" s="1">
        <v>18</v>
      </c>
      <c r="B36" s="23" t="s">
        <v>305</v>
      </c>
      <c r="C36" s="92" t="s">
        <v>304</v>
      </c>
      <c r="D36" s="797">
        <f>+D32/52</f>
        <v>0</v>
      </c>
      <c r="E36" s="22"/>
      <c r="F36" s="22"/>
      <c r="G36" s="22"/>
      <c r="H36" s="22"/>
      <c r="I36" s="798">
        <f>+D32/52</f>
        <v>0</v>
      </c>
      <c r="J36" s="22"/>
      <c r="K36" s="22"/>
      <c r="L36" s="22"/>
    </row>
    <row r="37" spans="1:12">
      <c r="A37" s="1">
        <v>19</v>
      </c>
      <c r="B37" s="23" t="s">
        <v>303</v>
      </c>
      <c r="C37" s="92" t="s">
        <v>302</v>
      </c>
      <c r="D37" s="797">
        <f>+D36/5</f>
        <v>0</v>
      </c>
      <c r="E37" s="22" t="s">
        <v>301</v>
      </c>
      <c r="F37" s="26"/>
      <c r="G37" s="22"/>
      <c r="H37" s="22"/>
      <c r="I37" s="798">
        <f>+D32/365</f>
        <v>0</v>
      </c>
      <c r="J37" s="22"/>
      <c r="K37" s="22"/>
      <c r="L37" s="22"/>
    </row>
    <row r="38" spans="1:12">
      <c r="A38" s="1">
        <v>20</v>
      </c>
      <c r="B38" s="23" t="s">
        <v>300</v>
      </c>
      <c r="C38" s="92" t="s">
        <v>299</v>
      </c>
      <c r="D38" s="797">
        <f>+D37/16*1000</f>
        <v>0</v>
      </c>
      <c r="E38" s="22" t="s">
        <v>298</v>
      </c>
      <c r="F38" s="26"/>
      <c r="G38" s="22"/>
      <c r="H38" s="22"/>
      <c r="I38" s="798">
        <f>+I37/24*1000</f>
        <v>0</v>
      </c>
      <c r="J38" s="22"/>
      <c r="K38" s="22" t="s">
        <v>67</v>
      </c>
      <c r="L38" s="22"/>
    </row>
    <row r="39" spans="1:12">
      <c r="A39" s="1"/>
      <c r="B39" s="23"/>
      <c r="C39" s="22" t="s">
        <v>297</v>
      </c>
      <c r="D39" s="22"/>
      <c r="E39" s="22" t="s">
        <v>296</v>
      </c>
      <c r="F39" s="26"/>
      <c r="G39" s="22"/>
      <c r="H39" s="22"/>
      <c r="I39" s="26"/>
      <c r="J39" s="22"/>
      <c r="K39" s="22" t="s">
        <v>67</v>
      </c>
      <c r="L39" s="22"/>
    </row>
    <row r="40" spans="1:12">
      <c r="A40" s="1"/>
      <c r="B40" s="23"/>
      <c r="C40" s="22"/>
      <c r="D40" s="22"/>
      <c r="E40" s="22"/>
      <c r="F40" s="26"/>
      <c r="G40" s="22"/>
      <c r="H40" s="22"/>
      <c r="I40" s="26"/>
      <c r="J40" s="22"/>
      <c r="K40" s="22" t="s">
        <v>67</v>
      </c>
      <c r="L40" s="22"/>
    </row>
    <row r="41" spans="1:12">
      <c r="A41" s="1">
        <v>21</v>
      </c>
      <c r="B41" s="23" t="s">
        <v>295</v>
      </c>
      <c r="C41" s="22" t="s">
        <v>294</v>
      </c>
      <c r="D41" s="98">
        <v>0</v>
      </c>
      <c r="E41" s="96" t="s">
        <v>293</v>
      </c>
      <c r="F41" s="96"/>
      <c r="G41" s="96"/>
      <c r="H41" s="96"/>
      <c r="I41" s="96">
        <v>0</v>
      </c>
      <c r="J41" s="96" t="s">
        <v>293</v>
      </c>
      <c r="K41" s="22"/>
      <c r="L41" s="22"/>
    </row>
    <row r="42" spans="1:12">
      <c r="A42" s="1">
        <v>22</v>
      </c>
      <c r="B42" s="23"/>
      <c r="C42" s="22"/>
      <c r="D42" s="98">
        <v>0</v>
      </c>
      <c r="E42" s="96" t="s">
        <v>292</v>
      </c>
      <c r="F42" s="96"/>
      <c r="G42" s="96"/>
      <c r="H42" s="96"/>
      <c r="I42" s="96">
        <v>0</v>
      </c>
      <c r="J42" s="96" t="s">
        <v>292</v>
      </c>
      <c r="K42" s="22"/>
      <c r="L42" s="22"/>
    </row>
    <row r="43" spans="1:12">
      <c r="A43" s="1"/>
      <c r="B43" s="23"/>
      <c r="C43" s="22"/>
      <c r="D43" s="97"/>
      <c r="E43" s="96"/>
      <c r="F43" s="96"/>
      <c r="G43" s="96"/>
      <c r="H43" s="96"/>
      <c r="I43" s="96"/>
      <c r="J43" s="96"/>
      <c r="K43" s="22"/>
      <c r="L43" s="22"/>
    </row>
    <row r="44" spans="1:12">
      <c r="A44" s="1"/>
      <c r="B44" s="23"/>
      <c r="C44" s="22"/>
      <c r="D44" s="97"/>
      <c r="E44" s="96"/>
      <c r="F44" s="96"/>
      <c r="G44" s="96"/>
      <c r="H44" s="96"/>
      <c r="I44" s="96"/>
      <c r="J44" s="96"/>
      <c r="K44" s="22"/>
      <c r="L44" s="22"/>
    </row>
    <row r="45" spans="1:12">
      <c r="A45" s="1"/>
      <c r="B45" s="23"/>
      <c r="C45" s="22"/>
      <c r="D45" s="97"/>
      <c r="E45" s="96"/>
      <c r="F45" s="96"/>
      <c r="G45" s="96"/>
      <c r="H45" s="96"/>
      <c r="I45" s="96"/>
      <c r="J45" s="96"/>
      <c r="K45" s="22"/>
      <c r="L45" s="22"/>
    </row>
    <row r="46" spans="1:12">
      <c r="A46" s="1"/>
      <c r="B46" s="23"/>
      <c r="C46" s="22"/>
      <c r="D46" s="97"/>
      <c r="E46" s="96"/>
      <c r="F46" s="96"/>
      <c r="G46" s="96"/>
      <c r="H46" s="96"/>
      <c r="I46" s="96"/>
      <c r="J46" s="96"/>
      <c r="K46" s="22"/>
      <c r="L46" s="22"/>
    </row>
    <row r="47" spans="1:12">
      <c r="A47" s="1"/>
      <c r="B47" s="23"/>
      <c r="C47" s="22"/>
      <c r="D47" s="97"/>
      <c r="E47" s="96"/>
      <c r="F47" s="96"/>
      <c r="G47" s="96"/>
      <c r="H47" s="96"/>
      <c r="I47" s="96"/>
      <c r="J47" s="96"/>
      <c r="K47" s="22"/>
      <c r="L47" s="22"/>
    </row>
    <row r="48" spans="1:12">
      <c r="A48" s="1"/>
      <c r="B48" s="23"/>
      <c r="C48" s="22"/>
      <c r="D48" s="97"/>
      <c r="E48" s="96"/>
      <c r="F48" s="96"/>
      <c r="G48" s="96"/>
      <c r="H48" s="96"/>
      <c r="I48" s="96"/>
      <c r="J48" s="96"/>
      <c r="K48" s="22"/>
      <c r="L48" s="22"/>
    </row>
    <row r="49" spans="1:12">
      <c r="A49" s="1"/>
      <c r="B49" s="23"/>
      <c r="C49" s="22"/>
      <c r="D49" s="97"/>
      <c r="E49" s="96"/>
      <c r="F49" s="96"/>
      <c r="G49" s="96"/>
      <c r="H49" s="96"/>
      <c r="I49" s="96"/>
      <c r="J49" s="96"/>
      <c r="K49" s="22"/>
      <c r="L49" s="22"/>
    </row>
    <row r="50" spans="1:12">
      <c r="A50" s="1"/>
      <c r="B50" s="23"/>
      <c r="C50" s="22"/>
      <c r="D50" s="97"/>
      <c r="E50" s="96"/>
      <c r="F50" s="96"/>
      <c r="G50" s="96"/>
      <c r="H50" s="96"/>
      <c r="I50" s="96"/>
      <c r="J50" s="96"/>
      <c r="K50" s="22"/>
      <c r="L50" s="22"/>
    </row>
    <row r="51" spans="1:12">
      <c r="A51" s="1"/>
      <c r="B51" s="23"/>
      <c r="C51" s="22"/>
      <c r="D51" s="97"/>
      <c r="E51" s="96"/>
      <c r="F51" s="96"/>
      <c r="G51" s="96"/>
      <c r="H51" s="96"/>
      <c r="I51" s="96"/>
      <c r="J51" s="96"/>
      <c r="K51" s="22"/>
      <c r="L51" s="22"/>
    </row>
    <row r="52" spans="1:12">
      <c r="A52" s="1"/>
      <c r="B52" s="23"/>
      <c r="C52" s="22"/>
      <c r="D52" s="97"/>
      <c r="E52" s="96"/>
      <c r="F52" s="96"/>
      <c r="G52" s="96"/>
      <c r="H52" s="96"/>
      <c r="I52" s="96"/>
      <c r="J52" s="96"/>
      <c r="K52" s="22"/>
      <c r="L52" s="22"/>
    </row>
    <row r="53" spans="1:12">
      <c r="A53" s="1"/>
      <c r="B53" s="23"/>
      <c r="C53" s="22"/>
      <c r="D53" s="97"/>
      <c r="E53" s="96"/>
      <c r="F53" s="96"/>
      <c r="G53" s="96"/>
      <c r="H53" s="96"/>
      <c r="I53" s="96"/>
      <c r="J53" s="96"/>
      <c r="K53" s="22"/>
      <c r="L53" s="22"/>
    </row>
    <row r="54" spans="1:12">
      <c r="A54" s="1"/>
      <c r="B54" s="23"/>
      <c r="C54" s="22"/>
      <c r="D54" s="97"/>
      <c r="E54" s="96"/>
      <c r="F54" s="96"/>
      <c r="G54" s="96"/>
      <c r="H54" s="96"/>
      <c r="I54" s="96"/>
      <c r="J54" s="96"/>
      <c r="K54" s="22"/>
      <c r="L54" s="22"/>
    </row>
    <row r="55" spans="1:12">
      <c r="A55" s="1"/>
      <c r="B55" s="23"/>
      <c r="C55" s="22"/>
      <c r="D55" s="97"/>
      <c r="E55" s="96"/>
      <c r="F55" s="96"/>
      <c r="G55" s="96"/>
      <c r="H55" s="96"/>
      <c r="I55" s="96"/>
      <c r="J55" s="96"/>
      <c r="K55" s="22"/>
      <c r="L55" s="22"/>
    </row>
    <row r="56" spans="1:12">
      <c r="A56" s="1"/>
      <c r="B56" s="23"/>
      <c r="C56" s="22"/>
      <c r="D56" s="97"/>
      <c r="E56" s="96"/>
      <c r="F56" s="96"/>
      <c r="G56" s="96"/>
      <c r="H56" s="96"/>
      <c r="I56" s="96"/>
      <c r="J56" s="96"/>
      <c r="K56" s="22"/>
      <c r="L56" s="22"/>
    </row>
    <row r="57" spans="1:12">
      <c r="A57" s="1"/>
      <c r="B57" s="23"/>
      <c r="C57" s="22"/>
      <c r="D57" s="97"/>
      <c r="E57" s="96"/>
      <c r="F57" s="96"/>
      <c r="G57" s="96"/>
      <c r="H57" s="96"/>
      <c r="I57" s="96"/>
      <c r="J57" s="96"/>
      <c r="K57" s="22"/>
      <c r="L57" s="22"/>
    </row>
    <row r="58" spans="1:12">
      <c r="A58" s="1"/>
      <c r="B58" s="23"/>
      <c r="C58" s="22"/>
      <c r="D58" s="97"/>
      <c r="E58" s="96"/>
      <c r="F58" s="96"/>
      <c r="G58" s="96"/>
      <c r="H58" s="96"/>
      <c r="I58" s="96"/>
      <c r="J58" s="96"/>
      <c r="K58" s="22"/>
      <c r="L58" s="22"/>
    </row>
    <row r="59" spans="1:12">
      <c r="A59" s="1"/>
      <c r="B59" s="23"/>
      <c r="C59" s="22"/>
      <c r="D59" s="97"/>
      <c r="E59" s="96"/>
      <c r="F59" s="96"/>
      <c r="G59" s="96"/>
      <c r="H59" s="96"/>
      <c r="I59" s="96"/>
      <c r="J59" s="96"/>
      <c r="K59" s="22"/>
      <c r="L59" s="22"/>
    </row>
    <row r="60" spans="1:12">
      <c r="A60" s="1"/>
      <c r="B60" s="23"/>
      <c r="C60" s="22"/>
      <c r="D60" s="97"/>
      <c r="E60" s="96"/>
      <c r="F60" s="96"/>
      <c r="G60" s="96"/>
      <c r="H60" s="96"/>
      <c r="I60" s="96"/>
      <c r="J60" s="96"/>
      <c r="K60" s="22"/>
      <c r="L60" s="22"/>
    </row>
    <row r="61" spans="1:12">
      <c r="A61" s="1"/>
      <c r="B61" s="23"/>
      <c r="C61" s="22"/>
      <c r="D61" s="97"/>
      <c r="E61" s="96"/>
      <c r="F61" s="96"/>
      <c r="G61" s="96"/>
      <c r="H61" s="96"/>
      <c r="I61" s="96"/>
      <c r="J61" s="96"/>
      <c r="K61" s="22"/>
      <c r="L61" s="22"/>
    </row>
    <row r="62" spans="1:12">
      <c r="A62" s="1"/>
      <c r="B62" s="23"/>
      <c r="C62" s="22"/>
      <c r="D62" s="97"/>
      <c r="E62" s="96"/>
      <c r="F62" s="96"/>
      <c r="G62" s="96"/>
      <c r="H62" s="96"/>
      <c r="I62" s="96"/>
      <c r="J62" s="96"/>
      <c r="K62" s="22"/>
      <c r="L62" s="22"/>
    </row>
    <row r="63" spans="1:12">
      <c r="A63" s="1"/>
      <c r="B63" s="23"/>
      <c r="C63" s="22"/>
      <c r="D63" s="97"/>
      <c r="E63" s="96"/>
      <c r="F63" s="96"/>
      <c r="G63" s="96"/>
      <c r="H63" s="96"/>
      <c r="I63" s="96"/>
      <c r="J63" s="96"/>
      <c r="K63" s="22"/>
      <c r="L63" s="22"/>
    </row>
    <row r="64" spans="1:12">
      <c r="A64" s="1"/>
      <c r="B64" s="23"/>
      <c r="C64" s="22"/>
      <c r="D64" s="97"/>
      <c r="E64" s="96"/>
      <c r="F64" s="96"/>
      <c r="G64" s="96"/>
      <c r="H64" s="96"/>
      <c r="I64" s="96"/>
      <c r="J64" s="96"/>
      <c r="K64" s="22"/>
      <c r="L64" s="22"/>
    </row>
    <row r="65" spans="1:12">
      <c r="A65" s="1"/>
      <c r="B65" s="23"/>
      <c r="C65" s="22"/>
      <c r="D65" s="97"/>
      <c r="E65" s="96"/>
      <c r="F65" s="96"/>
      <c r="G65" s="96"/>
      <c r="H65" s="96"/>
      <c r="I65" s="96"/>
      <c r="J65" s="96"/>
      <c r="K65" s="22"/>
      <c r="L65" s="22"/>
    </row>
    <row r="66" spans="1:12">
      <c r="A66" s="1"/>
      <c r="B66" s="23"/>
      <c r="C66" s="22"/>
      <c r="D66" s="97"/>
      <c r="E66" s="96"/>
      <c r="F66" s="96"/>
      <c r="G66" s="96"/>
      <c r="H66" s="96"/>
      <c r="I66" s="96"/>
      <c r="J66" s="96"/>
      <c r="K66" s="22"/>
      <c r="L66" s="22"/>
    </row>
    <row r="67" spans="1:12">
      <c r="A67" s="1"/>
      <c r="B67" s="23"/>
      <c r="C67" s="22"/>
      <c r="D67" s="97"/>
      <c r="E67" s="96"/>
      <c r="F67" s="96"/>
      <c r="G67" s="96"/>
      <c r="H67" s="96"/>
      <c r="I67" s="96"/>
      <c r="J67" s="96"/>
      <c r="K67" s="22"/>
      <c r="L67" s="22"/>
    </row>
    <row r="68" spans="1:12">
      <c r="A68" s="1"/>
      <c r="B68" s="23"/>
      <c r="C68" s="22"/>
      <c r="D68" s="97"/>
      <c r="E68" s="96"/>
      <c r="F68" s="96"/>
      <c r="G68" s="96"/>
      <c r="H68" s="96"/>
      <c r="I68" s="96"/>
      <c r="J68" s="96"/>
      <c r="K68" s="22"/>
      <c r="L68" s="22"/>
    </row>
    <row r="69" spans="1:12">
      <c r="A69" s="1"/>
      <c r="B69" s="23"/>
      <c r="C69" s="22"/>
      <c r="D69" s="97"/>
      <c r="E69" s="96"/>
      <c r="F69" s="96"/>
      <c r="G69" s="96"/>
      <c r="H69" s="96"/>
      <c r="I69" s="96"/>
      <c r="J69" s="96"/>
      <c r="K69" s="22"/>
      <c r="L69" s="22"/>
    </row>
    <row r="70" spans="1:12">
      <c r="A70" s="1"/>
      <c r="B70" s="23"/>
      <c r="C70" s="22"/>
      <c r="D70" s="97"/>
      <c r="E70" s="96"/>
      <c r="F70" s="96"/>
      <c r="G70" s="96"/>
      <c r="H70" s="96"/>
      <c r="I70" s="96"/>
      <c r="J70" s="96"/>
      <c r="K70" s="22"/>
      <c r="L70" s="22"/>
    </row>
    <row r="71" spans="1:12">
      <c r="A71" s="1"/>
      <c r="B71" s="23"/>
      <c r="C71" s="22"/>
      <c r="D71" s="97"/>
      <c r="E71" s="96"/>
      <c r="F71" s="96"/>
      <c r="G71" s="96"/>
      <c r="H71" s="96"/>
      <c r="I71" s="96"/>
      <c r="J71" s="96"/>
      <c r="K71" s="22"/>
      <c r="L71" s="22"/>
    </row>
    <row r="72" spans="1:12">
      <c r="A72" s="1"/>
      <c r="B72" s="23"/>
      <c r="C72" s="22"/>
      <c r="D72" s="97"/>
      <c r="E72" s="96"/>
      <c r="F72" s="96"/>
      <c r="G72" s="96"/>
      <c r="H72" s="96"/>
      <c r="I72" s="96"/>
      <c r="J72" s="96"/>
      <c r="K72" s="22"/>
      <c r="L72" s="22"/>
    </row>
    <row r="73" spans="1:12">
      <c r="A73" s="1"/>
      <c r="B73" s="23"/>
      <c r="C73" s="22"/>
      <c r="D73" s="97"/>
      <c r="E73" s="96"/>
      <c r="F73" s="96"/>
      <c r="G73" s="96"/>
      <c r="H73" s="96"/>
      <c r="I73" s="96"/>
      <c r="J73" s="96"/>
      <c r="K73" s="22"/>
      <c r="L73" s="22"/>
    </row>
    <row r="74" spans="1:12">
      <c r="A74" s="1"/>
      <c r="B74" s="23"/>
      <c r="C74" s="22"/>
      <c r="D74" s="97"/>
      <c r="E74" s="96"/>
      <c r="F74" s="96"/>
      <c r="G74" s="96"/>
      <c r="H74" s="96"/>
      <c r="I74" s="96"/>
      <c r="J74" s="96"/>
      <c r="K74" s="22"/>
      <c r="L74" s="22"/>
    </row>
    <row r="75" spans="1:12">
      <c r="A75" s="26"/>
      <c r="B75" s="23"/>
      <c r="C75" s="22"/>
      <c r="D75" s="22"/>
      <c r="E75" s="22"/>
      <c r="F75" s="22"/>
      <c r="G75" s="22"/>
      <c r="H75" s="22"/>
      <c r="I75" s="95"/>
      <c r="J75" s="22"/>
      <c r="K75" s="94" t="s">
        <v>291</v>
      </c>
      <c r="L75" s="22"/>
    </row>
    <row r="76" spans="1:12">
      <c r="A76" s="26"/>
      <c r="B76" s="22"/>
      <c r="C76" s="22"/>
      <c r="D76" s="22"/>
      <c r="E76" s="22"/>
      <c r="F76" s="22"/>
      <c r="G76" s="22"/>
      <c r="H76" s="22"/>
      <c r="I76" s="22"/>
      <c r="J76" s="22"/>
      <c r="K76" s="22"/>
      <c r="L76" s="22"/>
    </row>
    <row r="77" spans="1:12">
      <c r="A77" s="26"/>
      <c r="B77" s="23" t="s">
        <v>94</v>
      </c>
      <c r="C77" s="23"/>
      <c r="D77" s="92" t="s">
        <v>93</v>
      </c>
      <c r="E77" s="23"/>
      <c r="F77" s="23"/>
      <c r="G77" s="23"/>
      <c r="H77" s="23"/>
      <c r="J77" s="23"/>
      <c r="K77" s="94" t="str">
        <f>K3</f>
        <v>For the 12 months ended 12/31/2015</v>
      </c>
      <c r="L77" s="23"/>
    </row>
    <row r="78" spans="1:12">
      <c r="A78" s="26"/>
      <c r="B78" s="23" t="s">
        <v>290</v>
      </c>
      <c r="C78" s="16"/>
      <c r="D78" s="16" t="s">
        <v>92</v>
      </c>
      <c r="E78" s="16"/>
      <c r="F78" s="16"/>
      <c r="G78" s="16"/>
      <c r="H78" s="16"/>
      <c r="I78" s="16"/>
      <c r="J78" s="16"/>
      <c r="K78" s="16"/>
      <c r="L78" s="22"/>
    </row>
    <row r="79" spans="1:12">
      <c r="A79" s="26"/>
      <c r="B79" s="23"/>
      <c r="C79" s="16" t="s">
        <v>67</v>
      </c>
      <c r="D79" s="16" t="s">
        <v>67</v>
      </c>
      <c r="E79" s="16"/>
      <c r="F79" s="16"/>
      <c r="G79" s="16" t="s">
        <v>67</v>
      </c>
      <c r="H79" s="16"/>
      <c r="I79" s="16"/>
      <c r="J79" s="16"/>
      <c r="K79" s="16"/>
      <c r="L79" s="16"/>
    </row>
    <row r="80" spans="1:12">
      <c r="A80" s="1016" t="str">
        <f>A6</f>
        <v>American Transmission Company LLC</v>
      </c>
      <c r="B80" s="1016"/>
      <c r="C80" s="1016"/>
      <c r="D80" s="1016"/>
      <c r="E80" s="1016"/>
      <c r="F80" s="1016"/>
      <c r="G80" s="1016"/>
      <c r="H80" s="1016"/>
      <c r="I80" s="1016"/>
      <c r="J80" s="1016"/>
      <c r="K80" s="1016"/>
      <c r="L80" s="16"/>
    </row>
    <row r="81" spans="1:12">
      <c r="A81" s="26"/>
      <c r="B81" s="57" t="s">
        <v>245</v>
      </c>
      <c r="C81" s="57" t="s">
        <v>244</v>
      </c>
      <c r="D81" s="57" t="s">
        <v>243</v>
      </c>
      <c r="E81" s="16" t="s">
        <v>67</v>
      </c>
      <c r="F81" s="16"/>
      <c r="G81" s="88" t="s">
        <v>242</v>
      </c>
      <c r="H81" s="16"/>
      <c r="I81" s="784" t="s">
        <v>241</v>
      </c>
      <c r="J81" s="16"/>
      <c r="K81" s="57"/>
      <c r="L81" s="57"/>
    </row>
    <row r="82" spans="1:12">
      <c r="A82" s="26"/>
      <c r="B82" s="23"/>
      <c r="C82" s="60" t="s">
        <v>240</v>
      </c>
      <c r="D82" s="16"/>
      <c r="E82" s="16"/>
      <c r="F82" s="16"/>
      <c r="G82" s="1"/>
      <c r="H82" s="16"/>
      <c r="I82" s="85" t="s">
        <v>25</v>
      </c>
      <c r="J82" s="16"/>
      <c r="K82" s="57"/>
      <c r="L82" s="57"/>
    </row>
    <row r="83" spans="1:12">
      <c r="A83" s="1" t="s">
        <v>8</v>
      </c>
      <c r="B83" s="23"/>
      <c r="C83" s="87" t="s">
        <v>239</v>
      </c>
      <c r="D83" s="85" t="s">
        <v>238</v>
      </c>
      <c r="E83" s="86"/>
      <c r="F83" s="85" t="s">
        <v>237</v>
      </c>
      <c r="G83" s="26"/>
      <c r="H83" s="86"/>
      <c r="I83" s="1" t="s">
        <v>236</v>
      </c>
      <c r="J83" s="16"/>
      <c r="K83" s="57"/>
      <c r="L83" s="57"/>
    </row>
    <row r="84" spans="1:12" ht="16.2" thickBot="1">
      <c r="A84" s="790" t="s">
        <v>177</v>
      </c>
      <c r="B84" s="71" t="s">
        <v>289</v>
      </c>
      <c r="C84" s="16"/>
      <c r="D84" s="16"/>
      <c r="E84" s="16"/>
      <c r="F84" s="16"/>
      <c r="G84" s="16"/>
      <c r="H84" s="16"/>
      <c r="I84" s="16"/>
      <c r="J84" s="16"/>
      <c r="K84" s="16"/>
      <c r="L84" s="16"/>
    </row>
    <row r="85" spans="1:12">
      <c r="A85" s="1"/>
      <c r="B85" s="23" t="s">
        <v>288</v>
      </c>
      <c r="C85" s="16"/>
      <c r="D85" s="16"/>
      <c r="E85" s="16"/>
      <c r="F85" s="16"/>
      <c r="G85" s="16"/>
      <c r="H85" s="16"/>
      <c r="I85" s="16"/>
      <c r="J85" s="16"/>
      <c r="K85" s="16"/>
      <c r="L85" s="16"/>
    </row>
    <row r="86" spans="1:12">
      <c r="A86" s="1">
        <v>1</v>
      </c>
      <c r="B86" s="23" t="s">
        <v>157</v>
      </c>
      <c r="C86" s="794" t="s">
        <v>287</v>
      </c>
      <c r="D86" s="56">
        <v>0</v>
      </c>
      <c r="E86" s="16"/>
      <c r="F86" s="16" t="s">
        <v>188</v>
      </c>
      <c r="G86" s="93" t="s">
        <v>67</v>
      </c>
      <c r="H86" s="16"/>
      <c r="I86" s="16">
        <v>0</v>
      </c>
      <c r="J86" s="16"/>
      <c r="K86" s="16"/>
      <c r="L86" s="26"/>
    </row>
    <row r="87" spans="1:12">
      <c r="A87" s="1" t="s">
        <v>35</v>
      </c>
      <c r="B87" s="23" t="s">
        <v>474</v>
      </c>
      <c r="C87" s="794" t="s">
        <v>475</v>
      </c>
      <c r="D87" s="56">
        <v>4513710001</v>
      </c>
      <c r="E87" s="16"/>
      <c r="F87" s="16" t="s">
        <v>159</v>
      </c>
      <c r="G87" s="799">
        <f>I231</f>
        <v>1</v>
      </c>
      <c r="H87" s="794"/>
      <c r="I87" s="794">
        <f>+G87*D87</f>
        <v>4513710001</v>
      </c>
      <c r="J87" s="16"/>
      <c r="K87" s="16"/>
      <c r="L87" s="26"/>
    </row>
    <row r="88" spans="1:12">
      <c r="A88" s="1" t="s">
        <v>34</v>
      </c>
      <c r="B88" s="92" t="s">
        <v>275</v>
      </c>
      <c r="C88" s="16"/>
      <c r="D88" s="56">
        <f>CWIP!E22</f>
        <v>194171106.07692307</v>
      </c>
      <c r="E88" s="16"/>
      <c r="F88" s="16" t="s">
        <v>159</v>
      </c>
      <c r="G88" s="799">
        <f>G87</f>
        <v>1</v>
      </c>
      <c r="H88" s="794"/>
      <c r="I88" s="794">
        <f>+G88*D88</f>
        <v>194171106.07692307</v>
      </c>
      <c r="J88" s="16"/>
      <c r="K88" s="16"/>
      <c r="L88" s="26"/>
    </row>
    <row r="89" spans="1:12">
      <c r="A89" s="1">
        <v>3</v>
      </c>
      <c r="B89" s="23" t="s">
        <v>153</v>
      </c>
      <c r="C89" s="794" t="s">
        <v>286</v>
      </c>
      <c r="D89" s="56">
        <v>0</v>
      </c>
      <c r="E89" s="16"/>
      <c r="F89" s="16" t="s">
        <v>188</v>
      </c>
      <c r="G89" s="799" t="s">
        <v>67</v>
      </c>
      <c r="H89" s="794"/>
      <c r="I89" s="794">
        <v>0</v>
      </c>
      <c r="J89" s="16"/>
      <c r="K89" s="16"/>
      <c r="L89" s="26"/>
    </row>
    <row r="90" spans="1:12">
      <c r="A90" s="1">
        <v>4</v>
      </c>
      <c r="B90" s="23" t="s">
        <v>476</v>
      </c>
      <c r="C90" s="794" t="s">
        <v>477</v>
      </c>
      <c r="D90" s="56">
        <v>112965942</v>
      </c>
      <c r="E90" s="16"/>
      <c r="F90" s="16" t="s">
        <v>213</v>
      </c>
      <c r="G90" s="799">
        <f>I248</f>
        <v>1</v>
      </c>
      <c r="H90" s="794"/>
      <c r="I90" s="794">
        <f>+G90*D90</f>
        <v>112965942</v>
      </c>
      <c r="J90" s="16"/>
      <c r="K90" s="16"/>
      <c r="L90" s="26"/>
    </row>
    <row r="91" spans="1:12" ht="16.2" thickBot="1">
      <c r="A91" s="1">
        <v>5</v>
      </c>
      <c r="B91" s="23" t="s">
        <v>220</v>
      </c>
      <c r="C91" s="16" t="s">
        <v>224</v>
      </c>
      <c r="D91" s="800">
        <v>0</v>
      </c>
      <c r="E91" s="16"/>
      <c r="F91" s="16" t="s">
        <v>139</v>
      </c>
      <c r="G91" s="799">
        <f>K252</f>
        <v>1</v>
      </c>
      <c r="H91" s="794"/>
      <c r="I91" s="795">
        <f>+G91*D91</f>
        <v>0</v>
      </c>
      <c r="J91" s="16"/>
      <c r="K91" s="16"/>
      <c r="L91" s="26"/>
    </row>
    <row r="92" spans="1:12">
      <c r="A92" s="1">
        <v>6</v>
      </c>
      <c r="B92" s="17" t="s">
        <v>285</v>
      </c>
      <c r="C92" s="16"/>
      <c r="D92" s="16">
        <f>SUM(D86:D91)</f>
        <v>4820847049.0769234</v>
      </c>
      <c r="E92" s="16"/>
      <c r="F92" s="16" t="s">
        <v>284</v>
      </c>
      <c r="G92" s="801">
        <f>IF(I92&gt;0,I92/D92,0)</f>
        <v>1</v>
      </c>
      <c r="H92" s="794"/>
      <c r="I92" s="794">
        <f>SUM(I86:I91)</f>
        <v>4820847049.0769234</v>
      </c>
      <c r="J92" s="16"/>
      <c r="K92" s="59"/>
      <c r="L92" s="16"/>
    </row>
    <row r="93" spans="1:12">
      <c r="A93" s="26"/>
      <c r="B93" s="23"/>
      <c r="C93" s="16"/>
      <c r="D93" s="16"/>
      <c r="E93" s="16"/>
      <c r="F93" s="16"/>
      <c r="G93" s="59"/>
      <c r="H93" s="16"/>
      <c r="I93" s="16"/>
      <c r="J93" s="16"/>
      <c r="K93" s="59"/>
      <c r="L93" s="16"/>
    </row>
    <row r="94" spans="1:12">
      <c r="A94" s="26"/>
      <c r="B94" s="23" t="s">
        <v>283</v>
      </c>
      <c r="C94" s="16"/>
      <c r="D94" s="16"/>
      <c r="E94" s="16"/>
      <c r="F94" s="16"/>
      <c r="G94" s="16"/>
      <c r="H94" s="16"/>
      <c r="I94" s="16"/>
      <c r="J94" s="16"/>
      <c r="K94" s="16"/>
      <c r="L94" s="16"/>
    </row>
    <row r="95" spans="1:12">
      <c r="A95" s="1">
        <v>7</v>
      </c>
      <c r="B95" s="23" t="s">
        <v>157</v>
      </c>
      <c r="C95" s="16" t="s">
        <v>282</v>
      </c>
      <c r="D95" s="56">
        <v>0</v>
      </c>
      <c r="E95" s="16"/>
      <c r="F95" s="16" t="s">
        <v>188</v>
      </c>
      <c r="G95" s="93" t="s">
        <v>67</v>
      </c>
      <c r="H95" s="16"/>
      <c r="I95" s="16">
        <v>0</v>
      </c>
      <c r="J95" s="16"/>
      <c r="K95" s="16"/>
      <c r="L95" s="16"/>
    </row>
    <row r="96" spans="1:12">
      <c r="A96" s="1" t="s">
        <v>33</v>
      </c>
      <c r="B96" s="23" t="s">
        <v>474</v>
      </c>
      <c r="C96" s="16" t="s">
        <v>478</v>
      </c>
      <c r="D96" s="78">
        <v>1166943402</v>
      </c>
      <c r="E96" s="16"/>
      <c r="F96" s="16" t="s">
        <v>159</v>
      </c>
      <c r="G96" s="799">
        <f>+G87</f>
        <v>1</v>
      </c>
      <c r="H96" s="794"/>
      <c r="I96" s="794">
        <f>+G96*D96</f>
        <v>1166943402</v>
      </c>
      <c r="J96" s="16"/>
      <c r="K96" s="16"/>
      <c r="L96" s="16"/>
    </row>
    <row r="97" spans="1:12">
      <c r="A97" s="1" t="s">
        <v>32</v>
      </c>
      <c r="B97" s="92" t="s">
        <v>275</v>
      </c>
      <c r="C97" s="16"/>
      <c r="D97" s="78">
        <v>0</v>
      </c>
      <c r="E97" s="16"/>
      <c r="F97" s="16" t="s">
        <v>159</v>
      </c>
      <c r="G97" s="799">
        <f>G96</f>
        <v>1</v>
      </c>
      <c r="H97" s="794"/>
      <c r="I97" s="794">
        <f>+G97*D97</f>
        <v>0</v>
      </c>
      <c r="J97" s="16"/>
      <c r="K97" s="16"/>
      <c r="L97" s="16"/>
    </row>
    <row r="98" spans="1:12">
      <c r="A98" s="1">
        <v>9</v>
      </c>
      <c r="B98" s="23" t="s">
        <v>153</v>
      </c>
      <c r="C98" s="16" t="s">
        <v>281</v>
      </c>
      <c r="D98" s="56">
        <v>0</v>
      </c>
      <c r="E98" s="16"/>
      <c r="F98" s="16" t="s">
        <v>188</v>
      </c>
      <c r="G98" s="799" t="str">
        <f>+G89</f>
        <v xml:space="preserve"> </v>
      </c>
      <c r="H98" s="794"/>
      <c r="I98" s="794" t="s">
        <v>67</v>
      </c>
      <c r="J98" s="16"/>
      <c r="K98" s="16"/>
      <c r="L98" s="16"/>
    </row>
    <row r="99" spans="1:12">
      <c r="A99" s="1">
        <v>10</v>
      </c>
      <c r="B99" s="23" t="s">
        <v>476</v>
      </c>
      <c r="C99" s="16" t="s">
        <v>539</v>
      </c>
      <c r="D99" s="56">
        <v>31757842</v>
      </c>
      <c r="E99" s="16"/>
      <c r="F99" s="16" t="s">
        <v>213</v>
      </c>
      <c r="G99" s="799">
        <f>+G90</f>
        <v>1</v>
      </c>
      <c r="H99" s="794"/>
      <c r="I99" s="794">
        <f>+G99*D99</f>
        <v>31757842</v>
      </c>
      <c r="J99" s="16"/>
      <c r="K99" s="16"/>
      <c r="L99" s="16"/>
    </row>
    <row r="100" spans="1:12" ht="16.2" thickBot="1">
      <c r="A100" s="1">
        <v>11</v>
      </c>
      <c r="B100" s="23" t="s">
        <v>220</v>
      </c>
      <c r="C100" s="16" t="s">
        <v>224</v>
      </c>
      <c r="D100" s="800">
        <v>0</v>
      </c>
      <c r="E100" s="16"/>
      <c r="F100" s="16" t="s">
        <v>139</v>
      </c>
      <c r="G100" s="799">
        <f>+G91</f>
        <v>1</v>
      </c>
      <c r="H100" s="794"/>
      <c r="I100" s="795">
        <f>+G100*D100</f>
        <v>0</v>
      </c>
      <c r="J100" s="16"/>
      <c r="K100" s="16"/>
      <c r="L100" s="16"/>
    </row>
    <row r="101" spans="1:12">
      <c r="A101" s="1">
        <v>12</v>
      </c>
      <c r="B101" s="23" t="s">
        <v>280</v>
      </c>
      <c r="C101" s="16"/>
      <c r="D101" s="802">
        <f>SUM(D95:D100)</f>
        <v>1198701244</v>
      </c>
      <c r="E101" s="16"/>
      <c r="F101" s="16"/>
      <c r="G101" s="794"/>
      <c r="H101" s="794"/>
      <c r="I101" s="794">
        <f>SUM(I95:I100)</f>
        <v>1198701244</v>
      </c>
      <c r="J101" s="16"/>
      <c r="K101" s="16"/>
      <c r="L101" s="80"/>
    </row>
    <row r="102" spans="1:12">
      <c r="A102" s="1"/>
      <c r="B102" s="26"/>
      <c r="C102" s="16" t="s">
        <v>67</v>
      </c>
      <c r="D102" s="26"/>
      <c r="E102" s="16"/>
      <c r="F102" s="16"/>
      <c r="G102" s="59"/>
      <c r="H102" s="16"/>
      <c r="I102" s="26"/>
      <c r="J102" s="16"/>
      <c r="K102" s="59"/>
      <c r="L102" s="16"/>
    </row>
    <row r="103" spans="1:12">
      <c r="A103" s="1"/>
      <c r="B103" s="23" t="s">
        <v>279</v>
      </c>
      <c r="C103" s="16"/>
      <c r="D103" s="16"/>
      <c r="E103" s="16"/>
      <c r="F103" s="16"/>
      <c r="G103" s="16"/>
      <c r="H103" s="16"/>
      <c r="I103" s="16"/>
      <c r="J103" s="16"/>
      <c r="K103" s="16"/>
      <c r="L103" s="16"/>
    </row>
    <row r="104" spans="1:12">
      <c r="A104" s="1">
        <v>13</v>
      </c>
      <c r="B104" s="23" t="s">
        <v>157</v>
      </c>
      <c r="C104" s="16" t="s">
        <v>278</v>
      </c>
      <c r="D104" s="794">
        <f t="shared" ref="D104:D109" si="0">D86-D95</f>
        <v>0</v>
      </c>
      <c r="E104" s="794"/>
      <c r="F104" s="794"/>
      <c r="G104" s="801"/>
      <c r="H104" s="794"/>
      <c r="I104" s="794">
        <f>I86-I95</f>
        <v>0</v>
      </c>
      <c r="J104" s="16"/>
      <c r="K104" s="59"/>
      <c r="L104" s="16"/>
    </row>
    <row r="105" spans="1:12">
      <c r="A105" s="1" t="s">
        <v>277</v>
      </c>
      <c r="B105" s="23" t="s">
        <v>474</v>
      </c>
      <c r="C105" s="16" t="s">
        <v>794</v>
      </c>
      <c r="D105" s="794">
        <f t="shared" si="0"/>
        <v>3346766599</v>
      </c>
      <c r="E105" s="794"/>
      <c r="F105" s="794"/>
      <c r="G105" s="799"/>
      <c r="H105" s="794"/>
      <c r="I105" s="794">
        <f>I87-I96</f>
        <v>3346766599</v>
      </c>
      <c r="J105" s="16"/>
      <c r="K105" s="59"/>
      <c r="L105" s="16"/>
    </row>
    <row r="106" spans="1:12">
      <c r="A106" s="1" t="s">
        <v>276</v>
      </c>
      <c r="B106" s="92" t="s">
        <v>275</v>
      </c>
      <c r="C106" s="16"/>
      <c r="D106" s="794">
        <f t="shared" si="0"/>
        <v>194171106.07692307</v>
      </c>
      <c r="E106" s="794"/>
      <c r="F106" s="794"/>
      <c r="G106" s="799"/>
      <c r="H106" s="794"/>
      <c r="I106" s="794">
        <f>I88-I97</f>
        <v>194171106.07692307</v>
      </c>
      <c r="J106" s="16"/>
      <c r="K106" s="59"/>
      <c r="L106" s="16"/>
    </row>
    <row r="107" spans="1:12">
      <c r="A107" s="1">
        <v>15</v>
      </c>
      <c r="B107" s="23" t="s">
        <v>153</v>
      </c>
      <c r="C107" s="16" t="s">
        <v>274</v>
      </c>
      <c r="D107" s="794">
        <f t="shared" si="0"/>
        <v>0</v>
      </c>
      <c r="E107" s="794"/>
      <c r="F107" s="794"/>
      <c r="G107" s="801"/>
      <c r="H107" s="794"/>
      <c r="I107" s="794" t="s">
        <v>67</v>
      </c>
      <c r="J107" s="16"/>
      <c r="K107" s="59"/>
      <c r="L107" s="16"/>
    </row>
    <row r="108" spans="1:12">
      <c r="A108" s="1">
        <v>16</v>
      </c>
      <c r="B108" s="23" t="s">
        <v>795</v>
      </c>
      <c r="C108" s="16" t="s">
        <v>273</v>
      </c>
      <c r="D108" s="794">
        <f t="shared" si="0"/>
        <v>81208100</v>
      </c>
      <c r="E108" s="794"/>
      <c r="F108" s="794"/>
      <c r="G108" s="801"/>
      <c r="H108" s="794"/>
      <c r="I108" s="794">
        <f>I90-I99</f>
        <v>81208100</v>
      </c>
      <c r="J108" s="16"/>
      <c r="K108" s="59"/>
      <c r="L108" s="16"/>
    </row>
    <row r="109" spans="1:12" ht="16.2" thickBot="1">
      <c r="A109" s="1">
        <v>17</v>
      </c>
      <c r="B109" s="23" t="s">
        <v>220</v>
      </c>
      <c r="C109" s="16" t="s">
        <v>272</v>
      </c>
      <c r="D109" s="795">
        <f t="shared" si="0"/>
        <v>0</v>
      </c>
      <c r="E109" s="794"/>
      <c r="F109" s="794"/>
      <c r="G109" s="801"/>
      <c r="H109" s="794"/>
      <c r="I109" s="795">
        <f>I91-I100</f>
        <v>0</v>
      </c>
      <c r="J109" s="16"/>
      <c r="K109" s="59"/>
      <c r="L109" s="16"/>
    </row>
    <row r="110" spans="1:12">
      <c r="A110" s="1">
        <v>18</v>
      </c>
      <c r="B110" s="23" t="s">
        <v>271</v>
      </c>
      <c r="C110" s="16"/>
      <c r="D110" s="794">
        <f>SUM(D104:D109)</f>
        <v>3622145805.0769229</v>
      </c>
      <c r="E110" s="794"/>
      <c r="F110" s="794" t="s">
        <v>270</v>
      </c>
      <c r="G110" s="801">
        <f>IF(I110&gt;0,I110/D110,0)</f>
        <v>1</v>
      </c>
      <c r="H110" s="794"/>
      <c r="I110" s="794">
        <f>SUM(I104:I109)</f>
        <v>3622145805.0769229</v>
      </c>
      <c r="J110" s="16"/>
      <c r="K110" s="16"/>
      <c r="L110" s="91"/>
    </row>
    <row r="111" spans="1:12">
      <c r="A111" s="1"/>
      <c r="B111" s="26"/>
      <c r="C111" s="16"/>
      <c r="D111" s="26"/>
      <c r="E111" s="16"/>
      <c r="F111" s="26"/>
      <c r="G111" s="26"/>
      <c r="H111" s="16"/>
      <c r="I111" s="26"/>
      <c r="J111" s="16"/>
      <c r="K111" s="59"/>
      <c r="L111" s="16"/>
    </row>
    <row r="112" spans="1:12">
      <c r="A112" s="1"/>
      <c r="B112" s="17" t="s">
        <v>269</v>
      </c>
      <c r="C112" s="16"/>
      <c r="D112" s="16"/>
      <c r="E112" s="16"/>
      <c r="F112" s="16"/>
      <c r="G112" s="16"/>
      <c r="H112" s="16"/>
      <c r="I112" s="16"/>
      <c r="J112" s="16"/>
      <c r="K112" s="16"/>
      <c r="L112" s="16"/>
    </row>
    <row r="113" spans="1:12">
      <c r="A113" s="1">
        <v>19</v>
      </c>
      <c r="B113" s="23" t="s">
        <v>268</v>
      </c>
      <c r="C113" s="16" t="s">
        <v>267</v>
      </c>
      <c r="D113" s="56">
        <v>0</v>
      </c>
      <c r="E113" s="52"/>
      <c r="F113" s="52" t="s">
        <v>188</v>
      </c>
      <c r="G113" s="803" t="s">
        <v>209</v>
      </c>
      <c r="H113" s="794"/>
      <c r="I113" s="794">
        <v>0</v>
      </c>
      <c r="J113" s="16"/>
      <c r="K113" s="59"/>
      <c r="L113" s="59"/>
    </row>
    <row r="114" spans="1:12">
      <c r="A114" s="1">
        <v>20</v>
      </c>
      <c r="B114" s="23" t="s">
        <v>266</v>
      </c>
      <c r="C114" s="16" t="s">
        <v>265</v>
      </c>
      <c r="D114" s="90">
        <f>'Def. Tax Avg Calc'!C37</f>
        <v>-624078512.52834582</v>
      </c>
      <c r="E114" s="16"/>
      <c r="F114" s="16" t="s">
        <v>191</v>
      </c>
      <c r="G114" s="799">
        <f>+G110</f>
        <v>1</v>
      </c>
      <c r="H114" s="794"/>
      <c r="I114" s="794">
        <f>D114*G114</f>
        <v>-624078512.52834582</v>
      </c>
      <c r="J114" s="16"/>
      <c r="K114" s="59"/>
      <c r="L114" s="59"/>
    </row>
    <row r="115" spans="1:12">
      <c r="A115" s="1">
        <v>21</v>
      </c>
      <c r="B115" s="23" t="s">
        <v>264</v>
      </c>
      <c r="C115" s="16" t="s">
        <v>263</v>
      </c>
      <c r="D115" s="90">
        <f>'Def. Tax Avg Calc'!C53</f>
        <v>-3927133.4469968379</v>
      </c>
      <c r="E115" s="16"/>
      <c r="F115" s="16" t="s">
        <v>191</v>
      </c>
      <c r="G115" s="799">
        <f>+G114</f>
        <v>1</v>
      </c>
      <c r="H115" s="794"/>
      <c r="I115" s="794">
        <f>D115*G115</f>
        <v>-3927133.4469968379</v>
      </c>
      <c r="J115" s="16"/>
      <c r="K115" s="59"/>
      <c r="L115" s="59"/>
    </row>
    <row r="116" spans="1:12">
      <c r="A116" s="1">
        <v>22</v>
      </c>
      <c r="B116" s="23" t="s">
        <v>262</v>
      </c>
      <c r="C116" s="16" t="s">
        <v>261</v>
      </c>
      <c r="D116" s="89">
        <f>'Def. Tax Avg Calc'!C21</f>
        <v>13739756.475026343</v>
      </c>
      <c r="E116" s="16"/>
      <c r="F116" s="16" t="s">
        <v>191</v>
      </c>
      <c r="G116" s="799">
        <f>+G115</f>
        <v>1</v>
      </c>
      <c r="H116" s="794"/>
      <c r="I116" s="794">
        <f>D116*G116</f>
        <v>13739756.475026343</v>
      </c>
      <c r="J116" s="16"/>
      <c r="K116" s="59"/>
      <c r="L116" s="59"/>
    </row>
    <row r="117" spans="1:12" ht="16.2" thickBot="1">
      <c r="A117" s="1">
        <v>23</v>
      </c>
      <c r="B117" s="26" t="s">
        <v>260</v>
      </c>
      <c r="C117" s="26" t="s">
        <v>259</v>
      </c>
      <c r="D117" s="800">
        <v>0</v>
      </c>
      <c r="E117" s="16"/>
      <c r="F117" s="16" t="s">
        <v>191</v>
      </c>
      <c r="G117" s="799">
        <f>+G115</f>
        <v>1</v>
      </c>
      <c r="H117" s="794"/>
      <c r="I117" s="795">
        <f>D117*G117</f>
        <v>0</v>
      </c>
      <c r="J117" s="16"/>
      <c r="K117" s="59"/>
      <c r="L117" s="59"/>
    </row>
    <row r="118" spans="1:12">
      <c r="A118" s="1">
        <v>24</v>
      </c>
      <c r="B118" s="23" t="s">
        <v>258</v>
      </c>
      <c r="C118" s="16"/>
      <c r="D118" s="73">
        <f>SUM(D113:D117)</f>
        <v>-614265889.50031626</v>
      </c>
      <c r="E118" s="16"/>
      <c r="F118" s="16"/>
      <c r="G118" s="794"/>
      <c r="H118" s="794"/>
      <c r="I118" s="794">
        <f>SUM(I113:I117)</f>
        <v>-614265889.50031626</v>
      </c>
      <c r="J118" s="16"/>
      <c r="K118" s="16"/>
      <c r="L118" s="80"/>
    </row>
    <row r="119" spans="1:12">
      <c r="A119" s="1"/>
      <c r="B119" s="26"/>
      <c r="C119" s="16"/>
      <c r="D119" s="26"/>
      <c r="E119" s="16"/>
      <c r="F119" s="16"/>
      <c r="G119" s="59"/>
      <c r="H119" s="16"/>
      <c r="I119" s="26"/>
      <c r="J119" s="16"/>
      <c r="K119" s="59"/>
      <c r="L119" s="16"/>
    </row>
    <row r="120" spans="1:12">
      <c r="A120" s="1">
        <v>25</v>
      </c>
      <c r="B120" s="17" t="s">
        <v>257</v>
      </c>
      <c r="C120" s="81" t="s">
        <v>256</v>
      </c>
      <c r="D120" s="56">
        <v>13479721</v>
      </c>
      <c r="E120" s="16"/>
      <c r="F120" s="16" t="s">
        <v>159</v>
      </c>
      <c r="G120" s="799">
        <f>+G96</f>
        <v>1</v>
      </c>
      <c r="H120" s="794"/>
      <c r="I120" s="794">
        <f>+G120*D120</f>
        <v>13479721</v>
      </c>
      <c r="J120" s="16"/>
      <c r="K120" s="16"/>
      <c r="L120" s="16"/>
    </row>
    <row r="121" spans="1:12">
      <c r="A121" s="1"/>
      <c r="B121" s="23"/>
      <c r="C121" s="16"/>
      <c r="D121" s="16"/>
      <c r="E121" s="16"/>
      <c r="F121" s="16"/>
      <c r="G121" s="794"/>
      <c r="H121" s="794"/>
      <c r="I121" s="794"/>
      <c r="J121" s="16"/>
      <c r="K121" s="16"/>
      <c r="L121" s="16"/>
    </row>
    <row r="122" spans="1:12">
      <c r="A122" s="1"/>
      <c r="B122" s="23" t="s">
        <v>255</v>
      </c>
      <c r="C122" s="16" t="s">
        <v>67</v>
      </c>
      <c r="D122" s="16"/>
      <c r="E122" s="16"/>
      <c r="F122" s="16"/>
      <c r="G122" s="794"/>
      <c r="H122" s="794"/>
      <c r="I122" s="794"/>
      <c r="J122" s="16"/>
      <c r="K122" s="16"/>
      <c r="L122" s="16"/>
    </row>
    <row r="123" spans="1:12">
      <c r="A123" s="1">
        <v>26</v>
      </c>
      <c r="B123" s="23" t="s">
        <v>254</v>
      </c>
      <c r="C123" s="26" t="s">
        <v>253</v>
      </c>
      <c r="D123" s="52">
        <f>+D165/8</f>
        <v>19614748.353750002</v>
      </c>
      <c r="E123" s="52"/>
      <c r="F123" s="52"/>
      <c r="G123" s="804"/>
      <c r="H123" s="805"/>
      <c r="I123" s="805">
        <f>+I165/8</f>
        <v>17596276.997815982</v>
      </c>
      <c r="J123" s="22"/>
      <c r="K123" s="59"/>
      <c r="L123" s="30"/>
    </row>
    <row r="124" spans="1:12">
      <c r="A124" s="1">
        <v>27</v>
      </c>
      <c r="B124" s="23" t="s">
        <v>252</v>
      </c>
      <c r="C124" s="81" t="s">
        <v>251</v>
      </c>
      <c r="D124" s="56">
        <v>3032429.4246153841</v>
      </c>
      <c r="E124" s="16"/>
      <c r="F124" s="16" t="s">
        <v>225</v>
      </c>
      <c r="G124" s="799">
        <f>I240</f>
        <v>0.86039472191742106</v>
      </c>
      <c r="H124" s="794"/>
      <c r="I124" s="794">
        <f>+G124*D124</f>
        <v>2609086.2715261583</v>
      </c>
      <c r="J124" s="16" t="s">
        <v>67</v>
      </c>
      <c r="K124" s="59"/>
      <c r="L124" s="30"/>
    </row>
    <row r="125" spans="1:12" ht="16.2" thickBot="1">
      <c r="A125" s="1">
        <v>28</v>
      </c>
      <c r="B125" s="23" t="s">
        <v>250</v>
      </c>
      <c r="C125" s="794" t="s">
        <v>249</v>
      </c>
      <c r="D125" s="800">
        <v>8702320.1899999995</v>
      </c>
      <c r="E125" s="16"/>
      <c r="F125" s="16" t="s">
        <v>205</v>
      </c>
      <c r="G125" s="799">
        <f>+G92</f>
        <v>1</v>
      </c>
      <c r="H125" s="794"/>
      <c r="I125" s="795">
        <f>+G125*D125</f>
        <v>8702320.1899999995</v>
      </c>
      <c r="J125" s="16"/>
      <c r="K125" s="59"/>
      <c r="L125" s="30"/>
    </row>
    <row r="126" spans="1:12">
      <c r="A126" s="1">
        <v>29</v>
      </c>
      <c r="B126" s="23" t="s">
        <v>248</v>
      </c>
      <c r="C126" s="22"/>
      <c r="D126" s="16">
        <f>SUM(D123:D125)</f>
        <v>31349497.968365386</v>
      </c>
      <c r="E126" s="22"/>
      <c r="F126" s="22"/>
      <c r="G126" s="806"/>
      <c r="H126" s="806"/>
      <c r="I126" s="794">
        <f>I123+I124+I125</f>
        <v>28907683.459342137</v>
      </c>
      <c r="J126" s="22"/>
      <c r="K126" s="22"/>
      <c r="L126" s="80"/>
    </row>
    <row r="127" spans="1:12" ht="16.2" thickBot="1">
      <c r="A127" s="26"/>
      <c r="B127" s="26"/>
      <c r="C127" s="16"/>
      <c r="D127" s="807"/>
      <c r="E127" s="16"/>
      <c r="F127" s="16"/>
      <c r="G127" s="16"/>
      <c r="H127" s="16"/>
      <c r="I127" s="807"/>
      <c r="J127" s="16"/>
      <c r="K127" s="16"/>
      <c r="L127" s="16"/>
    </row>
    <row r="128" spans="1:12" ht="16.2" thickBot="1">
      <c r="A128" s="1">
        <v>30</v>
      </c>
      <c r="B128" s="23" t="s">
        <v>247</v>
      </c>
      <c r="C128" s="16"/>
      <c r="D128" s="808">
        <f>+D126+D120+D118+D110</f>
        <v>3052709134.5449719</v>
      </c>
      <c r="E128" s="794"/>
      <c r="F128" s="794"/>
      <c r="G128" s="801"/>
      <c r="H128" s="794"/>
      <c r="I128" s="808">
        <f>+I126+I120+I118+I110</f>
        <v>3050267320.0359488</v>
      </c>
      <c r="J128" s="16"/>
      <c r="K128" s="59"/>
      <c r="L128" s="16"/>
    </row>
    <row r="129" spans="1:12" ht="16.2" thickTop="1">
      <c r="A129" s="1"/>
      <c r="B129" s="23"/>
      <c r="C129" s="16"/>
      <c r="D129" s="809"/>
      <c r="E129" s="794"/>
      <c r="F129" s="794"/>
      <c r="G129" s="801"/>
      <c r="H129" s="794"/>
      <c r="I129" s="809"/>
      <c r="J129" s="16"/>
      <c r="K129" s="59"/>
      <c r="L129" s="16"/>
    </row>
    <row r="130" spans="1:12">
      <c r="A130" s="1"/>
      <c r="B130" s="23"/>
      <c r="C130" s="16"/>
      <c r="D130" s="809"/>
      <c r="E130" s="794"/>
      <c r="F130" s="794"/>
      <c r="G130" s="801"/>
      <c r="H130" s="794"/>
      <c r="I130" s="809"/>
      <c r="J130" s="16"/>
      <c r="K130" s="59"/>
      <c r="L130" s="16"/>
    </row>
    <row r="131" spans="1:12">
      <c r="A131" s="1"/>
      <c r="B131" s="23"/>
      <c r="C131" s="16"/>
      <c r="D131" s="809"/>
      <c r="E131" s="794"/>
      <c r="F131" s="794"/>
      <c r="G131" s="801"/>
      <c r="H131" s="794"/>
      <c r="I131" s="809"/>
      <c r="J131" s="16"/>
      <c r="K131" s="59"/>
      <c r="L131" s="16"/>
    </row>
    <row r="132" spans="1:12">
      <c r="A132" s="1"/>
      <c r="B132" s="23"/>
      <c r="C132" s="16"/>
      <c r="D132" s="809"/>
      <c r="E132" s="794"/>
      <c r="F132" s="794"/>
      <c r="G132" s="801"/>
      <c r="H132" s="794"/>
      <c r="I132" s="809"/>
      <c r="J132" s="16"/>
      <c r="K132" s="59"/>
      <c r="L132" s="16"/>
    </row>
    <row r="133" spans="1:12">
      <c r="A133" s="1"/>
      <c r="B133" s="23"/>
      <c r="C133" s="16"/>
      <c r="D133" s="809"/>
      <c r="E133" s="794"/>
      <c r="F133" s="794"/>
      <c r="G133" s="801"/>
      <c r="H133" s="794"/>
      <c r="I133" s="809"/>
      <c r="J133" s="16"/>
      <c r="K133" s="59"/>
      <c r="L133" s="16"/>
    </row>
    <row r="134" spans="1:12">
      <c r="A134" s="1"/>
      <c r="B134" s="23"/>
      <c r="C134" s="16"/>
      <c r="D134" s="809"/>
      <c r="E134" s="794"/>
      <c r="F134" s="794"/>
      <c r="G134" s="801"/>
      <c r="H134" s="794"/>
      <c r="I134" s="809"/>
      <c r="J134" s="16"/>
      <c r="K134" s="59"/>
      <c r="L134" s="16"/>
    </row>
    <row r="135" spans="1:12">
      <c r="A135" s="1"/>
      <c r="B135" s="23"/>
      <c r="C135" s="16"/>
      <c r="D135" s="809"/>
      <c r="E135" s="794"/>
      <c r="F135" s="794"/>
      <c r="G135" s="801"/>
      <c r="H135" s="794"/>
      <c r="I135" s="809"/>
      <c r="J135" s="16"/>
      <c r="K135" s="59"/>
      <c r="L135" s="16"/>
    </row>
    <row r="136" spans="1:12">
      <c r="A136" s="1"/>
      <c r="B136" s="23"/>
      <c r="C136" s="16"/>
      <c r="D136" s="809"/>
      <c r="E136" s="794"/>
      <c r="F136" s="794"/>
      <c r="G136" s="801"/>
      <c r="H136" s="794"/>
      <c r="I136" s="809"/>
      <c r="J136" s="16"/>
      <c r="K136" s="59"/>
      <c r="L136" s="16"/>
    </row>
    <row r="137" spans="1:12">
      <c r="A137" s="1"/>
      <c r="B137" s="23"/>
      <c r="C137" s="16"/>
      <c r="D137" s="809"/>
      <c r="E137" s="794"/>
      <c r="F137" s="794"/>
      <c r="G137" s="801"/>
      <c r="H137" s="794"/>
      <c r="I137" s="809"/>
      <c r="J137" s="16"/>
      <c r="K137" s="59"/>
      <c r="L137" s="16"/>
    </row>
    <row r="138" spans="1:12">
      <c r="A138" s="1"/>
      <c r="B138" s="23"/>
      <c r="C138" s="16"/>
      <c r="D138" s="809"/>
      <c r="E138" s="794"/>
      <c r="F138" s="794"/>
      <c r="G138" s="801"/>
      <c r="H138" s="794"/>
      <c r="I138" s="809"/>
      <c r="J138" s="16"/>
      <c r="K138" s="59"/>
      <c r="L138" s="16"/>
    </row>
    <row r="139" spans="1:12">
      <c r="A139" s="1"/>
      <c r="B139" s="23"/>
      <c r="C139" s="16"/>
      <c r="D139" s="809"/>
      <c r="E139" s="794"/>
      <c r="F139" s="794"/>
      <c r="G139" s="801"/>
      <c r="H139" s="794"/>
      <c r="I139" s="809"/>
      <c r="J139" s="16"/>
      <c r="K139" s="59"/>
      <c r="L139" s="16"/>
    </row>
    <row r="140" spans="1:12">
      <c r="A140" s="1"/>
      <c r="B140" s="23"/>
      <c r="C140" s="16"/>
      <c r="D140" s="809"/>
      <c r="E140" s="794"/>
      <c r="F140" s="794"/>
      <c r="G140" s="801"/>
      <c r="H140" s="794"/>
      <c r="I140" s="809"/>
      <c r="J140" s="16"/>
      <c r="K140" s="59"/>
      <c r="L140" s="16"/>
    </row>
    <row r="141" spans="1:12">
      <c r="A141" s="1"/>
      <c r="B141" s="23"/>
      <c r="C141" s="16"/>
      <c r="D141" s="809"/>
      <c r="E141" s="794"/>
      <c r="F141" s="794"/>
      <c r="G141" s="801"/>
      <c r="H141" s="794"/>
      <c r="I141" s="809"/>
      <c r="J141" s="16"/>
      <c r="K141" s="59"/>
      <c r="L141" s="16"/>
    </row>
    <row r="142" spans="1:12">
      <c r="A142" s="1"/>
      <c r="B142" s="23"/>
      <c r="C142" s="16"/>
      <c r="D142" s="809"/>
      <c r="E142" s="794"/>
      <c r="F142" s="794"/>
      <c r="G142" s="801"/>
      <c r="H142" s="794"/>
      <c r="I142" s="809"/>
      <c r="J142" s="16"/>
      <c r="K142" s="59"/>
      <c r="L142" s="16"/>
    </row>
    <row r="143" spans="1:12">
      <c r="A143" s="1"/>
      <c r="B143" s="23"/>
      <c r="C143" s="16"/>
      <c r="D143" s="809"/>
      <c r="E143" s="794"/>
      <c r="F143" s="794"/>
      <c r="G143" s="801"/>
      <c r="H143" s="794"/>
      <c r="I143" s="809"/>
      <c r="J143" s="16"/>
      <c r="K143" s="59"/>
      <c r="L143" s="16"/>
    </row>
    <row r="144" spans="1:12">
      <c r="A144" s="1"/>
      <c r="B144" s="23"/>
      <c r="C144" s="16"/>
      <c r="D144" s="809"/>
      <c r="E144" s="794"/>
      <c r="F144" s="794"/>
      <c r="G144" s="801"/>
      <c r="H144" s="794"/>
      <c r="I144" s="809"/>
      <c r="J144" s="16"/>
      <c r="K144" s="59"/>
      <c r="L144" s="16"/>
    </row>
    <row r="145" spans="1:12">
      <c r="A145" s="1"/>
      <c r="B145" s="23"/>
      <c r="C145" s="16"/>
      <c r="D145" s="809"/>
      <c r="E145" s="794"/>
      <c r="F145" s="794"/>
      <c r="G145" s="801"/>
      <c r="H145" s="794"/>
      <c r="I145" s="809"/>
      <c r="J145" s="16"/>
      <c r="K145" s="59"/>
      <c r="L145" s="16"/>
    </row>
    <row r="146" spans="1:12">
      <c r="A146" s="1"/>
      <c r="B146" s="23"/>
      <c r="C146" s="16"/>
      <c r="D146" s="16"/>
      <c r="E146" s="16"/>
      <c r="F146" s="16"/>
      <c r="G146" s="16"/>
      <c r="H146" s="16"/>
      <c r="I146" s="16"/>
      <c r="J146" s="16"/>
      <c r="K146" s="24" t="s">
        <v>246</v>
      </c>
      <c r="L146" s="16"/>
    </row>
    <row r="147" spans="1:12">
      <c r="A147" s="1"/>
      <c r="B147" s="23"/>
      <c r="C147" s="16"/>
      <c r="D147" s="16"/>
      <c r="E147" s="16"/>
      <c r="F147" s="16"/>
      <c r="G147" s="16"/>
      <c r="H147" s="16"/>
      <c r="I147" s="16"/>
      <c r="J147" s="16"/>
      <c r="K147" s="24"/>
      <c r="L147" s="16"/>
    </row>
    <row r="148" spans="1:12">
      <c r="A148" s="1"/>
      <c r="B148" s="23" t="s">
        <v>94</v>
      </c>
      <c r="C148" s="16"/>
      <c r="D148" s="16" t="s">
        <v>93</v>
      </c>
      <c r="E148" s="16"/>
      <c r="F148" s="16"/>
      <c r="G148" s="16"/>
      <c r="H148" s="16"/>
      <c r="J148" s="16"/>
      <c r="K148" s="24" t="str">
        <f>K3</f>
        <v>For the 12 months ended 12/31/2015</v>
      </c>
      <c r="L148" s="16"/>
    </row>
    <row r="149" spans="1:12">
      <c r="A149" s="1"/>
      <c r="B149" s="23"/>
      <c r="C149" s="16"/>
      <c r="D149" s="16" t="s">
        <v>92</v>
      </c>
      <c r="E149" s="16"/>
      <c r="F149" s="16"/>
      <c r="G149" s="16"/>
      <c r="H149" s="16"/>
      <c r="I149" s="16"/>
      <c r="J149" s="16"/>
      <c r="K149" s="16"/>
      <c r="L149" s="16"/>
    </row>
    <row r="150" spans="1:12">
      <c r="A150" s="1"/>
      <c r="B150" s="26"/>
      <c r="C150" s="16"/>
      <c r="D150" s="16"/>
      <c r="E150" s="16"/>
      <c r="F150" s="16"/>
      <c r="G150" s="16"/>
      <c r="H150" s="16"/>
      <c r="I150" s="16"/>
      <c r="J150" s="16"/>
      <c r="K150" s="16"/>
      <c r="L150" s="16"/>
    </row>
    <row r="151" spans="1:12">
      <c r="A151" s="1017" t="str">
        <f>A6</f>
        <v>American Transmission Company LLC</v>
      </c>
      <c r="B151" s="1017"/>
      <c r="C151" s="1017"/>
      <c r="D151" s="1017"/>
      <c r="E151" s="1017"/>
      <c r="F151" s="1017"/>
      <c r="G151" s="1017"/>
      <c r="H151" s="1017"/>
      <c r="I151" s="1017"/>
      <c r="J151" s="1017"/>
      <c r="K151" s="1017"/>
      <c r="L151" s="16"/>
    </row>
    <row r="152" spans="1:12">
      <c r="A152" s="1"/>
      <c r="B152" s="57" t="s">
        <v>245</v>
      </c>
      <c r="C152" s="57" t="s">
        <v>244</v>
      </c>
      <c r="D152" s="57" t="s">
        <v>243</v>
      </c>
      <c r="E152" s="16" t="s">
        <v>67</v>
      </c>
      <c r="F152" s="16"/>
      <c r="G152" s="88" t="s">
        <v>242</v>
      </c>
      <c r="H152" s="16"/>
      <c r="I152" s="784" t="s">
        <v>241</v>
      </c>
      <c r="J152" s="16"/>
      <c r="K152" s="16"/>
      <c r="L152" s="22"/>
    </row>
    <row r="153" spans="1:12">
      <c r="A153" s="1" t="s">
        <v>8</v>
      </c>
      <c r="B153" s="23"/>
      <c r="C153" s="60" t="s">
        <v>240</v>
      </c>
      <c r="D153" s="16"/>
      <c r="E153" s="16"/>
      <c r="F153" s="16"/>
      <c r="G153" s="1"/>
      <c r="H153" s="16"/>
      <c r="I153" s="85" t="s">
        <v>25</v>
      </c>
      <c r="J153" s="16"/>
      <c r="K153" s="85"/>
      <c r="L153" s="1"/>
    </row>
    <row r="154" spans="1:12" ht="16.2" thickBot="1">
      <c r="A154" s="790" t="s">
        <v>177</v>
      </c>
      <c r="B154" s="23"/>
      <c r="C154" s="87" t="s">
        <v>239</v>
      </c>
      <c r="D154" s="85" t="s">
        <v>238</v>
      </c>
      <c r="E154" s="86"/>
      <c r="F154" s="85" t="s">
        <v>237</v>
      </c>
      <c r="G154" s="26"/>
      <c r="H154" s="86"/>
      <c r="I154" s="1" t="s">
        <v>236</v>
      </c>
      <c r="J154" s="16"/>
      <c r="K154" s="85"/>
      <c r="L154" s="85"/>
    </row>
    <row r="155" spans="1:12">
      <c r="A155" s="1"/>
      <c r="B155" s="23" t="s">
        <v>479</v>
      </c>
      <c r="C155" s="16"/>
      <c r="D155" s="16"/>
      <c r="E155" s="16"/>
      <c r="F155" s="16"/>
      <c r="G155" s="16"/>
      <c r="H155" s="16"/>
      <c r="I155" s="16"/>
      <c r="J155" s="16"/>
      <c r="K155" s="16"/>
      <c r="L155" s="16"/>
    </row>
    <row r="156" spans="1:12">
      <c r="A156" s="1">
        <v>1</v>
      </c>
      <c r="B156" s="23" t="s">
        <v>221</v>
      </c>
      <c r="C156" s="16" t="s">
        <v>235</v>
      </c>
      <c r="D156" s="56">
        <v>115168618.70000002</v>
      </c>
      <c r="E156" s="16"/>
      <c r="F156" s="16" t="s">
        <v>225</v>
      </c>
      <c r="G156" s="799">
        <f>I240</f>
        <v>0.86039472191742106</v>
      </c>
      <c r="H156" s="794"/>
      <c r="I156" s="794">
        <f>+G156*D156</f>
        <v>99090471.660000011</v>
      </c>
      <c r="J156" s="22"/>
      <c r="K156" s="16"/>
      <c r="L156" s="16"/>
    </row>
    <row r="157" spans="1:12">
      <c r="A157" s="1" t="s">
        <v>234</v>
      </c>
      <c r="B157" s="69" t="s">
        <v>233</v>
      </c>
      <c r="C157" s="52"/>
      <c r="D157" s="56">
        <v>0</v>
      </c>
      <c r="E157" s="16"/>
      <c r="F157" s="84"/>
      <c r="G157" s="804">
        <v>1</v>
      </c>
      <c r="H157" s="794"/>
      <c r="I157" s="794">
        <f>+G157*D157</f>
        <v>0</v>
      </c>
      <c r="J157" s="22"/>
      <c r="K157" s="16"/>
      <c r="L157" s="16"/>
    </row>
    <row r="158" spans="1:12">
      <c r="A158" s="1">
        <v>2</v>
      </c>
      <c r="B158" s="23" t="s">
        <v>232</v>
      </c>
      <c r="C158" s="16" t="s">
        <v>231</v>
      </c>
      <c r="D158" s="56">
        <v>0</v>
      </c>
      <c r="E158" s="16"/>
      <c r="F158" s="16" t="s">
        <v>67</v>
      </c>
      <c r="G158" s="799">
        <v>1</v>
      </c>
      <c r="H158" s="794"/>
      <c r="I158" s="794">
        <f t="shared" ref="I158:I164" si="1">+G158*D158</f>
        <v>0</v>
      </c>
      <c r="J158" s="22"/>
      <c r="K158" s="16"/>
      <c r="L158" s="16"/>
    </row>
    <row r="159" spans="1:12">
      <c r="A159" s="1">
        <v>3</v>
      </c>
      <c r="B159" s="23" t="s">
        <v>230</v>
      </c>
      <c r="C159" s="16" t="s">
        <v>229</v>
      </c>
      <c r="D159" s="56">
        <v>42140042.630000003</v>
      </c>
      <c r="E159" s="16"/>
      <c r="F159" s="16" t="s">
        <v>213</v>
      </c>
      <c r="G159" s="799">
        <f>+G99</f>
        <v>1</v>
      </c>
      <c r="H159" s="794"/>
      <c r="I159" s="794">
        <f t="shared" si="1"/>
        <v>42140042.630000003</v>
      </c>
      <c r="J159" s="16"/>
      <c r="K159" s="16" t="s">
        <v>67</v>
      </c>
      <c r="L159" s="16"/>
    </row>
    <row r="160" spans="1:12">
      <c r="A160" s="1">
        <v>4</v>
      </c>
      <c r="B160" s="23" t="s">
        <v>228</v>
      </c>
      <c r="C160" s="16"/>
      <c r="D160" s="78">
        <v>0</v>
      </c>
      <c r="E160" s="16"/>
      <c r="F160" s="16" t="s">
        <v>213</v>
      </c>
      <c r="G160" s="799">
        <f>+G159</f>
        <v>1</v>
      </c>
      <c r="H160" s="794"/>
      <c r="I160" s="794">
        <f t="shared" si="1"/>
        <v>0</v>
      </c>
      <c r="J160" s="16"/>
      <c r="K160" s="16"/>
      <c r="L160" s="16"/>
    </row>
    <row r="161" spans="1:12">
      <c r="A161" s="1">
        <v>5</v>
      </c>
      <c r="B161" s="69" t="s">
        <v>227</v>
      </c>
      <c r="C161" s="52"/>
      <c r="D161" s="56">
        <v>889393.52</v>
      </c>
      <c r="E161" s="16"/>
      <c r="F161" s="16" t="s">
        <v>213</v>
      </c>
      <c r="G161" s="799">
        <f>+G160</f>
        <v>1</v>
      </c>
      <c r="H161" s="794"/>
      <c r="I161" s="794">
        <f t="shared" si="1"/>
        <v>889393.52</v>
      </c>
      <c r="J161" s="16"/>
      <c r="K161" s="16"/>
      <c r="L161" s="16"/>
    </row>
    <row r="162" spans="1:12">
      <c r="A162" s="1" t="s">
        <v>31</v>
      </c>
      <c r="B162" s="69" t="s">
        <v>226</v>
      </c>
      <c r="C162" s="52"/>
      <c r="D162" s="56">
        <v>498719.02</v>
      </c>
      <c r="E162" s="16"/>
      <c r="F162" s="83" t="s">
        <v>225</v>
      </c>
      <c r="G162" s="804">
        <f>+G156</f>
        <v>0.86039472191742106</v>
      </c>
      <c r="H162" s="794"/>
      <c r="I162" s="794">
        <f>+G162*D162</f>
        <v>429095.21252782876</v>
      </c>
      <c r="J162" s="16"/>
      <c r="K162" s="16"/>
      <c r="L162" s="16"/>
    </row>
    <row r="163" spans="1:12">
      <c r="A163" s="1">
        <v>6</v>
      </c>
      <c r="B163" s="23" t="s">
        <v>220</v>
      </c>
      <c r="C163" s="16" t="s">
        <v>224</v>
      </c>
      <c r="D163" s="56">
        <v>0</v>
      </c>
      <c r="E163" s="16"/>
      <c r="F163" s="16" t="s">
        <v>139</v>
      </c>
      <c r="G163" s="799">
        <f>+G100</f>
        <v>1</v>
      </c>
      <c r="H163" s="794"/>
      <c r="I163" s="794">
        <f t="shared" si="1"/>
        <v>0</v>
      </c>
      <c r="J163" s="16"/>
      <c r="K163" s="16"/>
      <c r="L163" s="16"/>
    </row>
    <row r="164" spans="1:12" ht="16.2" thickBot="1">
      <c r="A164" s="1">
        <v>7</v>
      </c>
      <c r="B164" s="23" t="s">
        <v>223</v>
      </c>
      <c r="C164" s="16"/>
      <c r="D164" s="800">
        <v>0</v>
      </c>
      <c r="E164" s="16"/>
      <c r="F164" s="16" t="s">
        <v>67</v>
      </c>
      <c r="G164" s="799">
        <v>1</v>
      </c>
      <c r="H164" s="794"/>
      <c r="I164" s="795">
        <f t="shared" si="1"/>
        <v>0</v>
      </c>
      <c r="J164" s="16"/>
      <c r="K164" s="16"/>
      <c r="L164" s="16"/>
    </row>
    <row r="165" spans="1:12">
      <c r="A165" s="1">
        <v>8</v>
      </c>
      <c r="B165" s="23" t="s">
        <v>222</v>
      </c>
      <c r="C165" s="16"/>
      <c r="D165" s="16">
        <f>D156+D159+D162+D163+D164-D158-D160-D161-D157</f>
        <v>156917986.83000001</v>
      </c>
      <c r="E165" s="16"/>
      <c r="F165" s="16"/>
      <c r="G165" s="794"/>
      <c r="H165" s="794"/>
      <c r="I165" s="794">
        <f>+I156-I158+I159-I160-I161+I163+I164+I162-I157</f>
        <v>140770215.98252785</v>
      </c>
      <c r="J165" s="16"/>
      <c r="K165" s="16"/>
      <c r="L165" s="80"/>
    </row>
    <row r="166" spans="1:12">
      <c r="A166" s="1"/>
      <c r="B166" s="26"/>
      <c r="C166" s="16"/>
      <c r="D166" s="26"/>
      <c r="E166" s="16"/>
      <c r="F166" s="16"/>
      <c r="G166" s="16"/>
      <c r="H166" s="16"/>
      <c r="I166" s="26"/>
      <c r="J166" s="16"/>
      <c r="K166" s="16"/>
      <c r="L166" s="16"/>
    </row>
    <row r="167" spans="1:12">
      <c r="A167" s="1"/>
      <c r="B167" s="23" t="s">
        <v>480</v>
      </c>
      <c r="C167" s="16"/>
      <c r="D167" s="16"/>
      <c r="E167" s="16"/>
      <c r="F167" s="16"/>
      <c r="G167" s="16"/>
      <c r="H167" s="16"/>
      <c r="I167" s="16"/>
      <c r="J167" s="16"/>
      <c r="K167" s="16"/>
      <c r="L167" s="16"/>
    </row>
    <row r="168" spans="1:12">
      <c r="A168" s="1">
        <v>9</v>
      </c>
      <c r="B168" s="23" t="s">
        <v>474</v>
      </c>
      <c r="C168" s="81" t="s">
        <v>481</v>
      </c>
      <c r="D168" s="56">
        <v>123766202</v>
      </c>
      <c r="E168" s="16"/>
      <c r="F168" s="16" t="s">
        <v>159</v>
      </c>
      <c r="G168" s="799">
        <f>+G120</f>
        <v>1</v>
      </c>
      <c r="H168" s="794"/>
      <c r="I168" s="794">
        <f>+G168*D168</f>
        <v>123766202</v>
      </c>
      <c r="J168" s="16"/>
      <c r="K168" s="59"/>
      <c r="L168" s="16"/>
    </row>
    <row r="169" spans="1:12">
      <c r="A169" s="1">
        <v>10</v>
      </c>
      <c r="B169" s="82" t="s">
        <v>476</v>
      </c>
      <c r="C169" s="81" t="s">
        <v>482</v>
      </c>
      <c r="D169" s="56">
        <v>9499152</v>
      </c>
      <c r="E169" s="16"/>
      <c r="F169" s="16" t="s">
        <v>213</v>
      </c>
      <c r="G169" s="799">
        <f>+G159</f>
        <v>1</v>
      </c>
      <c r="H169" s="794"/>
      <c r="I169" s="794">
        <f>+G169*D169</f>
        <v>9499152</v>
      </c>
      <c r="J169" s="16"/>
      <c r="K169" s="59"/>
      <c r="L169" s="16"/>
    </row>
    <row r="170" spans="1:12" ht="16.2" thickBot="1">
      <c r="A170" s="1">
        <v>11</v>
      </c>
      <c r="B170" s="23" t="s">
        <v>220</v>
      </c>
      <c r="C170" s="81" t="s">
        <v>219</v>
      </c>
      <c r="D170" s="800">
        <v>0</v>
      </c>
      <c r="E170" s="16"/>
      <c r="F170" s="16" t="s">
        <v>139</v>
      </c>
      <c r="G170" s="799">
        <f>+G163</f>
        <v>1</v>
      </c>
      <c r="H170" s="794"/>
      <c r="I170" s="795">
        <f>+G170*D170</f>
        <v>0</v>
      </c>
      <c r="J170" s="16"/>
      <c r="K170" s="59"/>
      <c r="L170" s="16"/>
    </row>
    <row r="171" spans="1:12">
      <c r="A171" s="1">
        <v>12</v>
      </c>
      <c r="B171" s="23" t="s">
        <v>218</v>
      </c>
      <c r="C171" s="16"/>
      <c r="D171" s="16">
        <f>SUM(D168:D170)</f>
        <v>133265354</v>
      </c>
      <c r="E171" s="16"/>
      <c r="F171" s="16"/>
      <c r="G171" s="794"/>
      <c r="H171" s="794"/>
      <c r="I171" s="794">
        <f>SUM(I168:I170)</f>
        <v>133265354</v>
      </c>
      <c r="J171" s="16"/>
      <c r="K171" s="16"/>
      <c r="L171" s="16"/>
    </row>
    <row r="172" spans="1:12">
      <c r="A172" s="1"/>
      <c r="B172" s="23"/>
      <c r="C172" s="16"/>
      <c r="D172" s="16"/>
      <c r="E172" s="16"/>
      <c r="F172" s="16"/>
      <c r="G172" s="794"/>
      <c r="H172" s="794"/>
      <c r="I172" s="794"/>
      <c r="J172" s="16"/>
      <c r="K172" s="16"/>
      <c r="L172" s="16"/>
    </row>
    <row r="173" spans="1:12">
      <c r="A173" s="1" t="s">
        <v>67</v>
      </c>
      <c r="B173" s="23" t="s">
        <v>217</v>
      </c>
      <c r="C173" s="26"/>
      <c r="D173" s="16"/>
      <c r="E173" s="16"/>
      <c r="F173" s="16"/>
      <c r="G173" s="794"/>
      <c r="H173" s="794"/>
      <c r="I173" s="794"/>
      <c r="J173" s="16"/>
      <c r="K173" s="16"/>
      <c r="L173" s="16"/>
    </row>
    <row r="174" spans="1:12">
      <c r="A174" s="1"/>
      <c r="B174" s="23" t="s">
        <v>216</v>
      </c>
      <c r="C174" s="26"/>
      <c r="D174" s="26"/>
      <c r="E174" s="16"/>
      <c r="F174" s="16"/>
      <c r="G174" s="810"/>
      <c r="H174" s="794"/>
      <c r="I174" s="810"/>
      <c r="J174" s="16"/>
      <c r="K174" s="59"/>
      <c r="L174" s="30"/>
    </row>
    <row r="175" spans="1:12">
      <c r="A175" s="1">
        <v>13</v>
      </c>
      <c r="B175" s="23" t="s">
        <v>215</v>
      </c>
      <c r="C175" s="16" t="s">
        <v>207</v>
      </c>
      <c r="D175" s="56">
        <v>3718540.33</v>
      </c>
      <c r="E175" s="16"/>
      <c r="F175" s="16" t="s">
        <v>213</v>
      </c>
      <c r="G175" s="793">
        <f>+G169</f>
        <v>1</v>
      </c>
      <c r="H175" s="794"/>
      <c r="I175" s="794">
        <f>+G175*D175</f>
        <v>3718540.33</v>
      </c>
      <c r="J175" s="16"/>
      <c r="K175" s="59"/>
      <c r="L175" s="30"/>
    </row>
    <row r="176" spans="1:12">
      <c r="A176" s="1">
        <v>14</v>
      </c>
      <c r="B176" s="23" t="s">
        <v>214</v>
      </c>
      <c r="C176" s="16" t="s">
        <v>207</v>
      </c>
      <c r="D176" s="56">
        <v>0</v>
      </c>
      <c r="E176" s="16"/>
      <c r="F176" s="16" t="s">
        <v>213</v>
      </c>
      <c r="G176" s="793">
        <f>+G175</f>
        <v>1</v>
      </c>
      <c r="H176" s="794"/>
      <c r="I176" s="794">
        <f>+G176*D176</f>
        <v>0</v>
      </c>
      <c r="J176" s="16"/>
      <c r="K176" s="59"/>
      <c r="L176" s="30"/>
    </row>
    <row r="177" spans="1:12">
      <c r="A177" s="1">
        <v>15</v>
      </c>
      <c r="B177" s="23" t="s">
        <v>212</v>
      </c>
      <c r="C177" s="16" t="s">
        <v>67</v>
      </c>
      <c r="D177" s="26"/>
      <c r="E177" s="16"/>
      <c r="F177" s="16"/>
      <c r="G177" s="810"/>
      <c r="H177" s="794"/>
      <c r="I177" s="810"/>
      <c r="J177" s="16"/>
      <c r="K177" s="59"/>
      <c r="L177" s="30"/>
    </row>
    <row r="178" spans="1:12">
      <c r="A178" s="1">
        <v>16</v>
      </c>
      <c r="B178" s="23" t="s">
        <v>211</v>
      </c>
      <c r="C178" s="16" t="s">
        <v>207</v>
      </c>
      <c r="D178" s="56">
        <v>13780124.130000001</v>
      </c>
      <c r="E178" s="16"/>
      <c r="F178" s="16" t="s">
        <v>205</v>
      </c>
      <c r="G178" s="793">
        <f>+G92</f>
        <v>1</v>
      </c>
      <c r="H178" s="794"/>
      <c r="I178" s="794">
        <f>+G178*D178</f>
        <v>13780124.130000001</v>
      </c>
      <c r="J178" s="16"/>
      <c r="K178" s="59"/>
      <c r="L178" s="30"/>
    </row>
    <row r="179" spans="1:12">
      <c r="A179" s="1">
        <v>17</v>
      </c>
      <c r="B179" s="23" t="s">
        <v>210</v>
      </c>
      <c r="C179" s="16" t="s">
        <v>207</v>
      </c>
      <c r="D179" s="56">
        <v>0</v>
      </c>
      <c r="E179" s="16"/>
      <c r="F179" s="52" t="s">
        <v>188</v>
      </c>
      <c r="G179" s="811" t="s">
        <v>209</v>
      </c>
      <c r="H179" s="794"/>
      <c r="I179" s="794">
        <v>0</v>
      </c>
      <c r="J179" s="16"/>
      <c r="K179" s="59"/>
      <c r="L179" s="30"/>
    </row>
    <row r="180" spans="1:12">
      <c r="A180" s="1">
        <v>18</v>
      </c>
      <c r="B180" s="23" t="s">
        <v>208</v>
      </c>
      <c r="C180" s="16" t="s">
        <v>207</v>
      </c>
      <c r="D180" s="56">
        <v>5605312.54</v>
      </c>
      <c r="E180" s="16"/>
      <c r="F180" s="16" t="s">
        <v>205</v>
      </c>
      <c r="G180" s="793">
        <f>+G178</f>
        <v>1</v>
      </c>
      <c r="H180" s="794"/>
      <c r="I180" s="794">
        <f>+G180*D180</f>
        <v>5605312.54</v>
      </c>
      <c r="J180" s="16"/>
      <c r="K180" s="59"/>
      <c r="L180" s="30"/>
    </row>
    <row r="181" spans="1:12" ht="16.2" thickBot="1">
      <c r="A181" s="1">
        <v>19</v>
      </c>
      <c r="B181" s="23" t="s">
        <v>206</v>
      </c>
      <c r="C181" s="16"/>
      <c r="D181" s="800">
        <v>0</v>
      </c>
      <c r="E181" s="16"/>
      <c r="F181" s="16" t="s">
        <v>205</v>
      </c>
      <c r="G181" s="793">
        <f>+G178</f>
        <v>1</v>
      </c>
      <c r="H181" s="794"/>
      <c r="I181" s="795">
        <f>+G181*D181</f>
        <v>0</v>
      </c>
      <c r="J181" s="16"/>
      <c r="K181" s="59"/>
      <c r="L181" s="30"/>
    </row>
    <row r="182" spans="1:12">
      <c r="A182" s="1">
        <v>20</v>
      </c>
      <c r="B182" s="23" t="s">
        <v>204</v>
      </c>
      <c r="C182" s="16"/>
      <c r="D182" s="16">
        <f>SUM(D175:D181)</f>
        <v>23103977</v>
      </c>
      <c r="E182" s="16"/>
      <c r="F182" s="16"/>
      <c r="G182" s="793"/>
      <c r="H182" s="794"/>
      <c r="I182" s="794">
        <f>SUM(I175:I181)</f>
        <v>23103977</v>
      </c>
      <c r="J182" s="16"/>
      <c r="K182" s="16"/>
      <c r="L182" s="80"/>
    </row>
    <row r="183" spans="1:12">
      <c r="A183" s="1"/>
      <c r="B183" s="23"/>
      <c r="C183" s="16"/>
      <c r="D183" s="16"/>
      <c r="E183" s="16"/>
      <c r="F183" s="16"/>
      <c r="G183" s="55"/>
      <c r="H183" s="16"/>
      <c r="I183" s="16"/>
      <c r="J183" s="16"/>
      <c r="K183" s="16"/>
      <c r="L183" s="80"/>
    </row>
    <row r="184" spans="1:12">
      <c r="A184" s="1" t="s">
        <v>67</v>
      </c>
      <c r="B184" s="23" t="s">
        <v>203</v>
      </c>
      <c r="C184" s="16" t="s">
        <v>202</v>
      </c>
      <c r="D184" s="16"/>
      <c r="E184" s="16"/>
      <c r="F184" s="26"/>
      <c r="G184" s="54"/>
      <c r="H184" s="16"/>
      <c r="I184" s="26"/>
      <c r="J184" s="16"/>
      <c r="K184" s="26"/>
      <c r="L184" s="16"/>
    </row>
    <row r="185" spans="1:12">
      <c r="A185" s="1">
        <v>21</v>
      </c>
      <c r="B185" s="77" t="s">
        <v>201</v>
      </c>
      <c r="C185" s="16"/>
      <c r="D185" s="812">
        <f>IF(D312&gt;0,(1-((1-D313)*(1-D312))/(1-D313*D312*D314))*(1-D315),0)</f>
        <v>0.36829270540950854</v>
      </c>
      <c r="E185" s="16"/>
      <c r="F185" s="26"/>
      <c r="G185" s="54"/>
      <c r="H185" s="16"/>
      <c r="I185" s="26"/>
      <c r="J185" s="16"/>
      <c r="K185" s="26"/>
      <c r="L185" s="16"/>
    </row>
    <row r="186" spans="1:12">
      <c r="A186" s="1">
        <v>22</v>
      </c>
      <c r="B186" s="26" t="s">
        <v>200</v>
      </c>
      <c r="C186" s="16"/>
      <c r="D186" s="812">
        <f>IF(I271&gt;0,(D185/(1-D185))*(1-I268/I271),0)</f>
        <v>0.41882410629763178</v>
      </c>
      <c r="E186" s="16"/>
      <c r="F186" s="26"/>
      <c r="G186" s="54"/>
      <c r="H186" s="16"/>
      <c r="I186" s="26"/>
      <c r="J186" s="16"/>
      <c r="K186" s="26"/>
      <c r="L186" s="16"/>
    </row>
    <row r="187" spans="1:12">
      <c r="A187" s="1"/>
      <c r="B187" s="23" t="s">
        <v>483</v>
      </c>
      <c r="C187" s="16"/>
      <c r="D187" s="16"/>
      <c r="E187" s="16"/>
      <c r="F187" s="26"/>
      <c r="G187" s="54"/>
      <c r="H187" s="16"/>
      <c r="I187" s="26"/>
      <c r="J187" s="16"/>
      <c r="K187" s="26"/>
      <c r="L187" s="16"/>
    </row>
    <row r="188" spans="1:12">
      <c r="A188" s="1"/>
      <c r="B188" s="23" t="s">
        <v>199</v>
      </c>
      <c r="C188" s="16"/>
      <c r="D188" s="16"/>
      <c r="E188" s="16"/>
      <c r="F188" s="26"/>
      <c r="G188" s="54"/>
      <c r="H188" s="16"/>
      <c r="I188" s="26"/>
      <c r="J188" s="16"/>
      <c r="K188" s="26"/>
      <c r="L188" s="16"/>
    </row>
    <row r="189" spans="1:12">
      <c r="A189" s="1">
        <v>23</v>
      </c>
      <c r="B189" s="77" t="s">
        <v>198</v>
      </c>
      <c r="C189" s="16"/>
      <c r="D189" s="813">
        <f>IF(D185&gt;0,1/(1-D185),0)</f>
        <v>1.5830116393515081</v>
      </c>
      <c r="E189" s="16"/>
      <c r="F189" s="26"/>
      <c r="G189" s="54"/>
      <c r="H189" s="16"/>
      <c r="I189" s="26"/>
      <c r="J189" s="16"/>
      <c r="K189" s="26"/>
      <c r="L189" s="16"/>
    </row>
    <row r="190" spans="1:12">
      <c r="A190" s="1">
        <v>24</v>
      </c>
      <c r="B190" s="23" t="s">
        <v>197</v>
      </c>
      <c r="C190" s="16"/>
      <c r="D190" s="78">
        <v>-159428</v>
      </c>
      <c r="E190" s="16"/>
      <c r="F190" s="26"/>
      <c r="G190" s="54"/>
      <c r="H190" s="16"/>
      <c r="I190" s="26"/>
      <c r="J190" s="16"/>
      <c r="K190" s="26"/>
      <c r="L190" s="16"/>
    </row>
    <row r="191" spans="1:12">
      <c r="A191" s="1" t="s">
        <v>30</v>
      </c>
      <c r="B191" s="23" t="s">
        <v>196</v>
      </c>
      <c r="C191" s="16"/>
      <c r="D191" s="78">
        <f>-'Excess Deferreds'!J10</f>
        <v>-757790</v>
      </c>
      <c r="E191" s="16"/>
      <c r="F191" s="26"/>
      <c r="G191" s="79"/>
      <c r="H191" s="16"/>
      <c r="I191" s="26"/>
      <c r="J191" s="16"/>
      <c r="K191" s="26"/>
      <c r="L191" s="16"/>
    </row>
    <row r="192" spans="1:12">
      <c r="A192" s="1" t="s">
        <v>29</v>
      </c>
      <c r="B192" s="23" t="s">
        <v>27</v>
      </c>
      <c r="C192" s="16"/>
      <c r="D192" s="78">
        <f>Permanent!B17</f>
        <v>264055</v>
      </c>
      <c r="E192" s="16"/>
      <c r="F192" s="26"/>
      <c r="G192" s="54"/>
      <c r="H192" s="16"/>
      <c r="I192" s="26"/>
      <c r="J192" s="16"/>
      <c r="K192" s="26"/>
      <c r="L192" s="16"/>
    </row>
    <row r="193" spans="1:12">
      <c r="A193" s="1">
        <v>25</v>
      </c>
      <c r="B193" s="77" t="s">
        <v>195</v>
      </c>
      <c r="C193" s="76"/>
      <c r="D193" s="794">
        <f>D186*D199</f>
        <v>108565662.37665763</v>
      </c>
      <c r="E193" s="794"/>
      <c r="F193" s="794" t="s">
        <v>188</v>
      </c>
      <c r="G193" s="793"/>
      <c r="H193" s="794"/>
      <c r="I193" s="794">
        <f>D186*I199</f>
        <v>108478822.39358386</v>
      </c>
      <c r="J193" s="16"/>
      <c r="K193" s="75" t="s">
        <v>67</v>
      </c>
      <c r="L193" s="16"/>
    </row>
    <row r="194" spans="1:12">
      <c r="A194" s="1">
        <v>26</v>
      </c>
      <c r="B194" s="26" t="s">
        <v>194</v>
      </c>
      <c r="C194" s="76"/>
      <c r="D194" s="809">
        <f>D189*D190</f>
        <v>-252376.37963853223</v>
      </c>
      <c r="E194" s="794"/>
      <c r="F194" s="810" t="s">
        <v>191</v>
      </c>
      <c r="G194" s="793">
        <f>G110</f>
        <v>1</v>
      </c>
      <c r="H194" s="794"/>
      <c r="I194" s="809">
        <f>G194*D194</f>
        <v>-252376.37963853223</v>
      </c>
      <c r="J194" s="16"/>
      <c r="K194" s="75"/>
      <c r="L194" s="16"/>
    </row>
    <row r="195" spans="1:12">
      <c r="A195" s="1" t="s">
        <v>193</v>
      </c>
      <c r="B195" s="26" t="s">
        <v>192</v>
      </c>
      <c r="C195" s="76"/>
      <c r="D195" s="809">
        <f>D189*D191</f>
        <v>-1199590.3901841794</v>
      </c>
      <c r="E195" s="794"/>
      <c r="F195" s="810" t="s">
        <v>191</v>
      </c>
      <c r="G195" s="793">
        <f>G194</f>
        <v>1</v>
      </c>
      <c r="H195" s="794"/>
      <c r="I195" s="809">
        <f>G195*D195</f>
        <v>-1199590.3901841794</v>
      </c>
      <c r="J195" s="16"/>
      <c r="K195" s="75"/>
      <c r="L195" s="16"/>
    </row>
    <row r="196" spans="1:12" ht="16.2" thickBot="1">
      <c r="A196" s="1" t="s">
        <v>28</v>
      </c>
      <c r="B196" s="26" t="s">
        <v>26</v>
      </c>
      <c r="C196" s="76"/>
      <c r="D196" s="795">
        <f>D189*D192</f>
        <v>418002.1384289625</v>
      </c>
      <c r="E196" s="794"/>
      <c r="F196" s="810" t="s">
        <v>191</v>
      </c>
      <c r="G196" s="793">
        <f>G195</f>
        <v>1</v>
      </c>
      <c r="H196" s="794"/>
      <c r="I196" s="795">
        <f>G196*D196</f>
        <v>418002.1384289625</v>
      </c>
      <c r="J196" s="16"/>
      <c r="K196" s="75"/>
      <c r="L196" s="16"/>
    </row>
    <row r="197" spans="1:12">
      <c r="A197" s="1">
        <v>27</v>
      </c>
      <c r="B197" s="72" t="s">
        <v>190</v>
      </c>
      <c r="C197" s="26"/>
      <c r="D197" s="814">
        <f>SUM(D193:D196)</f>
        <v>107531697.74526387</v>
      </c>
      <c r="E197" s="794"/>
      <c r="F197" s="794" t="s">
        <v>67</v>
      </c>
      <c r="G197" s="793" t="s">
        <v>67</v>
      </c>
      <c r="H197" s="794"/>
      <c r="I197" s="814">
        <f>SUM(I193:I196)</f>
        <v>107444857.7621901</v>
      </c>
      <c r="J197" s="16"/>
      <c r="K197" s="16"/>
      <c r="L197" s="16"/>
    </row>
    <row r="198" spans="1:12">
      <c r="A198" s="1" t="s">
        <v>67</v>
      </c>
      <c r="B198" s="26"/>
      <c r="C198" s="74"/>
      <c r="D198" s="73"/>
      <c r="E198" s="16"/>
      <c r="F198" s="16"/>
      <c r="G198" s="55"/>
      <c r="H198" s="16"/>
      <c r="I198" s="73"/>
      <c r="J198" s="16"/>
      <c r="K198" s="16"/>
      <c r="L198" s="16"/>
    </row>
    <row r="199" spans="1:12">
      <c r="A199" s="1">
        <v>28</v>
      </c>
      <c r="B199" s="23" t="s">
        <v>189</v>
      </c>
      <c r="C199" s="59"/>
      <c r="D199" s="794">
        <f>+$I271*D128</f>
        <v>259215409.86828226</v>
      </c>
      <c r="E199" s="794"/>
      <c r="F199" s="794" t="s">
        <v>188</v>
      </c>
      <c r="G199" s="815"/>
      <c r="H199" s="794"/>
      <c r="I199" s="794">
        <f>+$I271*I128</f>
        <v>259008067.49765936</v>
      </c>
      <c r="J199" s="16"/>
      <c r="K199" s="26"/>
      <c r="L199" s="16"/>
    </row>
    <row r="200" spans="1:12">
      <c r="A200" s="1"/>
      <c r="B200" s="72" t="s">
        <v>187</v>
      </c>
      <c r="C200" s="26"/>
      <c r="D200" s="794"/>
      <c r="E200" s="794"/>
      <c r="F200" s="794"/>
      <c r="G200" s="815"/>
      <c r="H200" s="794"/>
      <c r="I200" s="794"/>
      <c r="J200" s="16"/>
      <c r="K200" s="59"/>
      <c r="L200" s="16"/>
    </row>
    <row r="201" spans="1:12">
      <c r="A201" s="1"/>
      <c r="B201" s="23"/>
      <c r="C201" s="26"/>
      <c r="D201" s="809"/>
      <c r="E201" s="794"/>
      <c r="F201" s="794"/>
      <c r="G201" s="815"/>
      <c r="H201" s="794"/>
      <c r="I201" s="809"/>
      <c r="J201" s="16"/>
      <c r="K201" s="59"/>
      <c r="L201" s="16"/>
    </row>
    <row r="202" spans="1:12">
      <c r="A202" s="1">
        <v>29</v>
      </c>
      <c r="B202" s="23" t="s">
        <v>186</v>
      </c>
      <c r="C202" s="16"/>
      <c r="D202" s="809">
        <f>+D199+D197+D182+D171+D165</f>
        <v>680034425.44354618</v>
      </c>
      <c r="E202" s="794"/>
      <c r="F202" s="794"/>
      <c r="G202" s="794"/>
      <c r="H202" s="794"/>
      <c r="I202" s="809">
        <f>+I199+I197+I182+I171+I165</f>
        <v>663592472.24237728</v>
      </c>
      <c r="J202" s="22"/>
      <c r="K202" s="22"/>
      <c r="L202" s="22"/>
    </row>
    <row r="203" spans="1:12">
      <c r="A203" s="1"/>
      <c r="B203" s="23"/>
      <c r="C203" s="16"/>
      <c r="D203" s="809"/>
      <c r="E203" s="794"/>
      <c r="F203" s="794"/>
      <c r="G203" s="794"/>
      <c r="H203" s="794"/>
      <c r="I203" s="809"/>
      <c r="J203" s="22"/>
      <c r="K203" s="22"/>
      <c r="L203" s="22"/>
    </row>
    <row r="204" spans="1:12">
      <c r="A204" s="816">
        <v>30</v>
      </c>
      <c r="B204" s="817" t="s">
        <v>538</v>
      </c>
      <c r="C204" s="794"/>
      <c r="D204" s="818"/>
      <c r="E204" s="819"/>
      <c r="F204" s="819"/>
      <c r="G204" s="819"/>
      <c r="H204" s="819"/>
      <c r="I204" s="818"/>
      <c r="J204" s="22"/>
      <c r="K204" s="22"/>
      <c r="L204" s="22"/>
    </row>
    <row r="205" spans="1:12">
      <c r="A205" s="816"/>
      <c r="B205" s="1014" t="s">
        <v>183</v>
      </c>
      <c r="C205" s="1014"/>
      <c r="D205" s="820"/>
      <c r="E205" s="820"/>
      <c r="F205" s="820"/>
      <c r="G205" s="820"/>
      <c r="H205" s="820"/>
      <c r="I205" s="820"/>
      <c r="J205" s="22"/>
      <c r="K205" s="22"/>
      <c r="L205" s="22"/>
    </row>
    <row r="206" spans="1:12">
      <c r="A206" s="816"/>
      <c r="B206" s="817" t="s">
        <v>185</v>
      </c>
      <c r="C206" s="794"/>
      <c r="D206" s="821">
        <f>'ATC Attach GG ER15-123'!M103</f>
        <v>92283304.058069646</v>
      </c>
      <c r="E206" s="794"/>
      <c r="F206" s="794"/>
      <c r="G206" s="794"/>
      <c r="H206" s="794"/>
      <c r="I206" s="821">
        <f>D206</f>
        <v>92283304.058069646</v>
      </c>
      <c r="J206" s="22"/>
      <c r="K206" s="22"/>
      <c r="L206" s="22"/>
    </row>
    <row r="207" spans="1:12">
      <c r="A207" s="1"/>
      <c r="B207" s="23"/>
      <c r="C207" s="16"/>
      <c r="D207" s="809"/>
      <c r="E207" s="794"/>
      <c r="F207" s="794"/>
      <c r="G207" s="794"/>
      <c r="H207" s="794"/>
      <c r="I207" s="809"/>
      <c r="J207" s="22"/>
      <c r="K207" s="22"/>
      <c r="L207" s="22"/>
    </row>
    <row r="208" spans="1:12" s="820" customFormat="1" ht="15.75" customHeight="1">
      <c r="A208" s="816" t="s">
        <v>184</v>
      </c>
      <c r="B208" s="817" t="s">
        <v>537</v>
      </c>
      <c r="C208" s="794"/>
      <c r="D208" s="818"/>
      <c r="E208" s="819"/>
      <c r="F208" s="819"/>
      <c r="G208" s="819"/>
      <c r="H208" s="819"/>
      <c r="I208" s="818"/>
      <c r="J208" s="822"/>
      <c r="K208" s="823"/>
    </row>
    <row r="209" spans="1:12" s="820" customFormat="1">
      <c r="A209" s="816"/>
      <c r="B209" s="1014" t="s">
        <v>183</v>
      </c>
      <c r="C209" s="1014"/>
      <c r="J209" s="822"/>
      <c r="K209" s="823"/>
    </row>
    <row r="210" spans="1:12" s="820" customFormat="1" ht="16.2" thickBot="1">
      <c r="A210" s="816"/>
      <c r="B210" s="817" t="s">
        <v>182</v>
      </c>
      <c r="C210" s="794"/>
      <c r="D210" s="824">
        <f>'ATC Attach MM ER15-123'!Q101</f>
        <v>7247057.4563528467</v>
      </c>
      <c r="E210" s="794"/>
      <c r="F210" s="794"/>
      <c r="G210" s="794"/>
      <c r="H210" s="794"/>
      <c r="I210" s="824">
        <f>D210</f>
        <v>7247057.4563528467</v>
      </c>
      <c r="J210" s="822"/>
      <c r="K210" s="823"/>
    </row>
    <row r="211" spans="1:12" s="820" customFormat="1" ht="16.2" thickBot="1">
      <c r="A211" s="816">
        <v>31</v>
      </c>
      <c r="B211" s="810" t="s">
        <v>181</v>
      </c>
      <c r="C211" s="819"/>
      <c r="D211" s="808">
        <f>+D202-D206-D210</f>
        <v>580504063.92912376</v>
      </c>
      <c r="E211" s="794"/>
      <c r="F211" s="794"/>
      <c r="G211" s="794"/>
      <c r="H211" s="794"/>
      <c r="I211" s="808">
        <f>+I202-I206-I210</f>
        <v>564062110.72795475</v>
      </c>
      <c r="J211" s="822"/>
      <c r="K211" s="823"/>
    </row>
    <row r="212" spans="1:12" s="820" customFormat="1" ht="16.2" thickTop="1">
      <c r="A212" s="816"/>
      <c r="B212" s="817" t="s">
        <v>180</v>
      </c>
      <c r="C212" s="819"/>
      <c r="D212" s="818"/>
      <c r="E212" s="819"/>
      <c r="F212" s="819"/>
      <c r="G212" s="819"/>
      <c r="H212" s="819"/>
      <c r="I212" s="818"/>
      <c r="J212" s="822"/>
      <c r="K212" s="823"/>
    </row>
    <row r="213" spans="1:12">
      <c r="A213" s="1"/>
      <c r="B213" s="23"/>
      <c r="C213" s="16"/>
      <c r="D213" s="809"/>
      <c r="E213" s="794"/>
      <c r="F213" s="794"/>
      <c r="G213" s="801"/>
      <c r="H213" s="794"/>
      <c r="I213" s="809"/>
      <c r="J213" s="16"/>
      <c r="K213" s="59"/>
      <c r="L213" s="16"/>
    </row>
    <row r="214" spans="1:12">
      <c r="A214" s="1"/>
      <c r="B214" s="23"/>
      <c r="C214" s="16"/>
      <c r="D214" s="809"/>
      <c r="E214" s="794"/>
      <c r="F214" s="794"/>
      <c r="G214" s="801"/>
      <c r="H214" s="794"/>
      <c r="I214" s="809"/>
      <c r="J214" s="16"/>
      <c r="K214" s="59"/>
      <c r="L214" s="16"/>
    </row>
    <row r="215" spans="1:12">
      <c r="A215" s="1"/>
      <c r="B215" s="23"/>
      <c r="C215" s="16"/>
      <c r="D215" s="809"/>
      <c r="E215" s="794"/>
      <c r="F215" s="794"/>
      <c r="G215" s="801"/>
      <c r="H215" s="794"/>
      <c r="I215" s="809"/>
      <c r="J215" s="16"/>
      <c r="K215" s="59"/>
      <c r="L215" s="16"/>
    </row>
    <row r="216" spans="1:12">
      <c r="A216" s="1"/>
      <c r="B216" s="26"/>
      <c r="C216" s="26"/>
      <c r="D216" s="26"/>
      <c r="E216" s="26"/>
      <c r="F216" s="26"/>
      <c r="G216" s="26"/>
      <c r="H216" s="26"/>
      <c r="I216" s="26"/>
      <c r="J216" s="16"/>
      <c r="K216" s="24" t="s">
        <v>179</v>
      </c>
      <c r="L216" s="16"/>
    </row>
    <row r="217" spans="1:12">
      <c r="A217" s="1"/>
      <c r="B217" s="26"/>
      <c r="C217" s="26"/>
      <c r="D217" s="26"/>
      <c r="E217" s="26"/>
      <c r="F217" s="26"/>
      <c r="G217" s="26"/>
      <c r="H217" s="26"/>
      <c r="I217" s="26"/>
      <c r="J217" s="16"/>
      <c r="K217" s="16"/>
      <c r="L217" s="16"/>
    </row>
    <row r="218" spans="1:12">
      <c r="A218" s="1"/>
      <c r="B218" s="23" t="s">
        <v>94</v>
      </c>
      <c r="C218" s="26"/>
      <c r="D218" s="26" t="s">
        <v>93</v>
      </c>
      <c r="E218" s="26"/>
      <c r="F218" s="26"/>
      <c r="G218" s="26"/>
      <c r="H218" s="26"/>
      <c r="J218" s="16"/>
      <c r="K218" s="825" t="str">
        <f>K3</f>
        <v>For the 12 months ended 12/31/2015</v>
      </c>
      <c r="L218" s="16"/>
    </row>
    <row r="219" spans="1:12">
      <c r="A219" s="1"/>
      <c r="B219" s="23"/>
      <c r="C219" s="26"/>
      <c r="D219" s="26" t="s">
        <v>92</v>
      </c>
      <c r="E219" s="26"/>
      <c r="F219" s="26"/>
      <c r="G219" s="26"/>
      <c r="H219" s="26"/>
      <c r="I219" s="26"/>
      <c r="J219" s="16"/>
      <c r="K219" s="16"/>
      <c r="L219" s="16"/>
    </row>
    <row r="220" spans="1:12">
      <c r="A220" s="1"/>
      <c r="B220" s="26"/>
      <c r="C220" s="26"/>
      <c r="D220" s="26"/>
      <c r="E220" s="26"/>
      <c r="F220" s="26"/>
      <c r="G220" s="26"/>
      <c r="H220" s="26"/>
      <c r="I220" s="26"/>
      <c r="J220" s="16"/>
      <c r="K220" s="16"/>
      <c r="L220" s="16"/>
    </row>
    <row r="221" spans="1:12">
      <c r="A221" s="1017" t="str">
        <f>A6</f>
        <v>American Transmission Company LLC</v>
      </c>
      <c r="B221" s="1017"/>
      <c r="C221" s="1017"/>
      <c r="D221" s="1017"/>
      <c r="E221" s="1017"/>
      <c r="F221" s="1017"/>
      <c r="G221" s="1017"/>
      <c r="H221" s="1017"/>
      <c r="I221" s="1017"/>
      <c r="J221" s="1017"/>
      <c r="K221" s="1017"/>
      <c r="L221" s="16"/>
    </row>
    <row r="222" spans="1:12">
      <c r="A222" s="1"/>
      <c r="B222" s="26"/>
      <c r="C222" s="23"/>
      <c r="D222" s="23"/>
      <c r="E222" s="23"/>
      <c r="F222" s="23"/>
      <c r="G222" s="23"/>
      <c r="H222" s="23"/>
      <c r="I222" s="23"/>
      <c r="J222" s="23"/>
      <c r="K222" s="23"/>
      <c r="L222" s="23"/>
    </row>
    <row r="223" spans="1:12">
      <c r="A223" s="1"/>
      <c r="B223" s="26"/>
      <c r="C223" s="71" t="s">
        <v>178</v>
      </c>
      <c r="D223" s="26"/>
      <c r="E223" s="22"/>
      <c r="F223" s="22"/>
      <c r="G223" s="22"/>
      <c r="H223" s="22"/>
      <c r="I223" s="22"/>
      <c r="J223" s="16"/>
      <c r="K223" s="16"/>
      <c r="L223" s="22"/>
    </row>
    <row r="224" spans="1:12">
      <c r="A224" s="1" t="s">
        <v>8</v>
      </c>
      <c r="B224" s="71"/>
      <c r="C224" s="22"/>
      <c r="D224" s="22"/>
      <c r="E224" s="22"/>
      <c r="F224" s="22"/>
      <c r="G224" s="22"/>
      <c r="H224" s="22"/>
      <c r="I224" s="22"/>
      <c r="J224" s="16"/>
      <c r="K224" s="16"/>
      <c r="L224" s="22"/>
    </row>
    <row r="225" spans="1:12" ht="16.2" thickBot="1">
      <c r="A225" s="790" t="s">
        <v>177</v>
      </c>
      <c r="B225" s="70" t="s">
        <v>176</v>
      </c>
      <c r="C225" s="7"/>
      <c r="D225" s="7"/>
      <c r="E225" s="7"/>
      <c r="F225" s="7"/>
      <c r="G225" s="7"/>
      <c r="H225" s="62"/>
      <c r="I225" s="62"/>
      <c r="J225" s="52"/>
      <c r="K225" s="16"/>
      <c r="L225" s="22"/>
    </row>
    <row r="226" spans="1:12">
      <c r="A226" s="1">
        <v>1</v>
      </c>
      <c r="B226" s="11" t="s">
        <v>175</v>
      </c>
      <c r="C226" s="7"/>
      <c r="D226" s="52"/>
      <c r="E226" s="52"/>
      <c r="F226" s="52"/>
      <c r="G226" s="52"/>
      <c r="H226" s="52"/>
      <c r="I226" s="805">
        <f>D87</f>
        <v>4513710001</v>
      </c>
      <c r="J226" s="52"/>
      <c r="K226" s="16"/>
      <c r="L226" s="22"/>
    </row>
    <row r="227" spans="1:12">
      <c r="A227" s="1">
        <v>2</v>
      </c>
      <c r="B227" s="11" t="s">
        <v>174</v>
      </c>
      <c r="C227" s="62"/>
      <c r="D227" s="62"/>
      <c r="E227" s="62"/>
      <c r="F227" s="62"/>
      <c r="G227" s="62"/>
      <c r="H227" s="62"/>
      <c r="I227" s="56">
        <v>0</v>
      </c>
      <c r="J227" s="52"/>
      <c r="K227" s="16"/>
      <c r="L227" s="22"/>
    </row>
    <row r="228" spans="1:12" ht="16.2" thickBot="1">
      <c r="A228" s="1">
        <v>3</v>
      </c>
      <c r="B228" s="826" t="s">
        <v>173</v>
      </c>
      <c r="C228" s="827"/>
      <c r="E228" s="52"/>
      <c r="F228" s="52"/>
      <c r="G228" s="46"/>
      <c r="H228" s="52"/>
      <c r="I228" s="800">
        <v>0</v>
      </c>
      <c r="J228" s="52"/>
      <c r="K228" s="16"/>
      <c r="L228" s="22"/>
    </row>
    <row r="229" spans="1:12">
      <c r="A229" s="1">
        <v>4</v>
      </c>
      <c r="B229" s="11" t="s">
        <v>172</v>
      </c>
      <c r="C229" s="7"/>
      <c r="D229" s="52"/>
      <c r="E229" s="52"/>
      <c r="F229" s="52"/>
      <c r="G229" s="46"/>
      <c r="H229" s="52"/>
      <c r="I229" s="805">
        <f>I226-I227-I228</f>
        <v>4513710001</v>
      </c>
      <c r="J229" s="52"/>
      <c r="K229" s="16"/>
      <c r="L229" s="22"/>
    </row>
    <row r="230" spans="1:12" ht="11.25" customHeight="1">
      <c r="A230" s="1"/>
      <c r="B230" s="62"/>
      <c r="C230" s="7"/>
      <c r="D230" s="52"/>
      <c r="E230" s="52"/>
      <c r="F230" s="52"/>
      <c r="G230" s="46"/>
      <c r="H230" s="52"/>
      <c r="I230" s="62"/>
      <c r="J230" s="52"/>
      <c r="K230" s="16"/>
      <c r="L230" s="22"/>
    </row>
    <row r="231" spans="1:12">
      <c r="A231" s="1">
        <v>5</v>
      </c>
      <c r="B231" s="11" t="s">
        <v>171</v>
      </c>
      <c r="C231" s="65"/>
      <c r="D231" s="63"/>
      <c r="E231" s="63"/>
      <c r="F231" s="63"/>
      <c r="G231" s="64"/>
      <c r="H231" s="52" t="s">
        <v>170</v>
      </c>
      <c r="I231" s="803">
        <f>IF(I226&gt;0,I229/I226,0)</f>
        <v>1</v>
      </c>
      <c r="J231" s="52"/>
      <c r="K231" s="16"/>
      <c r="L231" s="22"/>
    </row>
    <row r="232" spans="1:12" ht="11.25" customHeight="1">
      <c r="A232" s="1"/>
      <c r="B232" s="62"/>
      <c r="C232" s="62"/>
      <c r="D232" s="62"/>
      <c r="E232" s="62"/>
      <c r="F232" s="62"/>
      <c r="G232" s="62"/>
      <c r="H232" s="62"/>
      <c r="I232" s="62"/>
      <c r="J232" s="52"/>
      <c r="K232" s="16"/>
      <c r="L232" s="22"/>
    </row>
    <row r="233" spans="1:12">
      <c r="A233" s="1"/>
      <c r="B233" s="69" t="s">
        <v>169</v>
      </c>
      <c r="C233" s="62"/>
      <c r="D233" s="62"/>
      <c r="E233" s="62"/>
      <c r="F233" s="62"/>
      <c r="G233" s="62"/>
      <c r="H233" s="62"/>
      <c r="I233" s="62"/>
      <c r="J233" s="52"/>
      <c r="K233" s="16"/>
      <c r="L233" s="22"/>
    </row>
    <row r="234" spans="1:12">
      <c r="A234" s="1">
        <v>6</v>
      </c>
      <c r="B234" s="62" t="s">
        <v>168</v>
      </c>
      <c r="C234" s="68"/>
      <c r="D234" s="7"/>
      <c r="E234" s="7"/>
      <c r="F234" s="7"/>
      <c r="G234" s="67"/>
      <c r="H234" s="7"/>
      <c r="I234" s="805">
        <f>D156</f>
        <v>115168618.70000002</v>
      </c>
      <c r="J234" s="52"/>
      <c r="K234" s="16"/>
      <c r="L234" s="16"/>
    </row>
    <row r="235" spans="1:12" ht="16.2" thickBot="1">
      <c r="A235" s="1">
        <v>7</v>
      </c>
      <c r="B235" s="826" t="s">
        <v>167</v>
      </c>
      <c r="C235" s="827"/>
      <c r="E235" s="66"/>
      <c r="F235" s="52"/>
      <c r="G235" s="52"/>
      <c r="H235" s="52"/>
      <c r="I235" s="800">
        <f>'ATC Sch 1 - True up Adj 2015'!G20</f>
        <v>16078147.040000001</v>
      </c>
      <c r="J235" s="52"/>
      <c r="K235" s="16"/>
      <c r="L235" s="16"/>
    </row>
    <row r="236" spans="1:12">
      <c r="A236" s="1">
        <v>8</v>
      </c>
      <c r="B236" s="11" t="s">
        <v>166</v>
      </c>
      <c r="C236" s="65"/>
      <c r="D236" s="63"/>
      <c r="E236" s="63"/>
      <c r="F236" s="63"/>
      <c r="G236" s="64"/>
      <c r="H236" s="63"/>
      <c r="I236" s="805">
        <f>+I234-I235</f>
        <v>99090471.660000011</v>
      </c>
      <c r="J236" s="62"/>
      <c r="K236" s="26"/>
      <c r="L236" s="16"/>
    </row>
    <row r="237" spans="1:12" ht="11.25" customHeight="1">
      <c r="A237" s="1"/>
      <c r="B237" s="11"/>
      <c r="C237" s="7"/>
      <c r="D237" s="52"/>
      <c r="E237" s="52"/>
      <c r="F237" s="52"/>
      <c r="G237" s="52"/>
      <c r="H237" s="62"/>
      <c r="I237" s="62"/>
      <c r="J237" s="62"/>
      <c r="K237" s="26"/>
      <c r="L237" s="16"/>
    </row>
    <row r="238" spans="1:12">
      <c r="A238" s="1">
        <v>9</v>
      </c>
      <c r="B238" s="11" t="s">
        <v>165</v>
      </c>
      <c r="C238" s="7"/>
      <c r="D238" s="52"/>
      <c r="E238" s="52"/>
      <c r="F238" s="52"/>
      <c r="G238" s="52"/>
      <c r="H238" s="52"/>
      <c r="I238" s="804">
        <f>IF(I234&gt;0,I236/I234,0)</f>
        <v>0.86039472191742106</v>
      </c>
      <c r="J238" s="62"/>
      <c r="K238" s="26"/>
      <c r="L238" s="16"/>
    </row>
    <row r="239" spans="1:12">
      <c r="A239" s="1">
        <v>10</v>
      </c>
      <c r="B239" s="11" t="s">
        <v>164</v>
      </c>
      <c r="C239" s="7"/>
      <c r="D239" s="52"/>
      <c r="E239" s="52"/>
      <c r="F239" s="52"/>
      <c r="G239" s="52"/>
      <c r="H239" s="7" t="s">
        <v>159</v>
      </c>
      <c r="I239" s="828">
        <f>I231</f>
        <v>1</v>
      </c>
      <c r="J239" s="62"/>
      <c r="K239" s="26"/>
      <c r="L239" s="16"/>
    </row>
    <row r="240" spans="1:12">
      <c r="A240" s="1">
        <v>11</v>
      </c>
      <c r="B240" s="11" t="s">
        <v>163</v>
      </c>
      <c r="C240" s="7"/>
      <c r="D240" s="7"/>
      <c r="E240" s="7"/>
      <c r="F240" s="7"/>
      <c r="G240" s="7"/>
      <c r="H240" s="7" t="s">
        <v>162</v>
      </c>
      <c r="I240" s="829">
        <f>+I239*I238</f>
        <v>0.86039472191742106</v>
      </c>
      <c r="J240" s="62"/>
      <c r="K240" s="26"/>
      <c r="L240" s="16"/>
    </row>
    <row r="241" spans="1:12" ht="11.25" customHeight="1">
      <c r="A241" s="1"/>
      <c r="B241" s="26"/>
      <c r="C241" s="26"/>
      <c r="D241" s="26"/>
      <c r="E241" s="26"/>
      <c r="F241" s="26"/>
      <c r="G241" s="26"/>
      <c r="H241" s="26"/>
      <c r="I241" s="26"/>
      <c r="J241" s="26"/>
      <c r="K241" s="26"/>
      <c r="L241" s="16"/>
    </row>
    <row r="242" spans="1:12">
      <c r="A242" s="1" t="s">
        <v>67</v>
      </c>
      <c r="B242" s="23" t="s">
        <v>161</v>
      </c>
      <c r="C242" s="16"/>
      <c r="D242" s="16"/>
      <c r="E242" s="16"/>
      <c r="F242" s="16"/>
      <c r="G242" s="16"/>
      <c r="H242" s="16"/>
      <c r="I242" s="16"/>
      <c r="J242" s="16"/>
      <c r="K242" s="16"/>
      <c r="L242" s="16"/>
    </row>
    <row r="243" spans="1:12" ht="16.2" thickBot="1">
      <c r="A243" s="1" t="s">
        <v>67</v>
      </c>
      <c r="B243" s="23"/>
      <c r="C243" s="830" t="s">
        <v>160</v>
      </c>
      <c r="D243" s="831" t="s">
        <v>121</v>
      </c>
      <c r="E243" s="831" t="s">
        <v>159</v>
      </c>
      <c r="F243" s="16"/>
      <c r="G243" s="831" t="s">
        <v>158</v>
      </c>
      <c r="H243" s="16"/>
      <c r="I243" s="16"/>
      <c r="J243" s="16"/>
      <c r="K243" s="16"/>
      <c r="L243" s="16"/>
    </row>
    <row r="244" spans="1:12">
      <c r="A244" s="1">
        <v>12</v>
      </c>
      <c r="B244" s="23" t="s">
        <v>157</v>
      </c>
      <c r="C244" s="16" t="s">
        <v>156</v>
      </c>
      <c r="D244" s="56">
        <v>0</v>
      </c>
      <c r="E244" s="61">
        <v>0</v>
      </c>
      <c r="F244" s="61"/>
      <c r="G244" s="794">
        <f>D244*E244</f>
        <v>0</v>
      </c>
      <c r="H244" s="794"/>
      <c r="I244" s="794"/>
      <c r="J244" s="16"/>
      <c r="K244" s="16"/>
      <c r="L244" s="16"/>
    </row>
    <row r="245" spans="1:12">
      <c r="A245" s="1">
        <v>13</v>
      </c>
      <c r="B245" s="23" t="s">
        <v>155</v>
      </c>
      <c r="C245" s="16" t="s">
        <v>154</v>
      </c>
      <c r="D245" s="56">
        <v>58200820</v>
      </c>
      <c r="E245" s="832">
        <f>+I231</f>
        <v>1</v>
      </c>
      <c r="F245" s="61"/>
      <c r="G245" s="794">
        <f>D245*E245</f>
        <v>58200820</v>
      </c>
      <c r="H245" s="794"/>
      <c r="I245" s="794"/>
      <c r="J245" s="16"/>
      <c r="K245" s="16"/>
      <c r="L245" s="16"/>
    </row>
    <row r="246" spans="1:12">
      <c r="A246" s="1">
        <v>14</v>
      </c>
      <c r="B246" s="23" t="s">
        <v>153</v>
      </c>
      <c r="C246" s="16" t="s">
        <v>152</v>
      </c>
      <c r="D246" s="56">
        <v>0</v>
      </c>
      <c r="E246" s="61">
        <v>0</v>
      </c>
      <c r="F246" s="61"/>
      <c r="G246" s="794">
        <f>D246*E246</f>
        <v>0</v>
      </c>
      <c r="H246" s="794"/>
      <c r="I246" s="833" t="s">
        <v>144</v>
      </c>
      <c r="J246" s="16"/>
      <c r="K246" s="16"/>
      <c r="L246" s="16"/>
    </row>
    <row r="247" spans="1:12" ht="16.2" thickBot="1">
      <c r="A247" s="1">
        <v>15</v>
      </c>
      <c r="B247" s="23" t="s">
        <v>151</v>
      </c>
      <c r="C247" s="16" t="s">
        <v>150</v>
      </c>
      <c r="D247" s="800">
        <v>0</v>
      </c>
      <c r="E247" s="61">
        <v>0</v>
      </c>
      <c r="F247" s="61"/>
      <c r="G247" s="795">
        <f>D247*E247</f>
        <v>0</v>
      </c>
      <c r="H247" s="794"/>
      <c r="I247" s="834" t="s">
        <v>149</v>
      </c>
      <c r="J247" s="16"/>
      <c r="K247" s="16"/>
      <c r="L247" s="16"/>
    </row>
    <row r="248" spans="1:12">
      <c r="A248" s="1">
        <v>16</v>
      </c>
      <c r="B248" s="23" t="s">
        <v>148</v>
      </c>
      <c r="C248" s="16"/>
      <c r="D248" s="794">
        <f>SUM(D244:D247)</f>
        <v>58200820</v>
      </c>
      <c r="E248" s="16"/>
      <c r="F248" s="16"/>
      <c r="G248" s="794">
        <f>SUM(G244:G247)</f>
        <v>58200820</v>
      </c>
      <c r="H248" s="816" t="s">
        <v>135</v>
      </c>
      <c r="I248" s="799">
        <f>IF(G248&gt;0,G248/D248,0)</f>
        <v>1</v>
      </c>
      <c r="J248" s="30" t="s">
        <v>135</v>
      </c>
      <c r="K248" s="16" t="s">
        <v>147</v>
      </c>
      <c r="L248" s="16"/>
    </row>
    <row r="249" spans="1:12">
      <c r="A249" s="1" t="s">
        <v>67</v>
      </c>
      <c r="B249" s="23" t="s">
        <v>67</v>
      </c>
      <c r="C249" s="16" t="s">
        <v>67</v>
      </c>
      <c r="D249" s="26"/>
      <c r="E249" s="16"/>
      <c r="F249" s="16"/>
      <c r="G249" s="26"/>
      <c r="H249" s="26"/>
      <c r="I249" s="26"/>
      <c r="J249" s="26"/>
      <c r="K249" s="16"/>
      <c r="L249" s="16"/>
    </row>
    <row r="250" spans="1:12">
      <c r="A250" s="1"/>
      <c r="B250" s="23" t="s">
        <v>146</v>
      </c>
      <c r="C250" s="16"/>
      <c r="D250" s="60" t="s">
        <v>121</v>
      </c>
      <c r="E250" s="16"/>
      <c r="F250" s="16"/>
      <c r="G250" s="30" t="s">
        <v>145</v>
      </c>
      <c r="H250" s="54"/>
      <c r="I250" s="59" t="s">
        <v>144</v>
      </c>
      <c r="J250" s="16"/>
      <c r="K250" s="16"/>
      <c r="L250" s="16"/>
    </row>
    <row r="251" spans="1:12">
      <c r="A251" s="1">
        <v>17</v>
      </c>
      <c r="B251" s="23" t="s">
        <v>143</v>
      </c>
      <c r="C251" s="16" t="s">
        <v>142</v>
      </c>
      <c r="D251" s="56">
        <v>4371954273.079999</v>
      </c>
      <c r="E251" s="16"/>
      <c r="F251" s="26"/>
      <c r="G251" s="1" t="s">
        <v>141</v>
      </c>
      <c r="H251" s="58"/>
      <c r="I251" s="1" t="s">
        <v>140</v>
      </c>
      <c r="J251" s="16"/>
      <c r="K251" s="57" t="s">
        <v>139</v>
      </c>
      <c r="L251" s="16"/>
    </row>
    <row r="252" spans="1:12">
      <c r="A252" s="1">
        <v>18</v>
      </c>
      <c r="B252" s="23" t="s">
        <v>138</v>
      </c>
      <c r="C252" s="16" t="s">
        <v>137</v>
      </c>
      <c r="D252" s="56">
        <v>0</v>
      </c>
      <c r="E252" s="16"/>
      <c r="F252" s="26"/>
      <c r="G252" s="793">
        <f>IF(D254&gt;0,D251/D254,0)</f>
        <v>1</v>
      </c>
      <c r="H252" s="30" t="s">
        <v>136</v>
      </c>
      <c r="I252" s="55">
        <f>I248</f>
        <v>1</v>
      </c>
      <c r="J252" s="54" t="s">
        <v>135</v>
      </c>
      <c r="K252" s="793">
        <f>I252*G252</f>
        <v>1</v>
      </c>
      <c r="L252" s="16"/>
    </row>
    <row r="253" spans="1:12" ht="16.2" thickBot="1">
      <c r="A253" s="1">
        <v>19</v>
      </c>
      <c r="B253" s="835" t="s">
        <v>134</v>
      </c>
      <c r="C253" s="830" t="s">
        <v>133</v>
      </c>
      <c r="D253" s="800">
        <v>0</v>
      </c>
      <c r="E253" s="16"/>
      <c r="F253" s="16"/>
      <c r="G253" s="16" t="s">
        <v>67</v>
      </c>
      <c r="H253" s="16"/>
      <c r="I253" s="16"/>
      <c r="J253" s="16"/>
      <c r="K253" s="16"/>
      <c r="L253" s="16"/>
    </row>
    <row r="254" spans="1:12">
      <c r="A254" s="1">
        <v>20</v>
      </c>
      <c r="B254" s="23" t="s">
        <v>132</v>
      </c>
      <c r="C254" s="16"/>
      <c r="D254" s="794">
        <f>D251+D252+D253</f>
        <v>4371954273.079999</v>
      </c>
      <c r="E254" s="16"/>
      <c r="F254" s="16"/>
      <c r="G254" s="16"/>
      <c r="H254" s="16"/>
      <c r="I254" s="16"/>
      <c r="J254" s="16"/>
      <c r="K254" s="16"/>
      <c r="L254" s="16"/>
    </row>
    <row r="255" spans="1:12" ht="11.25" customHeight="1">
      <c r="A255" s="1"/>
      <c r="B255" s="23"/>
      <c r="C255" s="16"/>
      <c r="D255" s="26"/>
      <c r="E255" s="16"/>
      <c r="F255" s="16"/>
      <c r="G255" s="16"/>
      <c r="H255" s="16"/>
      <c r="I255" s="16"/>
      <c r="J255" s="16"/>
      <c r="K255" s="16"/>
      <c r="L255" s="16"/>
    </row>
    <row r="256" spans="1:12" ht="16.2" thickBot="1">
      <c r="A256" s="1"/>
      <c r="B256" s="17" t="s">
        <v>131</v>
      </c>
      <c r="C256" s="16"/>
      <c r="D256" s="16"/>
      <c r="E256" s="16"/>
      <c r="F256" s="16"/>
      <c r="G256" s="16"/>
      <c r="H256" s="16"/>
      <c r="I256" s="831" t="s">
        <v>121</v>
      </c>
      <c r="J256" s="16"/>
      <c r="K256" s="16"/>
      <c r="L256" s="16"/>
    </row>
    <row r="257" spans="1:12">
      <c r="A257" s="1">
        <v>21</v>
      </c>
      <c r="B257" s="5"/>
      <c r="C257" s="16" t="s">
        <v>130</v>
      </c>
      <c r="D257" s="16"/>
      <c r="E257" s="16"/>
      <c r="F257" s="16"/>
      <c r="G257" s="16"/>
      <c r="H257" s="16"/>
      <c r="I257" s="53" t="s">
        <v>11</v>
      </c>
      <c r="J257" s="16"/>
      <c r="K257" s="16"/>
      <c r="L257" s="16"/>
    </row>
    <row r="258" spans="1:12" ht="11.25" customHeight="1">
      <c r="A258" s="1"/>
      <c r="B258" s="23"/>
      <c r="C258" s="16"/>
      <c r="D258" s="16"/>
      <c r="E258" s="16"/>
      <c r="F258" s="16"/>
      <c r="G258" s="16"/>
      <c r="H258" s="16"/>
      <c r="I258" s="30"/>
      <c r="J258" s="16"/>
      <c r="K258" s="16"/>
      <c r="L258" s="16"/>
    </row>
    <row r="259" spans="1:12">
      <c r="A259" s="1">
        <v>22</v>
      </c>
      <c r="B259" s="17"/>
      <c r="C259" s="16" t="s">
        <v>129</v>
      </c>
      <c r="D259" s="16"/>
      <c r="E259" s="16"/>
      <c r="F259" s="16"/>
      <c r="G259" s="16"/>
      <c r="H259" s="52"/>
      <c r="I259" s="51" t="s">
        <v>11</v>
      </c>
      <c r="J259" s="16"/>
      <c r="K259" s="16"/>
      <c r="L259" s="16"/>
    </row>
    <row r="260" spans="1:12" ht="11.25" customHeight="1">
      <c r="A260" s="1"/>
      <c r="B260" s="17"/>
      <c r="C260" s="16"/>
      <c r="D260" s="16"/>
      <c r="E260" s="16"/>
      <c r="F260" s="16"/>
      <c r="G260" s="16"/>
      <c r="H260" s="16"/>
      <c r="I260" s="16"/>
      <c r="J260" s="16"/>
      <c r="K260" s="16"/>
      <c r="L260" s="16"/>
    </row>
    <row r="261" spans="1:12">
      <c r="A261" s="1"/>
      <c r="B261" s="17" t="s">
        <v>128</v>
      </c>
      <c r="C261" s="16"/>
      <c r="D261" s="16"/>
      <c r="E261" s="16"/>
      <c r="F261" s="16"/>
      <c r="G261" s="16"/>
      <c r="H261" s="16"/>
      <c r="I261" s="16"/>
      <c r="J261" s="16"/>
      <c r="K261" s="16"/>
      <c r="L261" s="16"/>
    </row>
    <row r="262" spans="1:12">
      <c r="A262" s="1">
        <v>23</v>
      </c>
      <c r="B262" s="17"/>
      <c r="C262" s="16" t="s">
        <v>127</v>
      </c>
      <c r="D262" s="5"/>
      <c r="E262" s="16"/>
      <c r="F262" s="16"/>
      <c r="G262" s="16"/>
      <c r="H262" s="16"/>
      <c r="I262" s="49" t="s">
        <v>11</v>
      </c>
      <c r="J262" s="16"/>
      <c r="K262" s="16"/>
      <c r="L262" s="16"/>
    </row>
    <row r="263" spans="1:12">
      <c r="A263" s="1">
        <v>24</v>
      </c>
      <c r="B263" s="17"/>
      <c r="C263" s="16" t="s">
        <v>126</v>
      </c>
      <c r="D263" s="16"/>
      <c r="E263" s="16"/>
      <c r="F263" s="16"/>
      <c r="G263" s="16"/>
      <c r="H263" s="16"/>
      <c r="I263" s="50" t="s">
        <v>11</v>
      </c>
      <c r="J263" s="16"/>
      <c r="K263" s="16"/>
      <c r="L263" s="16"/>
    </row>
    <row r="264" spans="1:12" ht="16.2" thickBot="1">
      <c r="A264" s="1">
        <v>25</v>
      </c>
      <c r="B264" s="17"/>
      <c r="C264" s="16" t="s">
        <v>125</v>
      </c>
      <c r="D264" s="16"/>
      <c r="E264" s="16"/>
      <c r="F264" s="16"/>
      <c r="G264" s="16"/>
      <c r="H264" s="16"/>
      <c r="I264" s="836" t="s">
        <v>11</v>
      </c>
      <c r="J264" s="16"/>
      <c r="K264" s="16"/>
      <c r="L264" s="16"/>
    </row>
    <row r="265" spans="1:12">
      <c r="A265" s="1">
        <v>26</v>
      </c>
      <c r="B265" s="5"/>
      <c r="C265" s="16" t="s">
        <v>124</v>
      </c>
      <c r="D265" s="5" t="s">
        <v>123</v>
      </c>
      <c r="E265" s="5"/>
      <c r="F265" s="5"/>
      <c r="G265" s="5"/>
      <c r="H265" s="5"/>
      <c r="I265" s="30" t="s">
        <v>11</v>
      </c>
      <c r="J265" s="16"/>
      <c r="K265" s="16"/>
      <c r="L265" s="16"/>
    </row>
    <row r="266" spans="1:12">
      <c r="A266" s="1"/>
      <c r="B266" s="23"/>
      <c r="C266" s="16"/>
      <c r="D266" s="16"/>
      <c r="E266" s="16"/>
      <c r="F266" s="16"/>
      <c r="G266" s="30" t="s">
        <v>122</v>
      </c>
      <c r="H266" s="16"/>
      <c r="I266" s="16"/>
      <c r="J266" s="16"/>
      <c r="K266" s="16"/>
      <c r="L266" s="16"/>
    </row>
    <row r="267" spans="1:12" ht="16.2" thickBot="1">
      <c r="A267" s="1"/>
      <c r="B267" s="23"/>
      <c r="C267" s="16"/>
      <c r="D267" s="790" t="s">
        <v>121</v>
      </c>
      <c r="E267" s="790" t="s">
        <v>120</v>
      </c>
      <c r="F267" s="16"/>
      <c r="G267" s="790" t="s">
        <v>119</v>
      </c>
      <c r="H267" s="16"/>
      <c r="I267" s="790" t="s">
        <v>118</v>
      </c>
      <c r="J267" s="16"/>
      <c r="K267" s="16"/>
      <c r="L267" s="16"/>
    </row>
    <row r="268" spans="1:12">
      <c r="A268" s="1">
        <v>27</v>
      </c>
      <c r="B268" s="17" t="s">
        <v>117</v>
      </c>
      <c r="C268" s="26"/>
      <c r="D268" s="49">
        <v>0</v>
      </c>
      <c r="E268" s="48">
        <v>0.5</v>
      </c>
      <c r="F268" s="45"/>
      <c r="G268" s="47">
        <f>'Calc. of Wgt. Avg. Debt Rate'!H42</f>
        <v>4.7826471139983132E-2</v>
      </c>
      <c r="H268" s="26"/>
      <c r="I268" s="45">
        <f>E268*G268</f>
        <v>2.3913235569991566E-2</v>
      </c>
      <c r="J268" s="44" t="s">
        <v>116</v>
      </c>
      <c r="K268" s="26"/>
      <c r="L268" s="16"/>
    </row>
    <row r="269" spans="1:12">
      <c r="A269" s="1">
        <v>28</v>
      </c>
      <c r="B269" s="17" t="s">
        <v>115</v>
      </c>
      <c r="C269" s="26"/>
      <c r="D269" s="49">
        <v>0</v>
      </c>
      <c r="E269" s="48">
        <v>0</v>
      </c>
      <c r="F269" s="45"/>
      <c r="G269" s="837">
        <f>IF(D269&gt;0,I259/D269,0)</f>
        <v>0</v>
      </c>
      <c r="H269" s="26"/>
      <c r="I269" s="45">
        <f>E269*G269</f>
        <v>0</v>
      </c>
      <c r="J269" s="16"/>
      <c r="K269" s="26"/>
      <c r="L269" s="910"/>
    </row>
    <row r="270" spans="1:12" ht="16.2" thickBot="1">
      <c r="A270" s="1">
        <v>29</v>
      </c>
      <c r="B270" s="17" t="s">
        <v>114</v>
      </c>
      <c r="C270" s="26"/>
      <c r="D270" s="831">
        <v>0</v>
      </c>
      <c r="E270" s="48">
        <v>0.5</v>
      </c>
      <c r="F270" s="45"/>
      <c r="G270" s="47">
        <v>0.122</v>
      </c>
      <c r="H270" s="26"/>
      <c r="I270" s="838">
        <f>E270*G270</f>
        <v>6.0999999999999999E-2</v>
      </c>
      <c r="J270" s="16"/>
      <c r="K270" s="26"/>
      <c r="L270" s="16"/>
    </row>
    <row r="271" spans="1:12">
      <c r="A271" s="1">
        <v>30</v>
      </c>
      <c r="B271" s="23" t="s">
        <v>113</v>
      </c>
      <c r="C271" s="26"/>
      <c r="D271" s="46">
        <f>SUM(D268:D270)</f>
        <v>0</v>
      </c>
      <c r="E271" s="16" t="s">
        <v>67</v>
      </c>
      <c r="F271" s="16"/>
      <c r="G271" s="16"/>
      <c r="H271" s="16"/>
      <c r="I271" s="45">
        <f>SUM(I268:I270)</f>
        <v>8.4913235569991558E-2</v>
      </c>
      <c r="J271" s="44" t="s">
        <v>112</v>
      </c>
      <c r="K271" s="26"/>
      <c r="L271" s="16"/>
    </row>
    <row r="272" spans="1:12" ht="11.25" customHeight="1">
      <c r="A272" s="26"/>
      <c r="B272" s="26"/>
      <c r="C272" s="26"/>
      <c r="D272" s="26"/>
      <c r="E272" s="16"/>
      <c r="F272" s="16"/>
      <c r="G272" s="16"/>
      <c r="H272" s="16"/>
      <c r="I272" s="26"/>
      <c r="J272" s="26"/>
      <c r="K272" s="26"/>
      <c r="L272" s="16"/>
    </row>
    <row r="273" spans="1:19">
      <c r="A273" s="1"/>
      <c r="B273" s="17" t="s">
        <v>111</v>
      </c>
      <c r="C273" s="5"/>
      <c r="D273" s="5"/>
      <c r="E273" s="5"/>
      <c r="F273" s="5"/>
      <c r="G273" s="5"/>
      <c r="H273" s="5"/>
      <c r="I273" s="5"/>
      <c r="J273" s="5"/>
      <c r="K273" s="5"/>
      <c r="L273" s="30"/>
    </row>
    <row r="274" spans="1:19" ht="16.2" thickBot="1">
      <c r="A274" s="1"/>
      <c r="B274" s="17"/>
      <c r="C274" s="17"/>
      <c r="D274" s="17"/>
      <c r="E274" s="17"/>
      <c r="F274" s="17"/>
      <c r="G274" s="17"/>
      <c r="H274" s="17"/>
      <c r="I274" s="790" t="s">
        <v>110</v>
      </c>
      <c r="J274" s="43"/>
      <c r="K274" s="26"/>
      <c r="L274" s="26"/>
    </row>
    <row r="275" spans="1:19">
      <c r="A275" s="1"/>
      <c r="B275" s="17" t="s">
        <v>109</v>
      </c>
      <c r="C275" s="5"/>
      <c r="D275" s="5" t="s">
        <v>108</v>
      </c>
      <c r="E275" s="5" t="s">
        <v>107</v>
      </c>
      <c r="F275" s="5"/>
      <c r="G275" s="42" t="s">
        <v>67</v>
      </c>
      <c r="H275" s="41"/>
      <c r="I275" s="19"/>
      <c r="J275" s="19"/>
      <c r="K275" s="26"/>
      <c r="L275" s="26"/>
    </row>
    <row r="276" spans="1:19">
      <c r="A276" s="1">
        <v>31</v>
      </c>
      <c r="B276" s="26" t="s">
        <v>106</v>
      </c>
      <c r="C276" s="5"/>
      <c r="D276" s="5"/>
      <c r="E276" s="26"/>
      <c r="F276" s="5"/>
      <c r="G276" s="26"/>
      <c r="H276" s="41"/>
      <c r="I276" s="40">
        <v>0</v>
      </c>
      <c r="J276" s="36"/>
      <c r="K276" s="26"/>
      <c r="L276" s="26"/>
    </row>
    <row r="277" spans="1:19" ht="16.2" thickBot="1">
      <c r="A277" s="1">
        <v>32</v>
      </c>
      <c r="B277" s="807" t="s">
        <v>105</v>
      </c>
      <c r="C277" s="839"/>
      <c r="D277" s="39"/>
      <c r="E277" s="28"/>
      <c r="F277" s="28"/>
      <c r="G277" s="28"/>
      <c r="H277" s="5"/>
      <c r="I277" s="840">
        <v>0</v>
      </c>
      <c r="J277" s="38"/>
      <c r="K277" s="26"/>
      <c r="L277" s="26"/>
    </row>
    <row r="278" spans="1:19">
      <c r="A278" s="1">
        <v>33</v>
      </c>
      <c r="B278" s="26" t="s">
        <v>104</v>
      </c>
      <c r="C278" s="22"/>
      <c r="D278" s="26"/>
      <c r="E278" s="5"/>
      <c r="F278" s="5"/>
      <c r="G278" s="5"/>
      <c r="H278" s="5"/>
      <c r="I278" s="37">
        <f>I276-I277</f>
        <v>0</v>
      </c>
      <c r="J278" s="36"/>
      <c r="K278" s="26"/>
      <c r="L278" s="26"/>
    </row>
    <row r="279" spans="1:19" ht="11.25" customHeight="1">
      <c r="A279" s="1"/>
      <c r="B279" s="26"/>
      <c r="C279" s="22"/>
      <c r="D279" s="26"/>
      <c r="E279" s="5"/>
      <c r="F279" s="5"/>
      <c r="G279" s="5"/>
      <c r="H279" s="5"/>
      <c r="I279" s="33"/>
      <c r="J279" s="19"/>
      <c r="K279" s="26"/>
      <c r="L279" s="26"/>
    </row>
    <row r="280" spans="1:19">
      <c r="A280" s="1">
        <v>34</v>
      </c>
      <c r="B280" s="17" t="s">
        <v>103</v>
      </c>
      <c r="C280" s="22"/>
      <c r="D280" s="26"/>
      <c r="E280" s="5"/>
      <c r="F280" s="5"/>
      <c r="G280" s="35"/>
      <c r="H280" s="5"/>
      <c r="I280" s="34">
        <f>'Revenue Breakout'!C8</f>
        <v>1558720</v>
      </c>
      <c r="J280" s="19"/>
      <c r="K280" s="32"/>
      <c r="L280" s="30"/>
    </row>
    <row r="281" spans="1:19" ht="11.25" customHeight="1">
      <c r="A281" s="1"/>
      <c r="B281" s="26"/>
      <c r="C281" s="5"/>
      <c r="D281" s="5"/>
      <c r="E281" s="5"/>
      <c r="F281" s="5"/>
      <c r="G281" s="5"/>
      <c r="H281" s="5"/>
      <c r="I281" s="33"/>
      <c r="J281" s="19"/>
      <c r="K281" s="32"/>
      <c r="L281" s="30"/>
    </row>
    <row r="282" spans="1:19">
      <c r="A282" s="26"/>
      <c r="B282" s="17" t="s">
        <v>102</v>
      </c>
      <c r="C282" s="5"/>
      <c r="D282" s="5" t="s">
        <v>101</v>
      </c>
      <c r="E282" s="5"/>
      <c r="F282" s="5"/>
      <c r="G282" s="5"/>
      <c r="H282" s="5"/>
      <c r="I282" s="26"/>
      <c r="J282" s="26"/>
      <c r="K282" s="31"/>
      <c r="L282" s="30"/>
    </row>
    <row r="283" spans="1:19">
      <c r="A283" s="1">
        <v>35</v>
      </c>
      <c r="B283" s="17" t="s">
        <v>100</v>
      </c>
      <c r="C283" s="16"/>
      <c r="D283" s="16"/>
      <c r="E283" s="16"/>
      <c r="F283" s="16"/>
      <c r="G283" s="16"/>
      <c r="H283" s="16"/>
      <c r="I283" s="27">
        <f>'Revenue Breakout'!C22</f>
        <v>662033752.60000002</v>
      </c>
      <c r="J283" s="3"/>
      <c r="K283" s="31"/>
      <c r="L283" s="30"/>
      <c r="N283" s="917"/>
    </row>
    <row r="284" spans="1:19">
      <c r="A284" s="1">
        <v>36</v>
      </c>
      <c r="B284" s="29" t="s">
        <v>99</v>
      </c>
      <c r="C284" s="28"/>
      <c r="D284" s="28"/>
      <c r="E284" s="28"/>
      <c r="F284" s="28"/>
      <c r="G284" s="5"/>
      <c r="H284" s="5"/>
      <c r="I284" s="27">
        <f>'Revenue Breakout'!C23</f>
        <v>554261449.14999998</v>
      </c>
      <c r="J284" s="26"/>
      <c r="K284" s="25"/>
      <c r="L284" s="30"/>
      <c r="N284" s="917"/>
    </row>
    <row r="285" spans="1:19">
      <c r="A285" s="816" t="s">
        <v>98</v>
      </c>
      <c r="B285" s="841" t="s">
        <v>536</v>
      </c>
      <c r="C285" s="842"/>
      <c r="D285" s="28"/>
      <c r="E285" s="28"/>
      <c r="F285" s="28"/>
      <c r="G285" s="5"/>
      <c r="H285" s="5"/>
      <c r="I285" s="27">
        <f>'Revenue Breakout'!C24</f>
        <v>92283304</v>
      </c>
      <c r="J285" s="26"/>
      <c r="K285" s="25"/>
      <c r="L285" s="30"/>
      <c r="N285" s="917"/>
    </row>
    <row r="286" spans="1:19" s="820" customFormat="1" ht="16.2" thickBot="1">
      <c r="A286" s="816" t="s">
        <v>97</v>
      </c>
      <c r="B286" s="843" t="s">
        <v>796</v>
      </c>
      <c r="C286" s="844"/>
      <c r="D286" s="842"/>
      <c r="E286" s="842"/>
      <c r="F286" s="842"/>
      <c r="G286" s="842"/>
      <c r="H286" s="806"/>
      <c r="I286" s="845">
        <f>'Revenue Breakout'!C25</f>
        <v>7247057.4500000002</v>
      </c>
      <c r="J286" s="810"/>
      <c r="K286" s="846"/>
      <c r="L286" s="30"/>
      <c r="N286" s="917"/>
    </row>
    <row r="287" spans="1:19">
      <c r="A287" s="1">
        <v>37</v>
      </c>
      <c r="B287" s="810" t="s">
        <v>96</v>
      </c>
      <c r="C287" s="1"/>
      <c r="D287" s="16"/>
      <c r="E287" s="16"/>
      <c r="F287" s="16"/>
      <c r="G287" s="16"/>
      <c r="H287" s="5"/>
      <c r="I287" s="4">
        <f>I283-I284-I285-I286</f>
        <v>8241942.0000000475</v>
      </c>
      <c r="J287" s="3"/>
      <c r="K287" s="2"/>
      <c r="L287" s="916"/>
      <c r="N287" s="917"/>
      <c r="S287" s="925"/>
    </row>
    <row r="288" spans="1:19">
      <c r="A288" s="1"/>
      <c r="B288" s="21"/>
      <c r="C288" s="1"/>
      <c r="D288" s="16"/>
      <c r="E288" s="16"/>
      <c r="F288" s="16"/>
      <c r="G288" s="16"/>
      <c r="H288" s="5"/>
      <c r="I288" s="4"/>
      <c r="J288" s="3"/>
      <c r="K288" s="2"/>
      <c r="L288" s="1"/>
    </row>
    <row r="289" spans="1:12">
      <c r="A289" s="1"/>
      <c r="B289" s="21"/>
      <c r="C289" s="1"/>
      <c r="D289" s="16"/>
      <c r="E289" s="16"/>
      <c r="F289" s="16"/>
      <c r="G289" s="16"/>
      <c r="H289" s="5"/>
      <c r="I289" s="4"/>
      <c r="J289" s="3"/>
      <c r="K289" s="2"/>
      <c r="L289" s="1"/>
    </row>
    <row r="290" spans="1:12">
      <c r="A290" s="1"/>
      <c r="B290" s="23"/>
      <c r="C290" s="22"/>
      <c r="D290" s="16"/>
      <c r="E290" s="16"/>
      <c r="F290" s="16"/>
      <c r="G290" s="16"/>
      <c r="H290" s="22"/>
      <c r="I290" s="16"/>
      <c r="J290" s="22"/>
      <c r="K290" s="24" t="s">
        <v>95</v>
      </c>
      <c r="L290" s="22"/>
    </row>
    <row r="291" spans="1:12">
      <c r="A291" s="1"/>
      <c r="B291" s="23"/>
      <c r="C291" s="22"/>
      <c r="D291" s="16"/>
      <c r="E291" s="16"/>
      <c r="F291" s="16"/>
      <c r="G291" s="16"/>
      <c r="H291" s="22"/>
      <c r="I291" s="16"/>
      <c r="J291" s="22"/>
      <c r="K291" s="16"/>
      <c r="L291" s="22"/>
    </row>
    <row r="292" spans="1:12">
      <c r="A292" s="1"/>
      <c r="B292" s="21" t="s">
        <v>94</v>
      </c>
      <c r="C292" s="1"/>
      <c r="D292" s="16" t="s">
        <v>93</v>
      </c>
      <c r="E292" s="16"/>
      <c r="F292" s="16"/>
      <c r="G292" s="16"/>
      <c r="H292" s="5"/>
      <c r="J292" s="19"/>
      <c r="K292" s="847" t="str">
        <f>K3</f>
        <v>For the 12 months ended 12/31/2015</v>
      </c>
      <c r="L292" s="1"/>
    </row>
    <row r="293" spans="1:12">
      <c r="A293" s="1"/>
      <c r="B293" s="21"/>
      <c r="C293" s="1"/>
      <c r="D293" s="16" t="s">
        <v>92</v>
      </c>
      <c r="E293" s="16"/>
      <c r="F293" s="16"/>
      <c r="G293" s="16"/>
      <c r="H293" s="5"/>
      <c r="I293" s="20"/>
      <c r="J293" s="19"/>
      <c r="K293" s="2"/>
      <c r="L293" s="1"/>
    </row>
    <row r="294" spans="1:12">
      <c r="A294" s="1"/>
      <c r="B294" s="21"/>
      <c r="C294" s="1"/>
      <c r="D294" s="16"/>
      <c r="E294" s="16"/>
      <c r="F294" s="16"/>
      <c r="G294" s="16"/>
      <c r="H294" s="5"/>
      <c r="I294" s="20"/>
      <c r="J294" s="19"/>
      <c r="K294" s="2"/>
      <c r="L294" s="1"/>
    </row>
    <row r="295" spans="1:12">
      <c r="A295" s="1017" t="str">
        <f>A6</f>
        <v>American Transmission Company LLC</v>
      </c>
      <c r="B295" s="1017"/>
      <c r="C295" s="1017"/>
      <c r="D295" s="1017"/>
      <c r="E295" s="1017"/>
      <c r="F295" s="1017"/>
      <c r="G295" s="1017"/>
      <c r="H295" s="1017"/>
      <c r="I295" s="1017"/>
      <c r="J295" s="1017"/>
      <c r="K295" s="1017"/>
      <c r="L295" s="1"/>
    </row>
    <row r="296" spans="1:12">
      <c r="A296" s="1"/>
      <c r="B296" s="21"/>
      <c r="C296" s="1"/>
      <c r="D296" s="16"/>
      <c r="E296" s="16"/>
      <c r="F296" s="16"/>
      <c r="G296" s="16"/>
      <c r="H296" s="5"/>
      <c r="I296" s="20"/>
      <c r="J296" s="19"/>
      <c r="K296" s="2"/>
      <c r="L296" s="1"/>
    </row>
    <row r="297" spans="1:12">
      <c r="A297" s="1"/>
      <c r="B297" s="17" t="s">
        <v>91</v>
      </c>
      <c r="C297" s="1"/>
      <c r="D297" s="16"/>
      <c r="E297" s="16"/>
      <c r="F297" s="16"/>
      <c r="G297" s="16"/>
      <c r="H297" s="5"/>
      <c r="I297" s="16"/>
      <c r="J297" s="5"/>
      <c r="K297" s="16"/>
      <c r="L297" s="1"/>
    </row>
    <row r="298" spans="1:12">
      <c r="A298" s="1"/>
      <c r="B298" s="18" t="s">
        <v>90</v>
      </c>
      <c r="C298" s="1"/>
      <c r="D298" s="16"/>
      <c r="E298" s="16"/>
      <c r="F298" s="16"/>
      <c r="G298" s="16"/>
      <c r="H298" s="5"/>
      <c r="I298" s="16"/>
      <c r="J298" s="5"/>
      <c r="K298" s="16"/>
      <c r="L298" s="1"/>
    </row>
    <row r="299" spans="1:12">
      <c r="A299" s="1" t="s">
        <v>89</v>
      </c>
      <c r="B299" s="17"/>
      <c r="C299" s="5"/>
      <c r="D299" s="16"/>
      <c r="E299" s="16"/>
      <c r="F299" s="16"/>
      <c r="G299" s="16"/>
      <c r="H299" s="5"/>
      <c r="I299" s="16"/>
      <c r="J299" s="5"/>
      <c r="K299" s="16"/>
      <c r="L299" s="1"/>
    </row>
    <row r="300" spans="1:12" ht="16.2" thickBot="1">
      <c r="A300" s="790" t="s">
        <v>88</v>
      </c>
      <c r="B300" s="1019"/>
      <c r="C300" s="1019"/>
      <c r="D300" s="14"/>
      <c r="E300" s="14"/>
      <c r="F300" s="14"/>
      <c r="G300" s="14"/>
      <c r="H300" s="15"/>
      <c r="I300" s="14"/>
      <c r="J300" s="15"/>
      <c r="K300" s="14"/>
      <c r="L300" s="1"/>
    </row>
    <row r="301" spans="1:12" s="848" customFormat="1">
      <c r="A301" s="12" t="s">
        <v>87</v>
      </c>
      <c r="B301" s="1018" t="s">
        <v>86</v>
      </c>
      <c r="C301" s="1018"/>
      <c r="D301" s="1018"/>
      <c r="E301" s="1018"/>
      <c r="F301" s="1018"/>
      <c r="G301" s="1018"/>
      <c r="H301" s="1018"/>
      <c r="I301" s="1018"/>
      <c r="J301" s="1018"/>
      <c r="K301" s="1018"/>
      <c r="L301" s="9"/>
    </row>
    <row r="302" spans="1:12" s="848" customFormat="1">
      <c r="A302" s="12" t="s">
        <v>85</v>
      </c>
      <c r="B302" s="1018" t="s">
        <v>84</v>
      </c>
      <c r="C302" s="1018"/>
      <c r="D302" s="1018"/>
      <c r="E302" s="1018"/>
      <c r="F302" s="1018"/>
      <c r="G302" s="1018"/>
      <c r="H302" s="1018"/>
      <c r="I302" s="1018"/>
      <c r="J302" s="1018"/>
      <c r="K302" s="1018"/>
      <c r="L302" s="9"/>
    </row>
    <row r="303" spans="1:12" s="848" customFormat="1">
      <c r="A303" s="12" t="s">
        <v>83</v>
      </c>
      <c r="B303" s="1018" t="s">
        <v>81</v>
      </c>
      <c r="C303" s="1018"/>
      <c r="D303" s="1018"/>
      <c r="E303" s="1018"/>
      <c r="F303" s="1018"/>
      <c r="G303" s="1018"/>
      <c r="H303" s="1018"/>
      <c r="I303" s="1018"/>
      <c r="J303" s="1018"/>
      <c r="K303" s="1018"/>
      <c r="L303" s="13"/>
    </row>
    <row r="304" spans="1:12" s="848" customFormat="1">
      <c r="A304" s="12" t="s">
        <v>82</v>
      </c>
      <c r="B304" s="1018" t="s">
        <v>81</v>
      </c>
      <c r="C304" s="1018"/>
      <c r="D304" s="1018"/>
      <c r="E304" s="1018"/>
      <c r="F304" s="1018"/>
      <c r="G304" s="1018"/>
      <c r="H304" s="1018"/>
      <c r="I304" s="1018"/>
      <c r="J304" s="1018"/>
      <c r="K304" s="1018"/>
      <c r="L304" s="13"/>
    </row>
    <row r="305" spans="1:16" s="848" customFormat="1">
      <c r="A305" s="12" t="s">
        <v>80</v>
      </c>
      <c r="B305" s="1018" t="s">
        <v>79</v>
      </c>
      <c r="C305" s="1018"/>
      <c r="D305" s="1018"/>
      <c r="E305" s="1018"/>
      <c r="F305" s="1018"/>
      <c r="G305" s="1018"/>
      <c r="H305" s="1018"/>
      <c r="I305" s="1018"/>
      <c r="J305" s="1018"/>
      <c r="K305" s="1018"/>
      <c r="L305" s="9"/>
    </row>
    <row r="306" spans="1:16" s="848" customFormat="1" ht="66.75" customHeight="1">
      <c r="A306" s="12" t="s">
        <v>78</v>
      </c>
      <c r="B306" s="1018" t="s">
        <v>77</v>
      </c>
      <c r="C306" s="1018"/>
      <c r="D306" s="1018"/>
      <c r="E306" s="1018"/>
      <c r="F306" s="1018"/>
      <c r="G306" s="1018"/>
      <c r="H306" s="1018"/>
      <c r="I306" s="1018"/>
      <c r="J306" s="1018"/>
      <c r="K306" s="1018"/>
      <c r="L306" s="9"/>
    </row>
    <row r="307" spans="1:16" s="848" customFormat="1">
      <c r="A307" s="12" t="s">
        <v>76</v>
      </c>
      <c r="B307" s="1018" t="s">
        <v>75</v>
      </c>
      <c r="C307" s="1018"/>
      <c r="D307" s="1018"/>
      <c r="E307" s="1018"/>
      <c r="F307" s="1018"/>
      <c r="G307" s="1018"/>
      <c r="H307" s="1018"/>
      <c r="I307" s="1018"/>
      <c r="J307" s="1018"/>
      <c r="K307" s="1018"/>
      <c r="L307" s="9"/>
    </row>
    <row r="308" spans="1:16" s="848" customFormat="1" ht="32.25" customHeight="1">
      <c r="A308" s="12" t="s">
        <v>74</v>
      </c>
      <c r="B308" s="1018" t="s">
        <v>73</v>
      </c>
      <c r="C308" s="1018"/>
      <c r="D308" s="1018"/>
      <c r="E308" s="1018"/>
      <c r="F308" s="1018"/>
      <c r="G308" s="1018"/>
      <c r="H308" s="1018"/>
      <c r="I308" s="1018"/>
      <c r="J308" s="1018"/>
      <c r="K308" s="1018"/>
      <c r="L308" s="9"/>
    </row>
    <row r="309" spans="1:16" s="848" customFormat="1" ht="32.25" customHeight="1">
      <c r="A309" s="12" t="s">
        <v>72</v>
      </c>
      <c r="B309" s="1018" t="s">
        <v>71</v>
      </c>
      <c r="C309" s="1018"/>
      <c r="D309" s="1018"/>
      <c r="E309" s="1018"/>
      <c r="F309" s="1018"/>
      <c r="G309" s="1018"/>
      <c r="H309" s="1018"/>
      <c r="I309" s="1018"/>
      <c r="J309" s="1018"/>
      <c r="K309" s="1018"/>
      <c r="L309" s="9"/>
    </row>
    <row r="310" spans="1:16" s="848" customFormat="1" ht="32.25" customHeight="1">
      <c r="A310" s="12" t="s">
        <v>70</v>
      </c>
      <c r="B310" s="1018" t="s">
        <v>69</v>
      </c>
      <c r="C310" s="1018"/>
      <c r="D310" s="1018"/>
      <c r="E310" s="1018"/>
      <c r="F310" s="1018"/>
      <c r="G310" s="1018"/>
      <c r="H310" s="1018"/>
      <c r="I310" s="1018"/>
      <c r="J310" s="1018"/>
      <c r="K310" s="1018"/>
      <c r="L310" s="9"/>
    </row>
    <row r="311" spans="1:16" s="848" customFormat="1" ht="94.5" customHeight="1">
      <c r="A311" s="12" t="s">
        <v>68</v>
      </c>
      <c r="B311" s="1018" t="s">
        <v>535</v>
      </c>
      <c r="C311" s="1018"/>
      <c r="D311" s="1018"/>
      <c r="E311" s="1018"/>
      <c r="F311" s="1018"/>
      <c r="G311" s="1018"/>
      <c r="H311" s="1018"/>
      <c r="I311" s="1018"/>
      <c r="J311" s="1018"/>
      <c r="K311" s="1018"/>
      <c r="L311" s="9"/>
    </row>
    <row r="312" spans="1:16">
      <c r="A312" s="1" t="s">
        <v>67</v>
      </c>
      <c r="B312" s="11" t="s">
        <v>66</v>
      </c>
      <c r="C312" s="11" t="s">
        <v>16</v>
      </c>
      <c r="D312" s="849">
        <v>0.35</v>
      </c>
      <c r="E312" s="11"/>
      <c r="F312" s="11"/>
      <c r="G312" s="11"/>
      <c r="H312" s="11"/>
      <c r="I312" s="11"/>
      <c r="J312" s="11"/>
      <c r="K312" s="11"/>
      <c r="L312" s="6"/>
      <c r="P312" s="10"/>
    </row>
    <row r="313" spans="1:16">
      <c r="A313" s="1"/>
      <c r="B313" s="11"/>
      <c r="C313" s="11" t="s">
        <v>15</v>
      </c>
      <c r="D313" s="849">
        <f>SIT!D17</f>
        <v>7.4721277499999988E-2</v>
      </c>
      <c r="E313" s="11" t="s">
        <v>65</v>
      </c>
      <c r="F313" s="11"/>
      <c r="G313" s="11"/>
      <c r="H313" s="11"/>
      <c r="I313" s="11"/>
      <c r="J313" s="11"/>
      <c r="K313" s="11"/>
      <c r="L313" s="6"/>
      <c r="P313" s="10"/>
    </row>
    <row r="314" spans="1:16">
      <c r="A314" s="1"/>
      <c r="B314" s="11"/>
      <c r="C314" s="11" t="s">
        <v>64</v>
      </c>
      <c r="D314" s="849">
        <v>0</v>
      </c>
      <c r="E314" s="11" t="s">
        <v>63</v>
      </c>
      <c r="F314" s="11"/>
      <c r="G314" s="11"/>
      <c r="H314" s="11"/>
      <c r="I314" s="11"/>
      <c r="J314" s="11"/>
      <c r="K314" s="11"/>
      <c r="L314" s="6"/>
      <c r="P314" s="10"/>
    </row>
    <row r="315" spans="1:16">
      <c r="A315" s="1"/>
      <c r="B315" s="11"/>
      <c r="C315" s="11" t="s">
        <v>14</v>
      </c>
      <c r="D315" s="849">
        <v>7.5962099035706582E-2</v>
      </c>
      <c r="E315" s="11" t="s">
        <v>62</v>
      </c>
      <c r="F315" s="11"/>
      <c r="G315" s="11"/>
      <c r="H315" s="11"/>
      <c r="I315" s="11"/>
      <c r="J315" s="11"/>
      <c r="K315" s="11"/>
      <c r="L315" s="6"/>
      <c r="P315" s="10"/>
    </row>
    <row r="316" spans="1:16" s="850" customFormat="1" ht="50.25" customHeight="1">
      <c r="A316" s="9" t="s">
        <v>61</v>
      </c>
      <c r="B316" s="1018" t="s">
        <v>797</v>
      </c>
      <c r="C316" s="1018"/>
      <c r="D316" s="1018"/>
      <c r="E316" s="1018"/>
      <c r="F316" s="1018"/>
      <c r="G316" s="1018"/>
      <c r="H316" s="1018"/>
      <c r="I316" s="1018"/>
      <c r="J316" s="1018"/>
      <c r="K316" s="1018"/>
      <c r="L316" s="6"/>
    </row>
    <row r="317" spans="1:16" s="850" customFormat="1" ht="32.25" customHeight="1">
      <c r="A317" s="9" t="s">
        <v>60</v>
      </c>
      <c r="B317" s="1018" t="s">
        <v>59</v>
      </c>
      <c r="C317" s="1018"/>
      <c r="D317" s="1018"/>
      <c r="E317" s="1018"/>
      <c r="F317" s="1018"/>
      <c r="G317" s="1018"/>
      <c r="H317" s="1018"/>
      <c r="I317" s="1018"/>
      <c r="J317" s="1018"/>
      <c r="K317" s="1018"/>
      <c r="L317" s="6"/>
    </row>
    <row r="318" spans="1:16" s="850" customFormat="1" ht="51" customHeight="1">
      <c r="A318" s="9" t="s">
        <v>58</v>
      </c>
      <c r="B318" s="1018" t="s">
        <v>57</v>
      </c>
      <c r="C318" s="1018"/>
      <c r="D318" s="1018"/>
      <c r="E318" s="1018"/>
      <c r="F318" s="1018"/>
      <c r="G318" s="1018"/>
      <c r="H318" s="1018"/>
      <c r="I318" s="1018"/>
      <c r="J318" s="1018"/>
      <c r="K318" s="1018"/>
      <c r="L318" s="6"/>
    </row>
    <row r="319" spans="1:16" s="850" customFormat="1">
      <c r="A319" s="9" t="s">
        <v>56</v>
      </c>
      <c r="B319" s="1018" t="s">
        <v>55</v>
      </c>
      <c r="C319" s="1018"/>
      <c r="D319" s="1018"/>
      <c r="E319" s="1018"/>
      <c r="F319" s="1018"/>
      <c r="G319" s="1018"/>
      <c r="H319" s="1018"/>
      <c r="I319" s="1018"/>
      <c r="J319" s="1018"/>
      <c r="K319" s="1018"/>
      <c r="L319" s="6"/>
    </row>
    <row r="320" spans="1:16" s="850" customFormat="1" ht="51" customHeight="1">
      <c r="A320" s="9" t="s">
        <v>54</v>
      </c>
      <c r="B320" s="1018" t="s">
        <v>833</v>
      </c>
      <c r="C320" s="1018"/>
      <c r="D320" s="1018"/>
      <c r="E320" s="1018"/>
      <c r="F320" s="1018"/>
      <c r="G320" s="1018"/>
      <c r="H320" s="1018"/>
      <c r="I320" s="1018"/>
      <c r="J320" s="1018"/>
      <c r="K320" s="1018"/>
      <c r="L320" s="6"/>
    </row>
    <row r="321" spans="1:12" s="850" customFormat="1" ht="32.25" customHeight="1">
      <c r="A321" s="9" t="s">
        <v>53</v>
      </c>
      <c r="B321" s="1018" t="s">
        <v>52</v>
      </c>
      <c r="C321" s="1018"/>
      <c r="D321" s="1018"/>
      <c r="E321" s="1018"/>
      <c r="F321" s="1018"/>
      <c r="G321" s="1018"/>
      <c r="H321" s="1018"/>
      <c r="I321" s="1018"/>
      <c r="J321" s="1018"/>
      <c r="K321" s="1018"/>
      <c r="L321" s="6"/>
    </row>
    <row r="322" spans="1:12" s="850" customFormat="1">
      <c r="A322" s="9" t="s">
        <v>51</v>
      </c>
      <c r="B322" s="1018" t="s">
        <v>50</v>
      </c>
      <c r="C322" s="1018"/>
      <c r="D322" s="1018"/>
      <c r="E322" s="1018"/>
      <c r="F322" s="1018"/>
      <c r="G322" s="1018"/>
      <c r="H322" s="1018"/>
      <c r="I322" s="1018"/>
      <c r="J322" s="1018"/>
      <c r="K322" s="1018"/>
      <c r="L322" s="6"/>
    </row>
    <row r="323" spans="1:12" s="850" customFormat="1" ht="48" customHeight="1">
      <c r="A323" s="9" t="s">
        <v>49</v>
      </c>
      <c r="B323" s="1018" t="s">
        <v>48</v>
      </c>
      <c r="C323" s="1018"/>
      <c r="D323" s="1018"/>
      <c r="E323" s="1018"/>
      <c r="F323" s="1018"/>
      <c r="G323" s="1018"/>
      <c r="H323" s="1018"/>
      <c r="I323" s="1018"/>
      <c r="J323" s="1018"/>
      <c r="K323" s="1018"/>
      <c r="L323" s="6"/>
    </row>
    <row r="324" spans="1:12" s="850" customFormat="1" ht="62.25" customHeight="1">
      <c r="A324" s="8" t="s">
        <v>47</v>
      </c>
      <c r="B324" s="1021" t="s">
        <v>798</v>
      </c>
      <c r="C324" s="1020"/>
      <c r="D324" s="1020"/>
      <c r="E324" s="1020"/>
      <c r="F324" s="1020"/>
      <c r="G324" s="1020"/>
      <c r="H324" s="1020"/>
      <c r="I324" s="1020"/>
      <c r="J324" s="1020"/>
      <c r="K324" s="1020"/>
      <c r="L324" s="7"/>
    </row>
    <row r="325" spans="1:12" s="850" customFormat="1" ht="32.25" customHeight="1">
      <c r="A325" s="8" t="s">
        <v>46</v>
      </c>
      <c r="B325" s="1020" t="s">
        <v>45</v>
      </c>
      <c r="C325" s="1020"/>
      <c r="D325" s="1020"/>
      <c r="E325" s="1020"/>
      <c r="F325" s="1020"/>
      <c r="G325" s="1020"/>
      <c r="H325" s="1020"/>
      <c r="I325" s="1020"/>
      <c r="J325" s="1020"/>
      <c r="K325" s="1020"/>
      <c r="L325" s="7"/>
    </row>
    <row r="326" spans="1:12" s="850" customFormat="1">
      <c r="A326" s="851" t="s">
        <v>44</v>
      </c>
      <c r="B326" s="1023" t="s">
        <v>43</v>
      </c>
      <c r="C326" s="1022"/>
      <c r="D326" s="1022"/>
      <c r="E326" s="1022"/>
      <c r="F326" s="1022"/>
      <c r="G326" s="1022"/>
      <c r="H326" s="1022"/>
      <c r="I326" s="1022"/>
      <c r="J326" s="1022"/>
      <c r="K326" s="1022"/>
      <c r="L326" s="6"/>
    </row>
    <row r="327" spans="1:12" s="850" customFormat="1">
      <c r="A327" s="851" t="s">
        <v>42</v>
      </c>
      <c r="B327" s="1022" t="s">
        <v>484</v>
      </c>
      <c r="C327" s="1022"/>
      <c r="D327" s="1022"/>
      <c r="E327" s="1022"/>
      <c r="F327" s="1022"/>
      <c r="G327" s="1022"/>
      <c r="H327" s="1022"/>
      <c r="I327" s="1022"/>
      <c r="J327" s="1022"/>
      <c r="K327" s="1022"/>
      <c r="L327" s="6"/>
    </row>
    <row r="328" spans="1:12" s="854" customFormat="1" ht="32.25" customHeight="1">
      <c r="A328" s="852" t="s">
        <v>41</v>
      </c>
      <c r="B328" s="1022" t="s">
        <v>534</v>
      </c>
      <c r="C328" s="1022"/>
      <c r="D328" s="1022"/>
      <c r="E328" s="1022"/>
      <c r="F328" s="1022"/>
      <c r="G328" s="1022"/>
      <c r="H328" s="1022"/>
      <c r="I328" s="1022"/>
      <c r="J328" s="1022"/>
      <c r="K328" s="1022"/>
      <c r="L328" s="853"/>
    </row>
    <row r="329" spans="1:12" s="853" customFormat="1" ht="32.25" customHeight="1">
      <c r="A329" s="852" t="s">
        <v>40</v>
      </c>
      <c r="B329" s="1022" t="s">
        <v>533</v>
      </c>
      <c r="C329" s="1022"/>
      <c r="D329" s="1022"/>
      <c r="E329" s="1022"/>
      <c r="F329" s="1022"/>
      <c r="G329" s="1022"/>
      <c r="H329" s="1022"/>
      <c r="I329" s="1022"/>
      <c r="J329" s="1022"/>
      <c r="K329" s="1022"/>
    </row>
    <row r="330" spans="1:12" ht="15.75" customHeight="1">
      <c r="A330" s="855" t="s">
        <v>39</v>
      </c>
      <c r="B330" s="1022" t="s">
        <v>38</v>
      </c>
      <c r="C330" s="1022"/>
      <c r="D330" s="1022"/>
      <c r="E330" s="1022"/>
      <c r="F330" s="1022"/>
      <c r="G330" s="1022"/>
      <c r="H330" s="1022"/>
      <c r="I330" s="1022"/>
      <c r="J330" s="1022"/>
      <c r="K330" s="1022"/>
      <c r="L330" s="1"/>
    </row>
    <row r="331" spans="1:12" ht="33.75" customHeight="1">
      <c r="A331" s="852" t="s">
        <v>37</v>
      </c>
      <c r="B331" s="1022" t="s">
        <v>532</v>
      </c>
      <c r="C331" s="1022"/>
      <c r="D331" s="1022"/>
      <c r="E331" s="1022"/>
      <c r="F331" s="1022"/>
      <c r="G331" s="1022"/>
      <c r="H331" s="1022"/>
      <c r="I331" s="1022"/>
      <c r="J331" s="1022"/>
      <c r="K331" s="1022"/>
      <c r="L331" s="1"/>
    </row>
    <row r="332" spans="1:12" ht="36" customHeight="1">
      <c r="A332" s="852" t="s">
        <v>36</v>
      </c>
      <c r="B332" s="1022" t="s">
        <v>531</v>
      </c>
      <c r="C332" s="1022"/>
      <c r="D332" s="1022"/>
      <c r="E332" s="1022"/>
      <c r="F332" s="1022"/>
      <c r="G332" s="1022"/>
      <c r="H332" s="1022"/>
      <c r="I332" s="1022"/>
      <c r="J332" s="1022"/>
      <c r="K332" s="1022"/>
      <c r="L332" s="1"/>
    </row>
    <row r="333" spans="1:12">
      <c r="A333" s="855" t="s">
        <v>486</v>
      </c>
      <c r="B333" s="856" t="s">
        <v>485</v>
      </c>
      <c r="C333" s="806"/>
      <c r="D333" s="806"/>
      <c r="E333" s="806"/>
      <c r="F333" s="806"/>
      <c r="G333" s="806"/>
      <c r="H333" s="5"/>
      <c r="I333" s="4"/>
      <c r="J333" s="3"/>
      <c r="K333" s="2"/>
      <c r="L333" s="1"/>
    </row>
    <row r="334" spans="1:12">
      <c r="A334" s="855"/>
      <c r="B334" s="856"/>
      <c r="C334" s="806"/>
      <c r="D334" s="806"/>
      <c r="E334" s="806"/>
      <c r="F334" s="806"/>
      <c r="G334" s="806"/>
      <c r="H334" s="5"/>
      <c r="I334" s="4"/>
      <c r="J334" s="3"/>
      <c r="K334" s="2"/>
      <c r="L334" s="1"/>
    </row>
    <row r="335" spans="1:12">
      <c r="A335" s="855"/>
      <c r="B335" s="856"/>
      <c r="C335" s="806"/>
      <c r="D335" s="806"/>
      <c r="E335" s="806"/>
      <c r="F335" s="806"/>
      <c r="G335" s="806"/>
      <c r="H335" s="5"/>
      <c r="I335" s="4"/>
      <c r="J335" s="3"/>
      <c r="K335" s="2"/>
      <c r="L335" s="1"/>
    </row>
    <row r="336" spans="1:12">
      <c r="A336" s="855"/>
      <c r="B336" s="856"/>
      <c r="C336" s="806"/>
      <c r="D336" s="806"/>
      <c r="E336" s="806"/>
      <c r="F336" s="806"/>
      <c r="G336" s="806"/>
      <c r="H336" s="5"/>
      <c r="I336" s="4"/>
      <c r="J336" s="3"/>
      <c r="K336" s="2"/>
      <c r="L336" s="1"/>
    </row>
    <row r="337" spans="1:12">
      <c r="A337" s="855"/>
      <c r="B337" s="856"/>
      <c r="C337" s="806"/>
      <c r="D337" s="806"/>
      <c r="E337" s="806"/>
      <c r="F337" s="806"/>
      <c r="G337" s="806"/>
      <c r="H337" s="5"/>
      <c r="I337" s="4"/>
      <c r="J337" s="3"/>
      <c r="K337" s="2"/>
      <c r="L337" s="1"/>
    </row>
  </sheetData>
  <mergeCells count="36">
    <mergeCell ref="B332:K332"/>
    <mergeCell ref="B326:K326"/>
    <mergeCell ref="B327:K327"/>
    <mergeCell ref="B328:K328"/>
    <mergeCell ref="B329:K329"/>
    <mergeCell ref="B330:K330"/>
    <mergeCell ref="B331:K331"/>
    <mergeCell ref="B325:K325"/>
    <mergeCell ref="B310:K310"/>
    <mergeCell ref="B311:K311"/>
    <mergeCell ref="B316:K316"/>
    <mergeCell ref="B317:K317"/>
    <mergeCell ref="B318:K318"/>
    <mergeCell ref="B319:K319"/>
    <mergeCell ref="B320:K320"/>
    <mergeCell ref="B321:K321"/>
    <mergeCell ref="B322:K322"/>
    <mergeCell ref="B323:K323"/>
    <mergeCell ref="B324:K324"/>
    <mergeCell ref="B309:K309"/>
    <mergeCell ref="A221:K221"/>
    <mergeCell ref="A295:K295"/>
    <mergeCell ref="B300:C300"/>
    <mergeCell ref="B301:K301"/>
    <mergeCell ref="B302:K302"/>
    <mergeCell ref="B303:K303"/>
    <mergeCell ref="B304:K304"/>
    <mergeCell ref="B305:K305"/>
    <mergeCell ref="B306:K306"/>
    <mergeCell ref="B307:K307"/>
    <mergeCell ref="B308:K308"/>
    <mergeCell ref="B209:C209"/>
    <mergeCell ref="A6:K6"/>
    <mergeCell ref="A80:K80"/>
    <mergeCell ref="A151:K151"/>
    <mergeCell ref="B205:C205"/>
  </mergeCells>
  <pageMargins left="0.5" right="0.5" top="0.75" bottom="0.75" header="0.5" footer="0.5"/>
  <pageSetup scale="58" fitToHeight="0" orientation="portrait" r:id="rId1"/>
  <headerFooter alignWithMargins="0">
    <oddFooter>&amp;RV32
EFF 01.06.15</oddFooter>
  </headerFooter>
  <rowBreaks count="4" manualBreakCount="4">
    <brk id="74" max="10" man="1"/>
    <brk id="145" max="10" man="1"/>
    <brk id="215" max="10" man="1"/>
    <brk id="289" max="10"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5"/>
  <sheetViews>
    <sheetView topLeftCell="A47" zoomScale="70" zoomScaleNormal="70" workbookViewId="0">
      <pane xSplit="2" ySplit="9" topLeftCell="C56" activePane="bottomRight" state="frozen"/>
      <selection activeCell="A47" sqref="A47"/>
      <selection pane="topRight" activeCell="C47" sqref="C47"/>
      <selection pane="bottomLeft" activeCell="A56" sqref="A56"/>
      <selection pane="bottomRight" activeCell="AO76" sqref="AO76"/>
    </sheetView>
  </sheetViews>
  <sheetFormatPr defaultRowHeight="13.2" outlineLevelRow="1"/>
  <cols>
    <col min="1" max="1" width="6.33203125" style="427" customWidth="1"/>
    <col min="2" max="2" width="67.44140625" style="427" bestFit="1" customWidth="1"/>
    <col min="3" max="3" width="15.5546875" style="427" bestFit="1" customWidth="1"/>
    <col min="4" max="4" width="11" style="427" bestFit="1" customWidth="1"/>
    <col min="5" max="5" width="8.6640625" style="427" bestFit="1" customWidth="1"/>
    <col min="6" max="6" width="20" style="427" customWidth="1"/>
    <col min="7" max="7" width="8.6640625" style="427" bestFit="1" customWidth="1"/>
    <col min="8" max="8" width="18.6640625" style="427" customWidth="1"/>
    <col min="9" max="9" width="12.33203125" style="427" bestFit="1" customWidth="1"/>
    <col min="10" max="10" width="15.5546875" style="427" bestFit="1" customWidth="1"/>
    <col min="11" max="11" width="9" style="427" bestFit="1" customWidth="1"/>
    <col min="12" max="12" width="14.33203125" style="427" bestFit="1" customWidth="1"/>
    <col min="13" max="13" width="12.33203125" style="427" bestFit="1" customWidth="1"/>
    <col min="14" max="14" width="14.33203125" style="427" bestFit="1" customWidth="1"/>
    <col min="15" max="15" width="15.5546875" style="427" bestFit="1" customWidth="1"/>
    <col min="16" max="16" width="8" style="427" bestFit="1" customWidth="1"/>
    <col min="17" max="17" width="15.5546875" style="427" bestFit="1" customWidth="1"/>
    <col min="18" max="18" width="10.33203125" style="427" bestFit="1" customWidth="1"/>
    <col min="19" max="19" width="9.109375" style="427"/>
    <col min="20" max="20" width="17.5546875" style="427" bestFit="1" customWidth="1"/>
    <col min="21" max="21" width="10.6640625" style="427" bestFit="1" customWidth="1"/>
    <col min="22" max="22" width="9.109375" style="427"/>
    <col min="23" max="23" width="15.5546875" style="427" bestFit="1" customWidth="1"/>
    <col min="24" max="24" width="11" style="427" bestFit="1" customWidth="1"/>
    <col min="25" max="25" width="8.6640625" style="427" bestFit="1" customWidth="1"/>
    <col min="26" max="26" width="22.109375" style="427" customWidth="1"/>
    <col min="27" max="27" width="8.6640625" style="427" bestFit="1" customWidth="1"/>
    <col min="28" max="28" width="20.44140625" style="427" customWidth="1"/>
    <col min="29" max="29" width="12.33203125" style="427" bestFit="1" customWidth="1"/>
    <col min="30" max="30" width="15.5546875" style="427" bestFit="1" customWidth="1"/>
    <col min="31" max="31" width="9" style="427" bestFit="1" customWidth="1"/>
    <col min="32" max="32" width="14.33203125" style="427" bestFit="1" customWidth="1"/>
    <col min="33" max="33" width="11" style="427" bestFit="1" customWidth="1"/>
    <col min="34" max="35" width="14.33203125" style="427" bestFit="1" customWidth="1"/>
    <col min="36" max="36" width="8" style="427" bestFit="1" customWidth="1"/>
    <col min="37" max="37" width="14.33203125" style="427" bestFit="1" customWidth="1"/>
    <col min="38" max="38" width="9.109375" style="427"/>
    <col min="39" max="39" width="18.33203125" style="427" bestFit="1" customWidth="1"/>
    <col min="40" max="40" width="13" style="427" bestFit="1" customWidth="1"/>
    <col min="41" max="41" width="18.109375" style="427" customWidth="1"/>
    <col min="42" max="256" width="9.109375" style="427"/>
    <col min="257" max="257" width="6.33203125" style="427" customWidth="1"/>
    <col min="258" max="258" width="67.44140625" style="427" bestFit="1" customWidth="1"/>
    <col min="259" max="259" width="15.5546875" style="427" bestFit="1" customWidth="1"/>
    <col min="260" max="260" width="11" style="427" bestFit="1" customWidth="1"/>
    <col min="261" max="261" width="8.6640625" style="427" bestFit="1" customWidth="1"/>
    <col min="262" max="262" width="20" style="427" customWidth="1"/>
    <col min="263" max="263" width="8.6640625" style="427" bestFit="1" customWidth="1"/>
    <col min="264" max="264" width="18.6640625" style="427" customWidth="1"/>
    <col min="265" max="265" width="12.33203125" style="427" bestFit="1" customWidth="1"/>
    <col min="266" max="266" width="15.5546875" style="427" bestFit="1" customWidth="1"/>
    <col min="267" max="267" width="9" style="427" bestFit="1" customWidth="1"/>
    <col min="268" max="268" width="14.33203125" style="427" bestFit="1" customWidth="1"/>
    <col min="269" max="269" width="12.33203125" style="427" bestFit="1" customWidth="1"/>
    <col min="270" max="270" width="14.33203125" style="427" bestFit="1" customWidth="1"/>
    <col min="271" max="271" width="15.5546875" style="427" bestFit="1" customWidth="1"/>
    <col min="272" max="272" width="8" style="427" bestFit="1" customWidth="1"/>
    <col min="273" max="273" width="15.5546875" style="427" bestFit="1" customWidth="1"/>
    <col min="274" max="274" width="10.33203125" style="427" bestFit="1" customWidth="1"/>
    <col min="275" max="275" width="9.109375" style="427"/>
    <col min="276" max="276" width="17.5546875" style="427" bestFit="1" customWidth="1"/>
    <col min="277" max="277" width="10.6640625" style="427" bestFit="1" customWidth="1"/>
    <col min="278" max="278" width="9.109375" style="427"/>
    <col min="279" max="279" width="15.5546875" style="427" bestFit="1" customWidth="1"/>
    <col min="280" max="280" width="11" style="427" bestFit="1" customWidth="1"/>
    <col min="281" max="281" width="8.6640625" style="427" bestFit="1" customWidth="1"/>
    <col min="282" max="282" width="22.109375" style="427" customWidth="1"/>
    <col min="283" max="283" width="8.6640625" style="427" bestFit="1" customWidth="1"/>
    <col min="284" max="284" width="20.44140625" style="427" customWidth="1"/>
    <col min="285" max="285" width="12.33203125" style="427" bestFit="1" customWidth="1"/>
    <col min="286" max="286" width="15.5546875" style="427" bestFit="1" customWidth="1"/>
    <col min="287" max="287" width="9" style="427" bestFit="1" customWidth="1"/>
    <col min="288" max="288" width="14.33203125" style="427" bestFit="1" customWidth="1"/>
    <col min="289" max="289" width="11" style="427" bestFit="1" customWidth="1"/>
    <col min="290" max="291" width="14.33203125" style="427" bestFit="1" customWidth="1"/>
    <col min="292" max="292" width="8" style="427" bestFit="1" customWidth="1"/>
    <col min="293" max="293" width="14.33203125" style="427" bestFit="1" customWidth="1"/>
    <col min="294" max="294" width="9.109375" style="427"/>
    <col min="295" max="295" width="18.33203125" style="427" bestFit="1" customWidth="1"/>
    <col min="296" max="296" width="13" style="427" bestFit="1" customWidth="1"/>
    <col min="297" max="297" width="18.109375" style="427" customWidth="1"/>
    <col min="298" max="512" width="9.109375" style="427"/>
    <col min="513" max="513" width="6.33203125" style="427" customWidth="1"/>
    <col min="514" max="514" width="67.44140625" style="427" bestFit="1" customWidth="1"/>
    <col min="515" max="515" width="15.5546875" style="427" bestFit="1" customWidth="1"/>
    <col min="516" max="516" width="11" style="427" bestFit="1" customWidth="1"/>
    <col min="517" max="517" width="8.6640625" style="427" bestFit="1" customWidth="1"/>
    <col min="518" max="518" width="20" style="427" customWidth="1"/>
    <col min="519" max="519" width="8.6640625" style="427" bestFit="1" customWidth="1"/>
    <col min="520" max="520" width="18.6640625" style="427" customWidth="1"/>
    <col min="521" max="521" width="12.33203125" style="427" bestFit="1" customWidth="1"/>
    <col min="522" max="522" width="15.5546875" style="427" bestFit="1" customWidth="1"/>
    <col min="523" max="523" width="9" style="427" bestFit="1" customWidth="1"/>
    <col min="524" max="524" width="14.33203125" style="427" bestFit="1" customWidth="1"/>
    <col min="525" max="525" width="12.33203125" style="427" bestFit="1" customWidth="1"/>
    <col min="526" max="526" width="14.33203125" style="427" bestFit="1" customWidth="1"/>
    <col min="527" max="527" width="15.5546875" style="427" bestFit="1" customWidth="1"/>
    <col min="528" max="528" width="8" style="427" bestFit="1" customWidth="1"/>
    <col min="529" max="529" width="15.5546875" style="427" bestFit="1" customWidth="1"/>
    <col min="530" max="530" width="10.33203125" style="427" bestFit="1" customWidth="1"/>
    <col min="531" max="531" width="9.109375" style="427"/>
    <col min="532" max="532" width="17.5546875" style="427" bestFit="1" customWidth="1"/>
    <col min="533" max="533" width="10.6640625" style="427" bestFit="1" customWidth="1"/>
    <col min="534" max="534" width="9.109375" style="427"/>
    <col min="535" max="535" width="15.5546875" style="427" bestFit="1" customWidth="1"/>
    <col min="536" max="536" width="11" style="427" bestFit="1" customWidth="1"/>
    <col min="537" max="537" width="8.6640625" style="427" bestFit="1" customWidth="1"/>
    <col min="538" max="538" width="22.109375" style="427" customWidth="1"/>
    <col min="539" max="539" width="8.6640625" style="427" bestFit="1" customWidth="1"/>
    <col min="540" max="540" width="20.44140625" style="427" customWidth="1"/>
    <col min="541" max="541" width="12.33203125" style="427" bestFit="1" customWidth="1"/>
    <col min="542" max="542" width="15.5546875" style="427" bestFit="1" customWidth="1"/>
    <col min="543" max="543" width="9" style="427" bestFit="1" customWidth="1"/>
    <col min="544" max="544" width="14.33203125" style="427" bestFit="1" customWidth="1"/>
    <col min="545" max="545" width="11" style="427" bestFit="1" customWidth="1"/>
    <col min="546" max="547" width="14.33203125" style="427" bestFit="1" customWidth="1"/>
    <col min="548" max="548" width="8" style="427" bestFit="1" customWidth="1"/>
    <col min="549" max="549" width="14.33203125" style="427" bestFit="1" customWidth="1"/>
    <col min="550" max="550" width="9.109375" style="427"/>
    <col min="551" max="551" width="18.33203125" style="427" bestFit="1" customWidth="1"/>
    <col min="552" max="552" width="13" style="427" bestFit="1" customWidth="1"/>
    <col min="553" max="553" width="18.109375" style="427" customWidth="1"/>
    <col min="554" max="768" width="9.109375" style="427"/>
    <col min="769" max="769" width="6.33203125" style="427" customWidth="1"/>
    <col min="770" max="770" width="67.44140625" style="427" bestFit="1" customWidth="1"/>
    <col min="771" max="771" width="15.5546875" style="427" bestFit="1" customWidth="1"/>
    <col min="772" max="772" width="11" style="427" bestFit="1" customWidth="1"/>
    <col min="773" max="773" width="8.6640625" style="427" bestFit="1" customWidth="1"/>
    <col min="774" max="774" width="20" style="427" customWidth="1"/>
    <col min="775" max="775" width="8.6640625" style="427" bestFit="1" customWidth="1"/>
    <col min="776" max="776" width="18.6640625" style="427" customWidth="1"/>
    <col min="777" max="777" width="12.33203125" style="427" bestFit="1" customWidth="1"/>
    <col min="778" max="778" width="15.5546875" style="427" bestFit="1" customWidth="1"/>
    <col min="779" max="779" width="9" style="427" bestFit="1" customWidth="1"/>
    <col min="780" max="780" width="14.33203125" style="427" bestFit="1" customWidth="1"/>
    <col min="781" max="781" width="12.33203125" style="427" bestFit="1" customWidth="1"/>
    <col min="782" max="782" width="14.33203125" style="427" bestFit="1" customWidth="1"/>
    <col min="783" max="783" width="15.5546875" style="427" bestFit="1" customWidth="1"/>
    <col min="784" max="784" width="8" style="427" bestFit="1" customWidth="1"/>
    <col min="785" max="785" width="15.5546875" style="427" bestFit="1" customWidth="1"/>
    <col min="786" max="786" width="10.33203125" style="427" bestFit="1" customWidth="1"/>
    <col min="787" max="787" width="9.109375" style="427"/>
    <col min="788" max="788" width="17.5546875" style="427" bestFit="1" customWidth="1"/>
    <col min="789" max="789" width="10.6640625" style="427" bestFit="1" customWidth="1"/>
    <col min="790" max="790" width="9.109375" style="427"/>
    <col min="791" max="791" width="15.5546875" style="427" bestFit="1" customWidth="1"/>
    <col min="792" max="792" width="11" style="427" bestFit="1" customWidth="1"/>
    <col min="793" max="793" width="8.6640625" style="427" bestFit="1" customWidth="1"/>
    <col min="794" max="794" width="22.109375" style="427" customWidth="1"/>
    <col min="795" max="795" width="8.6640625" style="427" bestFit="1" customWidth="1"/>
    <col min="796" max="796" width="20.44140625" style="427" customWidth="1"/>
    <col min="797" max="797" width="12.33203125" style="427" bestFit="1" customWidth="1"/>
    <col min="798" max="798" width="15.5546875" style="427" bestFit="1" customWidth="1"/>
    <col min="799" max="799" width="9" style="427" bestFit="1" customWidth="1"/>
    <col min="800" max="800" width="14.33203125" style="427" bestFit="1" customWidth="1"/>
    <col min="801" max="801" width="11" style="427" bestFit="1" customWidth="1"/>
    <col min="802" max="803" width="14.33203125" style="427" bestFit="1" customWidth="1"/>
    <col min="804" max="804" width="8" style="427" bestFit="1" customWidth="1"/>
    <col min="805" max="805" width="14.33203125" style="427" bestFit="1" customWidth="1"/>
    <col min="806" max="806" width="9.109375" style="427"/>
    <col min="807" max="807" width="18.33203125" style="427" bestFit="1" customWidth="1"/>
    <col min="808" max="808" width="13" style="427" bestFit="1" customWidth="1"/>
    <col min="809" max="809" width="18.109375" style="427" customWidth="1"/>
    <col min="810" max="1024" width="9.109375" style="427"/>
    <col min="1025" max="1025" width="6.33203125" style="427" customWidth="1"/>
    <col min="1026" max="1026" width="67.44140625" style="427" bestFit="1" customWidth="1"/>
    <col min="1027" max="1027" width="15.5546875" style="427" bestFit="1" customWidth="1"/>
    <col min="1028" max="1028" width="11" style="427" bestFit="1" customWidth="1"/>
    <col min="1029" max="1029" width="8.6640625" style="427" bestFit="1" customWidth="1"/>
    <col min="1030" max="1030" width="20" style="427" customWidth="1"/>
    <col min="1031" max="1031" width="8.6640625" style="427" bestFit="1" customWidth="1"/>
    <col min="1032" max="1032" width="18.6640625" style="427" customWidth="1"/>
    <col min="1033" max="1033" width="12.33203125" style="427" bestFit="1" customWidth="1"/>
    <col min="1034" max="1034" width="15.5546875" style="427" bestFit="1" customWidth="1"/>
    <col min="1035" max="1035" width="9" style="427" bestFit="1" customWidth="1"/>
    <col min="1036" max="1036" width="14.33203125" style="427" bestFit="1" customWidth="1"/>
    <col min="1037" max="1037" width="12.33203125" style="427" bestFit="1" customWidth="1"/>
    <col min="1038" max="1038" width="14.33203125" style="427" bestFit="1" customWidth="1"/>
    <col min="1039" max="1039" width="15.5546875" style="427" bestFit="1" customWidth="1"/>
    <col min="1040" max="1040" width="8" style="427" bestFit="1" customWidth="1"/>
    <col min="1041" max="1041" width="15.5546875" style="427" bestFit="1" customWidth="1"/>
    <col min="1042" max="1042" width="10.33203125" style="427" bestFit="1" customWidth="1"/>
    <col min="1043" max="1043" width="9.109375" style="427"/>
    <col min="1044" max="1044" width="17.5546875" style="427" bestFit="1" customWidth="1"/>
    <col min="1045" max="1045" width="10.6640625" style="427" bestFit="1" customWidth="1"/>
    <col min="1046" max="1046" width="9.109375" style="427"/>
    <col min="1047" max="1047" width="15.5546875" style="427" bestFit="1" customWidth="1"/>
    <col min="1048" max="1048" width="11" style="427" bestFit="1" customWidth="1"/>
    <col min="1049" max="1049" width="8.6640625" style="427" bestFit="1" customWidth="1"/>
    <col min="1050" max="1050" width="22.109375" style="427" customWidth="1"/>
    <col min="1051" max="1051" width="8.6640625" style="427" bestFit="1" customWidth="1"/>
    <col min="1052" max="1052" width="20.44140625" style="427" customWidth="1"/>
    <col min="1053" max="1053" width="12.33203125" style="427" bestFit="1" customWidth="1"/>
    <col min="1054" max="1054" width="15.5546875" style="427" bestFit="1" customWidth="1"/>
    <col min="1055" max="1055" width="9" style="427" bestFit="1" customWidth="1"/>
    <col min="1056" max="1056" width="14.33203125" style="427" bestFit="1" customWidth="1"/>
    <col min="1057" max="1057" width="11" style="427" bestFit="1" customWidth="1"/>
    <col min="1058" max="1059" width="14.33203125" style="427" bestFit="1" customWidth="1"/>
    <col min="1060" max="1060" width="8" style="427" bestFit="1" customWidth="1"/>
    <col min="1061" max="1061" width="14.33203125" style="427" bestFit="1" customWidth="1"/>
    <col min="1062" max="1062" width="9.109375" style="427"/>
    <col min="1063" max="1063" width="18.33203125" style="427" bestFit="1" customWidth="1"/>
    <col min="1064" max="1064" width="13" style="427" bestFit="1" customWidth="1"/>
    <col min="1065" max="1065" width="18.109375" style="427" customWidth="1"/>
    <col min="1066" max="1280" width="9.109375" style="427"/>
    <col min="1281" max="1281" width="6.33203125" style="427" customWidth="1"/>
    <col min="1282" max="1282" width="67.44140625" style="427" bestFit="1" customWidth="1"/>
    <col min="1283" max="1283" width="15.5546875" style="427" bestFit="1" customWidth="1"/>
    <col min="1284" max="1284" width="11" style="427" bestFit="1" customWidth="1"/>
    <col min="1285" max="1285" width="8.6640625" style="427" bestFit="1" customWidth="1"/>
    <col min="1286" max="1286" width="20" style="427" customWidth="1"/>
    <col min="1287" max="1287" width="8.6640625" style="427" bestFit="1" customWidth="1"/>
    <col min="1288" max="1288" width="18.6640625" style="427" customWidth="1"/>
    <col min="1289" max="1289" width="12.33203125" style="427" bestFit="1" customWidth="1"/>
    <col min="1290" max="1290" width="15.5546875" style="427" bestFit="1" customWidth="1"/>
    <col min="1291" max="1291" width="9" style="427" bestFit="1" customWidth="1"/>
    <col min="1292" max="1292" width="14.33203125" style="427" bestFit="1" customWidth="1"/>
    <col min="1293" max="1293" width="12.33203125" style="427" bestFit="1" customWidth="1"/>
    <col min="1294" max="1294" width="14.33203125" style="427" bestFit="1" customWidth="1"/>
    <col min="1295" max="1295" width="15.5546875" style="427" bestFit="1" customWidth="1"/>
    <col min="1296" max="1296" width="8" style="427" bestFit="1" customWidth="1"/>
    <col min="1297" max="1297" width="15.5546875" style="427" bestFit="1" customWidth="1"/>
    <col min="1298" max="1298" width="10.33203125" style="427" bestFit="1" customWidth="1"/>
    <col min="1299" max="1299" width="9.109375" style="427"/>
    <col min="1300" max="1300" width="17.5546875" style="427" bestFit="1" customWidth="1"/>
    <col min="1301" max="1301" width="10.6640625" style="427" bestFit="1" customWidth="1"/>
    <col min="1302" max="1302" width="9.109375" style="427"/>
    <col min="1303" max="1303" width="15.5546875" style="427" bestFit="1" customWidth="1"/>
    <col min="1304" max="1304" width="11" style="427" bestFit="1" customWidth="1"/>
    <col min="1305" max="1305" width="8.6640625" style="427" bestFit="1" customWidth="1"/>
    <col min="1306" max="1306" width="22.109375" style="427" customWidth="1"/>
    <col min="1307" max="1307" width="8.6640625" style="427" bestFit="1" customWidth="1"/>
    <col min="1308" max="1308" width="20.44140625" style="427" customWidth="1"/>
    <col min="1309" max="1309" width="12.33203125" style="427" bestFit="1" customWidth="1"/>
    <col min="1310" max="1310" width="15.5546875" style="427" bestFit="1" customWidth="1"/>
    <col min="1311" max="1311" width="9" style="427" bestFit="1" customWidth="1"/>
    <col min="1312" max="1312" width="14.33203125" style="427" bestFit="1" customWidth="1"/>
    <col min="1313" max="1313" width="11" style="427" bestFit="1" customWidth="1"/>
    <col min="1314" max="1315" width="14.33203125" style="427" bestFit="1" customWidth="1"/>
    <col min="1316" max="1316" width="8" style="427" bestFit="1" customWidth="1"/>
    <col min="1317" max="1317" width="14.33203125" style="427" bestFit="1" customWidth="1"/>
    <col min="1318" max="1318" width="9.109375" style="427"/>
    <col min="1319" max="1319" width="18.33203125" style="427" bestFit="1" customWidth="1"/>
    <col min="1320" max="1320" width="13" style="427" bestFit="1" customWidth="1"/>
    <col min="1321" max="1321" width="18.109375" style="427" customWidth="1"/>
    <col min="1322" max="1536" width="9.109375" style="427"/>
    <col min="1537" max="1537" width="6.33203125" style="427" customWidth="1"/>
    <col min="1538" max="1538" width="67.44140625" style="427" bestFit="1" customWidth="1"/>
    <col min="1539" max="1539" width="15.5546875" style="427" bestFit="1" customWidth="1"/>
    <col min="1540" max="1540" width="11" style="427" bestFit="1" customWidth="1"/>
    <col min="1541" max="1541" width="8.6640625" style="427" bestFit="1" customWidth="1"/>
    <col min="1542" max="1542" width="20" style="427" customWidth="1"/>
    <col min="1543" max="1543" width="8.6640625" style="427" bestFit="1" customWidth="1"/>
    <col min="1544" max="1544" width="18.6640625" style="427" customWidth="1"/>
    <col min="1545" max="1545" width="12.33203125" style="427" bestFit="1" customWidth="1"/>
    <col min="1546" max="1546" width="15.5546875" style="427" bestFit="1" customWidth="1"/>
    <col min="1547" max="1547" width="9" style="427" bestFit="1" customWidth="1"/>
    <col min="1548" max="1548" width="14.33203125" style="427" bestFit="1" customWidth="1"/>
    <col min="1549" max="1549" width="12.33203125" style="427" bestFit="1" customWidth="1"/>
    <col min="1550" max="1550" width="14.33203125" style="427" bestFit="1" customWidth="1"/>
    <col min="1551" max="1551" width="15.5546875" style="427" bestFit="1" customWidth="1"/>
    <col min="1552" max="1552" width="8" style="427" bestFit="1" customWidth="1"/>
    <col min="1553" max="1553" width="15.5546875" style="427" bestFit="1" customWidth="1"/>
    <col min="1554" max="1554" width="10.33203125" style="427" bestFit="1" customWidth="1"/>
    <col min="1555" max="1555" width="9.109375" style="427"/>
    <col min="1556" max="1556" width="17.5546875" style="427" bestFit="1" customWidth="1"/>
    <col min="1557" max="1557" width="10.6640625" style="427" bestFit="1" customWidth="1"/>
    <col min="1558" max="1558" width="9.109375" style="427"/>
    <col min="1559" max="1559" width="15.5546875" style="427" bestFit="1" customWidth="1"/>
    <col min="1560" max="1560" width="11" style="427" bestFit="1" customWidth="1"/>
    <col min="1561" max="1561" width="8.6640625" style="427" bestFit="1" customWidth="1"/>
    <col min="1562" max="1562" width="22.109375" style="427" customWidth="1"/>
    <col min="1563" max="1563" width="8.6640625" style="427" bestFit="1" customWidth="1"/>
    <col min="1564" max="1564" width="20.44140625" style="427" customWidth="1"/>
    <col min="1565" max="1565" width="12.33203125" style="427" bestFit="1" customWidth="1"/>
    <col min="1566" max="1566" width="15.5546875" style="427" bestFit="1" customWidth="1"/>
    <col min="1567" max="1567" width="9" style="427" bestFit="1" customWidth="1"/>
    <col min="1568" max="1568" width="14.33203125" style="427" bestFit="1" customWidth="1"/>
    <col min="1569" max="1569" width="11" style="427" bestFit="1" customWidth="1"/>
    <col min="1570" max="1571" width="14.33203125" style="427" bestFit="1" customWidth="1"/>
    <col min="1572" max="1572" width="8" style="427" bestFit="1" customWidth="1"/>
    <col min="1573" max="1573" width="14.33203125" style="427" bestFit="1" customWidth="1"/>
    <col min="1574" max="1574" width="9.109375" style="427"/>
    <col min="1575" max="1575" width="18.33203125" style="427" bestFit="1" customWidth="1"/>
    <col min="1576" max="1576" width="13" style="427" bestFit="1" customWidth="1"/>
    <col min="1577" max="1577" width="18.109375" style="427" customWidth="1"/>
    <col min="1578" max="1792" width="9.109375" style="427"/>
    <col min="1793" max="1793" width="6.33203125" style="427" customWidth="1"/>
    <col min="1794" max="1794" width="67.44140625" style="427" bestFit="1" customWidth="1"/>
    <col min="1795" max="1795" width="15.5546875" style="427" bestFit="1" customWidth="1"/>
    <col min="1796" max="1796" width="11" style="427" bestFit="1" customWidth="1"/>
    <col min="1797" max="1797" width="8.6640625" style="427" bestFit="1" customWidth="1"/>
    <col min="1798" max="1798" width="20" style="427" customWidth="1"/>
    <col min="1799" max="1799" width="8.6640625" style="427" bestFit="1" customWidth="1"/>
    <col min="1800" max="1800" width="18.6640625" style="427" customWidth="1"/>
    <col min="1801" max="1801" width="12.33203125" style="427" bestFit="1" customWidth="1"/>
    <col min="1802" max="1802" width="15.5546875" style="427" bestFit="1" customWidth="1"/>
    <col min="1803" max="1803" width="9" style="427" bestFit="1" customWidth="1"/>
    <col min="1804" max="1804" width="14.33203125" style="427" bestFit="1" customWidth="1"/>
    <col min="1805" max="1805" width="12.33203125" style="427" bestFit="1" customWidth="1"/>
    <col min="1806" max="1806" width="14.33203125" style="427" bestFit="1" customWidth="1"/>
    <col min="1807" max="1807" width="15.5546875" style="427" bestFit="1" customWidth="1"/>
    <col min="1808" max="1808" width="8" style="427" bestFit="1" customWidth="1"/>
    <col min="1809" max="1809" width="15.5546875" style="427" bestFit="1" customWidth="1"/>
    <col min="1810" max="1810" width="10.33203125" style="427" bestFit="1" customWidth="1"/>
    <col min="1811" max="1811" width="9.109375" style="427"/>
    <col min="1812" max="1812" width="17.5546875" style="427" bestFit="1" customWidth="1"/>
    <col min="1813" max="1813" width="10.6640625" style="427" bestFit="1" customWidth="1"/>
    <col min="1814" max="1814" width="9.109375" style="427"/>
    <col min="1815" max="1815" width="15.5546875" style="427" bestFit="1" customWidth="1"/>
    <col min="1816" max="1816" width="11" style="427" bestFit="1" customWidth="1"/>
    <col min="1817" max="1817" width="8.6640625" style="427" bestFit="1" customWidth="1"/>
    <col min="1818" max="1818" width="22.109375" style="427" customWidth="1"/>
    <col min="1819" max="1819" width="8.6640625" style="427" bestFit="1" customWidth="1"/>
    <col min="1820" max="1820" width="20.44140625" style="427" customWidth="1"/>
    <col min="1821" max="1821" width="12.33203125" style="427" bestFit="1" customWidth="1"/>
    <col min="1822" max="1822" width="15.5546875" style="427" bestFit="1" customWidth="1"/>
    <col min="1823" max="1823" width="9" style="427" bestFit="1" customWidth="1"/>
    <col min="1824" max="1824" width="14.33203125" style="427" bestFit="1" customWidth="1"/>
    <col min="1825" max="1825" width="11" style="427" bestFit="1" customWidth="1"/>
    <col min="1826" max="1827" width="14.33203125" style="427" bestFit="1" customWidth="1"/>
    <col min="1828" max="1828" width="8" style="427" bestFit="1" customWidth="1"/>
    <col min="1829" max="1829" width="14.33203125" style="427" bestFit="1" customWidth="1"/>
    <col min="1830" max="1830" width="9.109375" style="427"/>
    <col min="1831" max="1831" width="18.33203125" style="427" bestFit="1" customWidth="1"/>
    <col min="1832" max="1832" width="13" style="427" bestFit="1" customWidth="1"/>
    <col min="1833" max="1833" width="18.109375" style="427" customWidth="1"/>
    <col min="1834" max="2048" width="9.109375" style="427"/>
    <col min="2049" max="2049" width="6.33203125" style="427" customWidth="1"/>
    <col min="2050" max="2050" width="67.44140625" style="427" bestFit="1" customWidth="1"/>
    <col min="2051" max="2051" width="15.5546875" style="427" bestFit="1" customWidth="1"/>
    <col min="2052" max="2052" width="11" style="427" bestFit="1" customWidth="1"/>
    <col min="2053" max="2053" width="8.6640625" style="427" bestFit="1" customWidth="1"/>
    <col min="2054" max="2054" width="20" style="427" customWidth="1"/>
    <col min="2055" max="2055" width="8.6640625" style="427" bestFit="1" customWidth="1"/>
    <col min="2056" max="2056" width="18.6640625" style="427" customWidth="1"/>
    <col min="2057" max="2057" width="12.33203125" style="427" bestFit="1" customWidth="1"/>
    <col min="2058" max="2058" width="15.5546875" style="427" bestFit="1" customWidth="1"/>
    <col min="2059" max="2059" width="9" style="427" bestFit="1" customWidth="1"/>
    <col min="2060" max="2060" width="14.33203125" style="427" bestFit="1" customWidth="1"/>
    <col min="2061" max="2061" width="12.33203125" style="427" bestFit="1" customWidth="1"/>
    <col min="2062" max="2062" width="14.33203125" style="427" bestFit="1" customWidth="1"/>
    <col min="2063" max="2063" width="15.5546875" style="427" bestFit="1" customWidth="1"/>
    <col min="2064" max="2064" width="8" style="427" bestFit="1" customWidth="1"/>
    <col min="2065" max="2065" width="15.5546875" style="427" bestFit="1" customWidth="1"/>
    <col min="2066" max="2066" width="10.33203125" style="427" bestFit="1" customWidth="1"/>
    <col min="2067" max="2067" width="9.109375" style="427"/>
    <col min="2068" max="2068" width="17.5546875" style="427" bestFit="1" customWidth="1"/>
    <col min="2069" max="2069" width="10.6640625" style="427" bestFit="1" customWidth="1"/>
    <col min="2070" max="2070" width="9.109375" style="427"/>
    <col min="2071" max="2071" width="15.5546875" style="427" bestFit="1" customWidth="1"/>
    <col min="2072" max="2072" width="11" style="427" bestFit="1" customWidth="1"/>
    <col min="2073" max="2073" width="8.6640625" style="427" bestFit="1" customWidth="1"/>
    <col min="2074" max="2074" width="22.109375" style="427" customWidth="1"/>
    <col min="2075" max="2075" width="8.6640625" style="427" bestFit="1" customWidth="1"/>
    <col min="2076" max="2076" width="20.44140625" style="427" customWidth="1"/>
    <col min="2077" max="2077" width="12.33203125" style="427" bestFit="1" customWidth="1"/>
    <col min="2078" max="2078" width="15.5546875" style="427" bestFit="1" customWidth="1"/>
    <col min="2079" max="2079" width="9" style="427" bestFit="1" customWidth="1"/>
    <col min="2080" max="2080" width="14.33203125" style="427" bestFit="1" customWidth="1"/>
    <col min="2081" max="2081" width="11" style="427" bestFit="1" customWidth="1"/>
    <col min="2082" max="2083" width="14.33203125" style="427" bestFit="1" customWidth="1"/>
    <col min="2084" max="2084" width="8" style="427" bestFit="1" customWidth="1"/>
    <col min="2085" max="2085" width="14.33203125" style="427" bestFit="1" customWidth="1"/>
    <col min="2086" max="2086" width="9.109375" style="427"/>
    <col min="2087" max="2087" width="18.33203125" style="427" bestFit="1" customWidth="1"/>
    <col min="2088" max="2088" width="13" style="427" bestFit="1" customWidth="1"/>
    <col min="2089" max="2089" width="18.109375" style="427" customWidth="1"/>
    <col min="2090" max="2304" width="9.109375" style="427"/>
    <col min="2305" max="2305" width="6.33203125" style="427" customWidth="1"/>
    <col min="2306" max="2306" width="67.44140625" style="427" bestFit="1" customWidth="1"/>
    <col min="2307" max="2307" width="15.5546875" style="427" bestFit="1" customWidth="1"/>
    <col min="2308" max="2308" width="11" style="427" bestFit="1" customWidth="1"/>
    <col min="2309" max="2309" width="8.6640625" style="427" bestFit="1" customWidth="1"/>
    <col min="2310" max="2310" width="20" style="427" customWidth="1"/>
    <col min="2311" max="2311" width="8.6640625" style="427" bestFit="1" customWidth="1"/>
    <col min="2312" max="2312" width="18.6640625" style="427" customWidth="1"/>
    <col min="2313" max="2313" width="12.33203125" style="427" bestFit="1" customWidth="1"/>
    <col min="2314" max="2314" width="15.5546875" style="427" bestFit="1" customWidth="1"/>
    <col min="2315" max="2315" width="9" style="427" bestFit="1" customWidth="1"/>
    <col min="2316" max="2316" width="14.33203125" style="427" bestFit="1" customWidth="1"/>
    <col min="2317" max="2317" width="12.33203125" style="427" bestFit="1" customWidth="1"/>
    <col min="2318" max="2318" width="14.33203125" style="427" bestFit="1" customWidth="1"/>
    <col min="2319" max="2319" width="15.5546875" style="427" bestFit="1" customWidth="1"/>
    <col min="2320" max="2320" width="8" style="427" bestFit="1" customWidth="1"/>
    <col min="2321" max="2321" width="15.5546875" style="427" bestFit="1" customWidth="1"/>
    <col min="2322" max="2322" width="10.33203125" style="427" bestFit="1" customWidth="1"/>
    <col min="2323" max="2323" width="9.109375" style="427"/>
    <col min="2324" max="2324" width="17.5546875" style="427" bestFit="1" customWidth="1"/>
    <col min="2325" max="2325" width="10.6640625" style="427" bestFit="1" customWidth="1"/>
    <col min="2326" max="2326" width="9.109375" style="427"/>
    <col min="2327" max="2327" width="15.5546875" style="427" bestFit="1" customWidth="1"/>
    <col min="2328" max="2328" width="11" style="427" bestFit="1" customWidth="1"/>
    <col min="2329" max="2329" width="8.6640625" style="427" bestFit="1" customWidth="1"/>
    <col min="2330" max="2330" width="22.109375" style="427" customWidth="1"/>
    <col min="2331" max="2331" width="8.6640625" style="427" bestFit="1" customWidth="1"/>
    <col min="2332" max="2332" width="20.44140625" style="427" customWidth="1"/>
    <col min="2333" max="2333" width="12.33203125" style="427" bestFit="1" customWidth="1"/>
    <col min="2334" max="2334" width="15.5546875" style="427" bestFit="1" customWidth="1"/>
    <col min="2335" max="2335" width="9" style="427" bestFit="1" customWidth="1"/>
    <col min="2336" max="2336" width="14.33203125" style="427" bestFit="1" customWidth="1"/>
    <col min="2337" max="2337" width="11" style="427" bestFit="1" customWidth="1"/>
    <col min="2338" max="2339" width="14.33203125" style="427" bestFit="1" customWidth="1"/>
    <col min="2340" max="2340" width="8" style="427" bestFit="1" customWidth="1"/>
    <col min="2341" max="2341" width="14.33203125" style="427" bestFit="1" customWidth="1"/>
    <col min="2342" max="2342" width="9.109375" style="427"/>
    <col min="2343" max="2343" width="18.33203125" style="427" bestFit="1" customWidth="1"/>
    <col min="2344" max="2344" width="13" style="427" bestFit="1" customWidth="1"/>
    <col min="2345" max="2345" width="18.109375" style="427" customWidth="1"/>
    <col min="2346" max="2560" width="9.109375" style="427"/>
    <col min="2561" max="2561" width="6.33203125" style="427" customWidth="1"/>
    <col min="2562" max="2562" width="67.44140625" style="427" bestFit="1" customWidth="1"/>
    <col min="2563" max="2563" width="15.5546875" style="427" bestFit="1" customWidth="1"/>
    <col min="2564" max="2564" width="11" style="427" bestFit="1" customWidth="1"/>
    <col min="2565" max="2565" width="8.6640625" style="427" bestFit="1" customWidth="1"/>
    <col min="2566" max="2566" width="20" style="427" customWidth="1"/>
    <col min="2567" max="2567" width="8.6640625" style="427" bestFit="1" customWidth="1"/>
    <col min="2568" max="2568" width="18.6640625" style="427" customWidth="1"/>
    <col min="2569" max="2569" width="12.33203125" style="427" bestFit="1" customWidth="1"/>
    <col min="2570" max="2570" width="15.5546875" style="427" bestFit="1" customWidth="1"/>
    <col min="2571" max="2571" width="9" style="427" bestFit="1" customWidth="1"/>
    <col min="2572" max="2572" width="14.33203125" style="427" bestFit="1" customWidth="1"/>
    <col min="2573" max="2573" width="12.33203125" style="427" bestFit="1" customWidth="1"/>
    <col min="2574" max="2574" width="14.33203125" style="427" bestFit="1" customWidth="1"/>
    <col min="2575" max="2575" width="15.5546875" style="427" bestFit="1" customWidth="1"/>
    <col min="2576" max="2576" width="8" style="427" bestFit="1" customWidth="1"/>
    <col min="2577" max="2577" width="15.5546875" style="427" bestFit="1" customWidth="1"/>
    <col min="2578" max="2578" width="10.33203125" style="427" bestFit="1" customWidth="1"/>
    <col min="2579" max="2579" width="9.109375" style="427"/>
    <col min="2580" max="2580" width="17.5546875" style="427" bestFit="1" customWidth="1"/>
    <col min="2581" max="2581" width="10.6640625" style="427" bestFit="1" customWidth="1"/>
    <col min="2582" max="2582" width="9.109375" style="427"/>
    <col min="2583" max="2583" width="15.5546875" style="427" bestFit="1" customWidth="1"/>
    <col min="2584" max="2584" width="11" style="427" bestFit="1" customWidth="1"/>
    <col min="2585" max="2585" width="8.6640625" style="427" bestFit="1" customWidth="1"/>
    <col min="2586" max="2586" width="22.109375" style="427" customWidth="1"/>
    <col min="2587" max="2587" width="8.6640625" style="427" bestFit="1" customWidth="1"/>
    <col min="2588" max="2588" width="20.44140625" style="427" customWidth="1"/>
    <col min="2589" max="2589" width="12.33203125" style="427" bestFit="1" customWidth="1"/>
    <col min="2590" max="2590" width="15.5546875" style="427" bestFit="1" customWidth="1"/>
    <col min="2591" max="2591" width="9" style="427" bestFit="1" customWidth="1"/>
    <col min="2592" max="2592" width="14.33203125" style="427" bestFit="1" customWidth="1"/>
    <col min="2593" max="2593" width="11" style="427" bestFit="1" customWidth="1"/>
    <col min="2594" max="2595" width="14.33203125" style="427" bestFit="1" customWidth="1"/>
    <col min="2596" max="2596" width="8" style="427" bestFit="1" customWidth="1"/>
    <col min="2597" max="2597" width="14.33203125" style="427" bestFit="1" customWidth="1"/>
    <col min="2598" max="2598" width="9.109375" style="427"/>
    <col min="2599" max="2599" width="18.33203125" style="427" bestFit="1" customWidth="1"/>
    <col min="2600" max="2600" width="13" style="427" bestFit="1" customWidth="1"/>
    <col min="2601" max="2601" width="18.109375" style="427" customWidth="1"/>
    <col min="2602" max="2816" width="9.109375" style="427"/>
    <col min="2817" max="2817" width="6.33203125" style="427" customWidth="1"/>
    <col min="2818" max="2818" width="67.44140625" style="427" bestFit="1" customWidth="1"/>
    <col min="2819" max="2819" width="15.5546875" style="427" bestFit="1" customWidth="1"/>
    <col min="2820" max="2820" width="11" style="427" bestFit="1" customWidth="1"/>
    <col min="2821" max="2821" width="8.6640625" style="427" bestFit="1" customWidth="1"/>
    <col min="2822" max="2822" width="20" style="427" customWidth="1"/>
    <col min="2823" max="2823" width="8.6640625" style="427" bestFit="1" customWidth="1"/>
    <col min="2824" max="2824" width="18.6640625" style="427" customWidth="1"/>
    <col min="2825" max="2825" width="12.33203125" style="427" bestFit="1" customWidth="1"/>
    <col min="2826" max="2826" width="15.5546875" style="427" bestFit="1" customWidth="1"/>
    <col min="2827" max="2827" width="9" style="427" bestFit="1" customWidth="1"/>
    <col min="2828" max="2828" width="14.33203125" style="427" bestFit="1" customWidth="1"/>
    <col min="2829" max="2829" width="12.33203125" style="427" bestFit="1" customWidth="1"/>
    <col min="2830" max="2830" width="14.33203125" style="427" bestFit="1" customWidth="1"/>
    <col min="2831" max="2831" width="15.5546875" style="427" bestFit="1" customWidth="1"/>
    <col min="2832" max="2832" width="8" style="427" bestFit="1" customWidth="1"/>
    <col min="2833" max="2833" width="15.5546875" style="427" bestFit="1" customWidth="1"/>
    <col min="2834" max="2834" width="10.33203125" style="427" bestFit="1" customWidth="1"/>
    <col min="2835" max="2835" width="9.109375" style="427"/>
    <col min="2836" max="2836" width="17.5546875" style="427" bestFit="1" customWidth="1"/>
    <col min="2837" max="2837" width="10.6640625" style="427" bestFit="1" customWidth="1"/>
    <col min="2838" max="2838" width="9.109375" style="427"/>
    <col min="2839" max="2839" width="15.5546875" style="427" bestFit="1" customWidth="1"/>
    <col min="2840" max="2840" width="11" style="427" bestFit="1" customWidth="1"/>
    <col min="2841" max="2841" width="8.6640625" style="427" bestFit="1" customWidth="1"/>
    <col min="2842" max="2842" width="22.109375" style="427" customWidth="1"/>
    <col min="2843" max="2843" width="8.6640625" style="427" bestFit="1" customWidth="1"/>
    <col min="2844" max="2844" width="20.44140625" style="427" customWidth="1"/>
    <col min="2845" max="2845" width="12.33203125" style="427" bestFit="1" customWidth="1"/>
    <col min="2846" max="2846" width="15.5546875" style="427" bestFit="1" customWidth="1"/>
    <col min="2847" max="2847" width="9" style="427" bestFit="1" customWidth="1"/>
    <col min="2848" max="2848" width="14.33203125" style="427" bestFit="1" customWidth="1"/>
    <col min="2849" max="2849" width="11" style="427" bestFit="1" customWidth="1"/>
    <col min="2850" max="2851" width="14.33203125" style="427" bestFit="1" customWidth="1"/>
    <col min="2852" max="2852" width="8" style="427" bestFit="1" customWidth="1"/>
    <col min="2853" max="2853" width="14.33203125" style="427" bestFit="1" customWidth="1"/>
    <col min="2854" max="2854" width="9.109375" style="427"/>
    <col min="2855" max="2855" width="18.33203125" style="427" bestFit="1" customWidth="1"/>
    <col min="2856" max="2856" width="13" style="427" bestFit="1" customWidth="1"/>
    <col min="2857" max="2857" width="18.109375" style="427" customWidth="1"/>
    <col min="2858" max="3072" width="9.109375" style="427"/>
    <col min="3073" max="3073" width="6.33203125" style="427" customWidth="1"/>
    <col min="3074" max="3074" width="67.44140625" style="427" bestFit="1" customWidth="1"/>
    <col min="3075" max="3075" width="15.5546875" style="427" bestFit="1" customWidth="1"/>
    <col min="3076" max="3076" width="11" style="427" bestFit="1" customWidth="1"/>
    <col min="3077" max="3077" width="8.6640625" style="427" bestFit="1" customWidth="1"/>
    <col min="3078" max="3078" width="20" style="427" customWidth="1"/>
    <col min="3079" max="3079" width="8.6640625" style="427" bestFit="1" customWidth="1"/>
    <col min="3080" max="3080" width="18.6640625" style="427" customWidth="1"/>
    <col min="3081" max="3081" width="12.33203125" style="427" bestFit="1" customWidth="1"/>
    <col min="3082" max="3082" width="15.5546875" style="427" bestFit="1" customWidth="1"/>
    <col min="3083" max="3083" width="9" style="427" bestFit="1" customWidth="1"/>
    <col min="3084" max="3084" width="14.33203125" style="427" bestFit="1" customWidth="1"/>
    <col min="3085" max="3085" width="12.33203125" style="427" bestFit="1" customWidth="1"/>
    <col min="3086" max="3086" width="14.33203125" style="427" bestFit="1" customWidth="1"/>
    <col min="3087" max="3087" width="15.5546875" style="427" bestFit="1" customWidth="1"/>
    <col min="3088" max="3088" width="8" style="427" bestFit="1" customWidth="1"/>
    <col min="3089" max="3089" width="15.5546875" style="427" bestFit="1" customWidth="1"/>
    <col min="3090" max="3090" width="10.33203125" style="427" bestFit="1" customWidth="1"/>
    <col min="3091" max="3091" width="9.109375" style="427"/>
    <col min="3092" max="3092" width="17.5546875" style="427" bestFit="1" customWidth="1"/>
    <col min="3093" max="3093" width="10.6640625" style="427" bestFit="1" customWidth="1"/>
    <col min="3094" max="3094" width="9.109375" style="427"/>
    <col min="3095" max="3095" width="15.5546875" style="427" bestFit="1" customWidth="1"/>
    <col min="3096" max="3096" width="11" style="427" bestFit="1" customWidth="1"/>
    <col min="3097" max="3097" width="8.6640625" style="427" bestFit="1" customWidth="1"/>
    <col min="3098" max="3098" width="22.109375" style="427" customWidth="1"/>
    <col min="3099" max="3099" width="8.6640625" style="427" bestFit="1" customWidth="1"/>
    <col min="3100" max="3100" width="20.44140625" style="427" customWidth="1"/>
    <col min="3101" max="3101" width="12.33203125" style="427" bestFit="1" customWidth="1"/>
    <col min="3102" max="3102" width="15.5546875" style="427" bestFit="1" customWidth="1"/>
    <col min="3103" max="3103" width="9" style="427" bestFit="1" customWidth="1"/>
    <col min="3104" max="3104" width="14.33203125" style="427" bestFit="1" customWidth="1"/>
    <col min="3105" max="3105" width="11" style="427" bestFit="1" customWidth="1"/>
    <col min="3106" max="3107" width="14.33203125" style="427" bestFit="1" customWidth="1"/>
    <col min="3108" max="3108" width="8" style="427" bestFit="1" customWidth="1"/>
    <col min="3109" max="3109" width="14.33203125" style="427" bestFit="1" customWidth="1"/>
    <col min="3110" max="3110" width="9.109375" style="427"/>
    <col min="3111" max="3111" width="18.33203125" style="427" bestFit="1" customWidth="1"/>
    <col min="3112" max="3112" width="13" style="427" bestFit="1" customWidth="1"/>
    <col min="3113" max="3113" width="18.109375" style="427" customWidth="1"/>
    <col min="3114" max="3328" width="9.109375" style="427"/>
    <col min="3329" max="3329" width="6.33203125" style="427" customWidth="1"/>
    <col min="3330" max="3330" width="67.44140625" style="427" bestFit="1" customWidth="1"/>
    <col min="3331" max="3331" width="15.5546875" style="427" bestFit="1" customWidth="1"/>
    <col min="3332" max="3332" width="11" style="427" bestFit="1" customWidth="1"/>
    <col min="3333" max="3333" width="8.6640625" style="427" bestFit="1" customWidth="1"/>
    <col min="3334" max="3334" width="20" style="427" customWidth="1"/>
    <col min="3335" max="3335" width="8.6640625" style="427" bestFit="1" customWidth="1"/>
    <col min="3336" max="3336" width="18.6640625" style="427" customWidth="1"/>
    <col min="3337" max="3337" width="12.33203125" style="427" bestFit="1" customWidth="1"/>
    <col min="3338" max="3338" width="15.5546875" style="427" bestFit="1" customWidth="1"/>
    <col min="3339" max="3339" width="9" style="427" bestFit="1" customWidth="1"/>
    <col min="3340" max="3340" width="14.33203125" style="427" bestFit="1" customWidth="1"/>
    <col min="3341" max="3341" width="12.33203125" style="427" bestFit="1" customWidth="1"/>
    <col min="3342" max="3342" width="14.33203125" style="427" bestFit="1" customWidth="1"/>
    <col min="3343" max="3343" width="15.5546875" style="427" bestFit="1" customWidth="1"/>
    <col min="3344" max="3344" width="8" style="427" bestFit="1" customWidth="1"/>
    <col min="3345" max="3345" width="15.5546875" style="427" bestFit="1" customWidth="1"/>
    <col min="3346" max="3346" width="10.33203125" style="427" bestFit="1" customWidth="1"/>
    <col min="3347" max="3347" width="9.109375" style="427"/>
    <col min="3348" max="3348" width="17.5546875" style="427" bestFit="1" customWidth="1"/>
    <col min="3349" max="3349" width="10.6640625" style="427" bestFit="1" customWidth="1"/>
    <col min="3350" max="3350" width="9.109375" style="427"/>
    <col min="3351" max="3351" width="15.5546875" style="427" bestFit="1" customWidth="1"/>
    <col min="3352" max="3352" width="11" style="427" bestFit="1" customWidth="1"/>
    <col min="3353" max="3353" width="8.6640625" style="427" bestFit="1" customWidth="1"/>
    <col min="3354" max="3354" width="22.109375" style="427" customWidth="1"/>
    <col min="3355" max="3355" width="8.6640625" style="427" bestFit="1" customWidth="1"/>
    <col min="3356" max="3356" width="20.44140625" style="427" customWidth="1"/>
    <col min="3357" max="3357" width="12.33203125" style="427" bestFit="1" customWidth="1"/>
    <col min="3358" max="3358" width="15.5546875" style="427" bestFit="1" customWidth="1"/>
    <col min="3359" max="3359" width="9" style="427" bestFit="1" customWidth="1"/>
    <col min="3360" max="3360" width="14.33203125" style="427" bestFit="1" customWidth="1"/>
    <col min="3361" max="3361" width="11" style="427" bestFit="1" customWidth="1"/>
    <col min="3362" max="3363" width="14.33203125" style="427" bestFit="1" customWidth="1"/>
    <col min="3364" max="3364" width="8" style="427" bestFit="1" customWidth="1"/>
    <col min="3365" max="3365" width="14.33203125" style="427" bestFit="1" customWidth="1"/>
    <col min="3366" max="3366" width="9.109375" style="427"/>
    <col min="3367" max="3367" width="18.33203125" style="427" bestFit="1" customWidth="1"/>
    <col min="3368" max="3368" width="13" style="427" bestFit="1" customWidth="1"/>
    <col min="3369" max="3369" width="18.109375" style="427" customWidth="1"/>
    <col min="3370" max="3584" width="9.109375" style="427"/>
    <col min="3585" max="3585" width="6.33203125" style="427" customWidth="1"/>
    <col min="3586" max="3586" width="67.44140625" style="427" bestFit="1" customWidth="1"/>
    <col min="3587" max="3587" width="15.5546875" style="427" bestFit="1" customWidth="1"/>
    <col min="3588" max="3588" width="11" style="427" bestFit="1" customWidth="1"/>
    <col min="3589" max="3589" width="8.6640625" style="427" bestFit="1" customWidth="1"/>
    <col min="3590" max="3590" width="20" style="427" customWidth="1"/>
    <col min="3591" max="3591" width="8.6640625" style="427" bestFit="1" customWidth="1"/>
    <col min="3592" max="3592" width="18.6640625" style="427" customWidth="1"/>
    <col min="3593" max="3593" width="12.33203125" style="427" bestFit="1" customWidth="1"/>
    <col min="3594" max="3594" width="15.5546875" style="427" bestFit="1" customWidth="1"/>
    <col min="3595" max="3595" width="9" style="427" bestFit="1" customWidth="1"/>
    <col min="3596" max="3596" width="14.33203125" style="427" bestFit="1" customWidth="1"/>
    <col min="3597" max="3597" width="12.33203125" style="427" bestFit="1" customWidth="1"/>
    <col min="3598" max="3598" width="14.33203125" style="427" bestFit="1" customWidth="1"/>
    <col min="3599" max="3599" width="15.5546875" style="427" bestFit="1" customWidth="1"/>
    <col min="3600" max="3600" width="8" style="427" bestFit="1" customWidth="1"/>
    <col min="3601" max="3601" width="15.5546875" style="427" bestFit="1" customWidth="1"/>
    <col min="3602" max="3602" width="10.33203125" style="427" bestFit="1" customWidth="1"/>
    <col min="3603" max="3603" width="9.109375" style="427"/>
    <col min="3604" max="3604" width="17.5546875" style="427" bestFit="1" customWidth="1"/>
    <col min="3605" max="3605" width="10.6640625" style="427" bestFit="1" customWidth="1"/>
    <col min="3606" max="3606" width="9.109375" style="427"/>
    <col min="3607" max="3607" width="15.5546875" style="427" bestFit="1" customWidth="1"/>
    <col min="3608" max="3608" width="11" style="427" bestFit="1" customWidth="1"/>
    <col min="3609" max="3609" width="8.6640625" style="427" bestFit="1" customWidth="1"/>
    <col min="3610" max="3610" width="22.109375" style="427" customWidth="1"/>
    <col min="3611" max="3611" width="8.6640625" style="427" bestFit="1" customWidth="1"/>
    <col min="3612" max="3612" width="20.44140625" style="427" customWidth="1"/>
    <col min="3613" max="3613" width="12.33203125" style="427" bestFit="1" customWidth="1"/>
    <col min="3614" max="3614" width="15.5546875" style="427" bestFit="1" customWidth="1"/>
    <col min="3615" max="3615" width="9" style="427" bestFit="1" customWidth="1"/>
    <col min="3616" max="3616" width="14.33203125" style="427" bestFit="1" customWidth="1"/>
    <col min="3617" max="3617" width="11" style="427" bestFit="1" customWidth="1"/>
    <col min="3618" max="3619" width="14.33203125" style="427" bestFit="1" customWidth="1"/>
    <col min="3620" max="3620" width="8" style="427" bestFit="1" customWidth="1"/>
    <col min="3621" max="3621" width="14.33203125" style="427" bestFit="1" customWidth="1"/>
    <col min="3622" max="3622" width="9.109375" style="427"/>
    <col min="3623" max="3623" width="18.33203125" style="427" bestFit="1" customWidth="1"/>
    <col min="3624" max="3624" width="13" style="427" bestFit="1" customWidth="1"/>
    <col min="3625" max="3625" width="18.109375" style="427" customWidth="1"/>
    <col min="3626" max="3840" width="9.109375" style="427"/>
    <col min="3841" max="3841" width="6.33203125" style="427" customWidth="1"/>
    <col min="3842" max="3842" width="67.44140625" style="427" bestFit="1" customWidth="1"/>
    <col min="3843" max="3843" width="15.5546875" style="427" bestFit="1" customWidth="1"/>
    <col min="3844" max="3844" width="11" style="427" bestFit="1" customWidth="1"/>
    <col min="3845" max="3845" width="8.6640625" style="427" bestFit="1" customWidth="1"/>
    <col min="3846" max="3846" width="20" style="427" customWidth="1"/>
    <col min="3847" max="3847" width="8.6640625" style="427" bestFit="1" customWidth="1"/>
    <col min="3848" max="3848" width="18.6640625" style="427" customWidth="1"/>
    <col min="3849" max="3849" width="12.33203125" style="427" bestFit="1" customWidth="1"/>
    <col min="3850" max="3850" width="15.5546875" style="427" bestFit="1" customWidth="1"/>
    <col min="3851" max="3851" width="9" style="427" bestFit="1" customWidth="1"/>
    <col min="3852" max="3852" width="14.33203125" style="427" bestFit="1" customWidth="1"/>
    <col min="3853" max="3853" width="12.33203125" style="427" bestFit="1" customWidth="1"/>
    <col min="3854" max="3854" width="14.33203125" style="427" bestFit="1" customWidth="1"/>
    <col min="3855" max="3855" width="15.5546875" style="427" bestFit="1" customWidth="1"/>
    <col min="3856" max="3856" width="8" style="427" bestFit="1" customWidth="1"/>
    <col min="3857" max="3857" width="15.5546875" style="427" bestFit="1" customWidth="1"/>
    <col min="3858" max="3858" width="10.33203125" style="427" bestFit="1" customWidth="1"/>
    <col min="3859" max="3859" width="9.109375" style="427"/>
    <col min="3860" max="3860" width="17.5546875" style="427" bestFit="1" customWidth="1"/>
    <col min="3861" max="3861" width="10.6640625" style="427" bestFit="1" customWidth="1"/>
    <col min="3862" max="3862" width="9.109375" style="427"/>
    <col min="3863" max="3863" width="15.5546875" style="427" bestFit="1" customWidth="1"/>
    <col min="3864" max="3864" width="11" style="427" bestFit="1" customWidth="1"/>
    <col min="3865" max="3865" width="8.6640625" style="427" bestFit="1" customWidth="1"/>
    <col min="3866" max="3866" width="22.109375" style="427" customWidth="1"/>
    <col min="3867" max="3867" width="8.6640625" style="427" bestFit="1" customWidth="1"/>
    <col min="3868" max="3868" width="20.44140625" style="427" customWidth="1"/>
    <col min="3869" max="3869" width="12.33203125" style="427" bestFit="1" customWidth="1"/>
    <col min="3870" max="3870" width="15.5546875" style="427" bestFit="1" customWidth="1"/>
    <col min="3871" max="3871" width="9" style="427" bestFit="1" customWidth="1"/>
    <col min="3872" max="3872" width="14.33203125" style="427" bestFit="1" customWidth="1"/>
    <col min="3873" max="3873" width="11" style="427" bestFit="1" customWidth="1"/>
    <col min="3874" max="3875" width="14.33203125" style="427" bestFit="1" customWidth="1"/>
    <col min="3876" max="3876" width="8" style="427" bestFit="1" customWidth="1"/>
    <col min="3877" max="3877" width="14.33203125" style="427" bestFit="1" customWidth="1"/>
    <col min="3878" max="3878" width="9.109375" style="427"/>
    <col min="3879" max="3879" width="18.33203125" style="427" bestFit="1" customWidth="1"/>
    <col min="3880" max="3880" width="13" style="427" bestFit="1" customWidth="1"/>
    <col min="3881" max="3881" width="18.109375" style="427" customWidth="1"/>
    <col min="3882" max="4096" width="9.109375" style="427"/>
    <col min="4097" max="4097" width="6.33203125" style="427" customWidth="1"/>
    <col min="4098" max="4098" width="67.44140625" style="427" bestFit="1" customWidth="1"/>
    <col min="4099" max="4099" width="15.5546875" style="427" bestFit="1" customWidth="1"/>
    <col min="4100" max="4100" width="11" style="427" bestFit="1" customWidth="1"/>
    <col min="4101" max="4101" width="8.6640625" style="427" bestFit="1" customWidth="1"/>
    <col min="4102" max="4102" width="20" style="427" customWidth="1"/>
    <col min="4103" max="4103" width="8.6640625" style="427" bestFit="1" customWidth="1"/>
    <col min="4104" max="4104" width="18.6640625" style="427" customWidth="1"/>
    <col min="4105" max="4105" width="12.33203125" style="427" bestFit="1" customWidth="1"/>
    <col min="4106" max="4106" width="15.5546875" style="427" bestFit="1" customWidth="1"/>
    <col min="4107" max="4107" width="9" style="427" bestFit="1" customWidth="1"/>
    <col min="4108" max="4108" width="14.33203125" style="427" bestFit="1" customWidth="1"/>
    <col min="4109" max="4109" width="12.33203125" style="427" bestFit="1" customWidth="1"/>
    <col min="4110" max="4110" width="14.33203125" style="427" bestFit="1" customWidth="1"/>
    <col min="4111" max="4111" width="15.5546875" style="427" bestFit="1" customWidth="1"/>
    <col min="4112" max="4112" width="8" style="427" bestFit="1" customWidth="1"/>
    <col min="4113" max="4113" width="15.5546875" style="427" bestFit="1" customWidth="1"/>
    <col min="4114" max="4114" width="10.33203125" style="427" bestFit="1" customWidth="1"/>
    <col min="4115" max="4115" width="9.109375" style="427"/>
    <col min="4116" max="4116" width="17.5546875" style="427" bestFit="1" customWidth="1"/>
    <col min="4117" max="4117" width="10.6640625" style="427" bestFit="1" customWidth="1"/>
    <col min="4118" max="4118" width="9.109375" style="427"/>
    <col min="4119" max="4119" width="15.5546875" style="427" bestFit="1" customWidth="1"/>
    <col min="4120" max="4120" width="11" style="427" bestFit="1" customWidth="1"/>
    <col min="4121" max="4121" width="8.6640625" style="427" bestFit="1" customWidth="1"/>
    <col min="4122" max="4122" width="22.109375" style="427" customWidth="1"/>
    <col min="4123" max="4123" width="8.6640625" style="427" bestFit="1" customWidth="1"/>
    <col min="4124" max="4124" width="20.44140625" style="427" customWidth="1"/>
    <col min="4125" max="4125" width="12.33203125" style="427" bestFit="1" customWidth="1"/>
    <col min="4126" max="4126" width="15.5546875" style="427" bestFit="1" customWidth="1"/>
    <col min="4127" max="4127" width="9" style="427" bestFit="1" customWidth="1"/>
    <col min="4128" max="4128" width="14.33203125" style="427" bestFit="1" customWidth="1"/>
    <col min="4129" max="4129" width="11" style="427" bestFit="1" customWidth="1"/>
    <col min="4130" max="4131" width="14.33203125" style="427" bestFit="1" customWidth="1"/>
    <col min="4132" max="4132" width="8" style="427" bestFit="1" customWidth="1"/>
    <col min="4133" max="4133" width="14.33203125" style="427" bestFit="1" customWidth="1"/>
    <col min="4134" max="4134" width="9.109375" style="427"/>
    <col min="4135" max="4135" width="18.33203125" style="427" bestFit="1" customWidth="1"/>
    <col min="4136" max="4136" width="13" style="427" bestFit="1" customWidth="1"/>
    <col min="4137" max="4137" width="18.109375" style="427" customWidth="1"/>
    <col min="4138" max="4352" width="9.109375" style="427"/>
    <col min="4353" max="4353" width="6.33203125" style="427" customWidth="1"/>
    <col min="4354" max="4354" width="67.44140625" style="427" bestFit="1" customWidth="1"/>
    <col min="4355" max="4355" width="15.5546875" style="427" bestFit="1" customWidth="1"/>
    <col min="4356" max="4356" width="11" style="427" bestFit="1" customWidth="1"/>
    <col min="4357" max="4357" width="8.6640625" style="427" bestFit="1" customWidth="1"/>
    <col min="4358" max="4358" width="20" style="427" customWidth="1"/>
    <col min="4359" max="4359" width="8.6640625" style="427" bestFit="1" customWidth="1"/>
    <col min="4360" max="4360" width="18.6640625" style="427" customWidth="1"/>
    <col min="4361" max="4361" width="12.33203125" style="427" bestFit="1" customWidth="1"/>
    <col min="4362" max="4362" width="15.5546875" style="427" bestFit="1" customWidth="1"/>
    <col min="4363" max="4363" width="9" style="427" bestFit="1" customWidth="1"/>
    <col min="4364" max="4364" width="14.33203125" style="427" bestFit="1" customWidth="1"/>
    <col min="4365" max="4365" width="12.33203125" style="427" bestFit="1" customWidth="1"/>
    <col min="4366" max="4366" width="14.33203125" style="427" bestFit="1" customWidth="1"/>
    <col min="4367" max="4367" width="15.5546875" style="427" bestFit="1" customWidth="1"/>
    <col min="4368" max="4368" width="8" style="427" bestFit="1" customWidth="1"/>
    <col min="4369" max="4369" width="15.5546875" style="427" bestFit="1" customWidth="1"/>
    <col min="4370" max="4370" width="10.33203125" style="427" bestFit="1" customWidth="1"/>
    <col min="4371" max="4371" width="9.109375" style="427"/>
    <col min="4372" max="4372" width="17.5546875" style="427" bestFit="1" customWidth="1"/>
    <col min="4373" max="4373" width="10.6640625" style="427" bestFit="1" customWidth="1"/>
    <col min="4374" max="4374" width="9.109375" style="427"/>
    <col min="4375" max="4375" width="15.5546875" style="427" bestFit="1" customWidth="1"/>
    <col min="4376" max="4376" width="11" style="427" bestFit="1" customWidth="1"/>
    <col min="4377" max="4377" width="8.6640625" style="427" bestFit="1" customWidth="1"/>
    <col min="4378" max="4378" width="22.109375" style="427" customWidth="1"/>
    <col min="4379" max="4379" width="8.6640625" style="427" bestFit="1" customWidth="1"/>
    <col min="4380" max="4380" width="20.44140625" style="427" customWidth="1"/>
    <col min="4381" max="4381" width="12.33203125" style="427" bestFit="1" customWidth="1"/>
    <col min="4382" max="4382" width="15.5546875" style="427" bestFit="1" customWidth="1"/>
    <col min="4383" max="4383" width="9" style="427" bestFit="1" customWidth="1"/>
    <col min="4384" max="4384" width="14.33203125" style="427" bestFit="1" customWidth="1"/>
    <col min="4385" max="4385" width="11" style="427" bestFit="1" customWidth="1"/>
    <col min="4386" max="4387" width="14.33203125" style="427" bestFit="1" customWidth="1"/>
    <col min="4388" max="4388" width="8" style="427" bestFit="1" customWidth="1"/>
    <col min="4389" max="4389" width="14.33203125" style="427" bestFit="1" customWidth="1"/>
    <col min="4390" max="4390" width="9.109375" style="427"/>
    <col min="4391" max="4391" width="18.33203125" style="427" bestFit="1" customWidth="1"/>
    <col min="4392" max="4392" width="13" style="427" bestFit="1" customWidth="1"/>
    <col min="4393" max="4393" width="18.109375" style="427" customWidth="1"/>
    <col min="4394" max="4608" width="9.109375" style="427"/>
    <col min="4609" max="4609" width="6.33203125" style="427" customWidth="1"/>
    <col min="4610" max="4610" width="67.44140625" style="427" bestFit="1" customWidth="1"/>
    <col min="4611" max="4611" width="15.5546875" style="427" bestFit="1" customWidth="1"/>
    <col min="4612" max="4612" width="11" style="427" bestFit="1" customWidth="1"/>
    <col min="4613" max="4613" width="8.6640625" style="427" bestFit="1" customWidth="1"/>
    <col min="4614" max="4614" width="20" style="427" customWidth="1"/>
    <col min="4615" max="4615" width="8.6640625" style="427" bestFit="1" customWidth="1"/>
    <col min="4616" max="4616" width="18.6640625" style="427" customWidth="1"/>
    <col min="4617" max="4617" width="12.33203125" style="427" bestFit="1" customWidth="1"/>
    <col min="4618" max="4618" width="15.5546875" style="427" bestFit="1" customWidth="1"/>
    <col min="4619" max="4619" width="9" style="427" bestFit="1" customWidth="1"/>
    <col min="4620" max="4620" width="14.33203125" style="427" bestFit="1" customWidth="1"/>
    <col min="4621" max="4621" width="12.33203125" style="427" bestFit="1" customWidth="1"/>
    <col min="4622" max="4622" width="14.33203125" style="427" bestFit="1" customWidth="1"/>
    <col min="4623" max="4623" width="15.5546875" style="427" bestFit="1" customWidth="1"/>
    <col min="4624" max="4624" width="8" style="427" bestFit="1" customWidth="1"/>
    <col min="4625" max="4625" width="15.5546875" style="427" bestFit="1" customWidth="1"/>
    <col min="4626" max="4626" width="10.33203125" style="427" bestFit="1" customWidth="1"/>
    <col min="4627" max="4627" width="9.109375" style="427"/>
    <col min="4628" max="4628" width="17.5546875" style="427" bestFit="1" customWidth="1"/>
    <col min="4629" max="4629" width="10.6640625" style="427" bestFit="1" customWidth="1"/>
    <col min="4630" max="4630" width="9.109375" style="427"/>
    <col min="4631" max="4631" width="15.5546875" style="427" bestFit="1" customWidth="1"/>
    <col min="4632" max="4632" width="11" style="427" bestFit="1" customWidth="1"/>
    <col min="4633" max="4633" width="8.6640625" style="427" bestFit="1" customWidth="1"/>
    <col min="4634" max="4634" width="22.109375" style="427" customWidth="1"/>
    <col min="4635" max="4635" width="8.6640625" style="427" bestFit="1" customWidth="1"/>
    <col min="4636" max="4636" width="20.44140625" style="427" customWidth="1"/>
    <col min="4637" max="4637" width="12.33203125" style="427" bestFit="1" customWidth="1"/>
    <col min="4638" max="4638" width="15.5546875" style="427" bestFit="1" customWidth="1"/>
    <col min="4639" max="4639" width="9" style="427" bestFit="1" customWidth="1"/>
    <col min="4640" max="4640" width="14.33203125" style="427" bestFit="1" customWidth="1"/>
    <col min="4641" max="4641" width="11" style="427" bestFit="1" customWidth="1"/>
    <col min="4642" max="4643" width="14.33203125" style="427" bestFit="1" customWidth="1"/>
    <col min="4644" max="4644" width="8" style="427" bestFit="1" customWidth="1"/>
    <col min="4645" max="4645" width="14.33203125" style="427" bestFit="1" customWidth="1"/>
    <col min="4646" max="4646" width="9.109375" style="427"/>
    <col min="4647" max="4647" width="18.33203125" style="427" bestFit="1" customWidth="1"/>
    <col min="4648" max="4648" width="13" style="427" bestFit="1" customWidth="1"/>
    <col min="4649" max="4649" width="18.109375" style="427" customWidth="1"/>
    <col min="4650" max="4864" width="9.109375" style="427"/>
    <col min="4865" max="4865" width="6.33203125" style="427" customWidth="1"/>
    <col min="4866" max="4866" width="67.44140625" style="427" bestFit="1" customWidth="1"/>
    <col min="4867" max="4867" width="15.5546875" style="427" bestFit="1" customWidth="1"/>
    <col min="4868" max="4868" width="11" style="427" bestFit="1" customWidth="1"/>
    <col min="4869" max="4869" width="8.6640625" style="427" bestFit="1" customWidth="1"/>
    <col min="4870" max="4870" width="20" style="427" customWidth="1"/>
    <col min="4871" max="4871" width="8.6640625" style="427" bestFit="1" customWidth="1"/>
    <col min="4872" max="4872" width="18.6640625" style="427" customWidth="1"/>
    <col min="4873" max="4873" width="12.33203125" style="427" bestFit="1" customWidth="1"/>
    <col min="4874" max="4874" width="15.5546875" style="427" bestFit="1" customWidth="1"/>
    <col min="4875" max="4875" width="9" style="427" bestFit="1" customWidth="1"/>
    <col min="4876" max="4876" width="14.33203125" style="427" bestFit="1" customWidth="1"/>
    <col min="4877" max="4877" width="12.33203125" style="427" bestFit="1" customWidth="1"/>
    <col min="4878" max="4878" width="14.33203125" style="427" bestFit="1" customWidth="1"/>
    <col min="4879" max="4879" width="15.5546875" style="427" bestFit="1" customWidth="1"/>
    <col min="4880" max="4880" width="8" style="427" bestFit="1" customWidth="1"/>
    <col min="4881" max="4881" width="15.5546875" style="427" bestFit="1" customWidth="1"/>
    <col min="4882" max="4882" width="10.33203125" style="427" bestFit="1" customWidth="1"/>
    <col min="4883" max="4883" width="9.109375" style="427"/>
    <col min="4884" max="4884" width="17.5546875" style="427" bestFit="1" customWidth="1"/>
    <col min="4885" max="4885" width="10.6640625" style="427" bestFit="1" customWidth="1"/>
    <col min="4886" max="4886" width="9.109375" style="427"/>
    <col min="4887" max="4887" width="15.5546875" style="427" bestFit="1" customWidth="1"/>
    <col min="4888" max="4888" width="11" style="427" bestFit="1" customWidth="1"/>
    <col min="4889" max="4889" width="8.6640625" style="427" bestFit="1" customWidth="1"/>
    <col min="4890" max="4890" width="22.109375" style="427" customWidth="1"/>
    <col min="4891" max="4891" width="8.6640625" style="427" bestFit="1" customWidth="1"/>
    <col min="4892" max="4892" width="20.44140625" style="427" customWidth="1"/>
    <col min="4893" max="4893" width="12.33203125" style="427" bestFit="1" customWidth="1"/>
    <col min="4894" max="4894" width="15.5546875" style="427" bestFit="1" customWidth="1"/>
    <col min="4895" max="4895" width="9" style="427" bestFit="1" customWidth="1"/>
    <col min="4896" max="4896" width="14.33203125" style="427" bestFit="1" customWidth="1"/>
    <col min="4897" max="4897" width="11" style="427" bestFit="1" customWidth="1"/>
    <col min="4898" max="4899" width="14.33203125" style="427" bestFit="1" customWidth="1"/>
    <col min="4900" max="4900" width="8" style="427" bestFit="1" customWidth="1"/>
    <col min="4901" max="4901" width="14.33203125" style="427" bestFit="1" customWidth="1"/>
    <col min="4902" max="4902" width="9.109375" style="427"/>
    <col min="4903" max="4903" width="18.33203125" style="427" bestFit="1" customWidth="1"/>
    <col min="4904" max="4904" width="13" style="427" bestFit="1" customWidth="1"/>
    <col min="4905" max="4905" width="18.109375" style="427" customWidth="1"/>
    <col min="4906" max="5120" width="9.109375" style="427"/>
    <col min="5121" max="5121" width="6.33203125" style="427" customWidth="1"/>
    <col min="5122" max="5122" width="67.44140625" style="427" bestFit="1" customWidth="1"/>
    <col min="5123" max="5123" width="15.5546875" style="427" bestFit="1" customWidth="1"/>
    <col min="5124" max="5124" width="11" style="427" bestFit="1" customWidth="1"/>
    <col min="5125" max="5125" width="8.6640625" style="427" bestFit="1" customWidth="1"/>
    <col min="5126" max="5126" width="20" style="427" customWidth="1"/>
    <col min="5127" max="5127" width="8.6640625" style="427" bestFit="1" customWidth="1"/>
    <col min="5128" max="5128" width="18.6640625" style="427" customWidth="1"/>
    <col min="5129" max="5129" width="12.33203125" style="427" bestFit="1" customWidth="1"/>
    <col min="5130" max="5130" width="15.5546875" style="427" bestFit="1" customWidth="1"/>
    <col min="5131" max="5131" width="9" style="427" bestFit="1" customWidth="1"/>
    <col min="5132" max="5132" width="14.33203125" style="427" bestFit="1" customWidth="1"/>
    <col min="5133" max="5133" width="12.33203125" style="427" bestFit="1" customWidth="1"/>
    <col min="5134" max="5134" width="14.33203125" style="427" bestFit="1" customWidth="1"/>
    <col min="5135" max="5135" width="15.5546875" style="427" bestFit="1" customWidth="1"/>
    <col min="5136" max="5136" width="8" style="427" bestFit="1" customWidth="1"/>
    <col min="5137" max="5137" width="15.5546875" style="427" bestFit="1" customWidth="1"/>
    <col min="5138" max="5138" width="10.33203125" style="427" bestFit="1" customWidth="1"/>
    <col min="5139" max="5139" width="9.109375" style="427"/>
    <col min="5140" max="5140" width="17.5546875" style="427" bestFit="1" customWidth="1"/>
    <col min="5141" max="5141" width="10.6640625" style="427" bestFit="1" customWidth="1"/>
    <col min="5142" max="5142" width="9.109375" style="427"/>
    <col min="5143" max="5143" width="15.5546875" style="427" bestFit="1" customWidth="1"/>
    <col min="5144" max="5144" width="11" style="427" bestFit="1" customWidth="1"/>
    <col min="5145" max="5145" width="8.6640625" style="427" bestFit="1" customWidth="1"/>
    <col min="5146" max="5146" width="22.109375" style="427" customWidth="1"/>
    <col min="5147" max="5147" width="8.6640625" style="427" bestFit="1" customWidth="1"/>
    <col min="5148" max="5148" width="20.44140625" style="427" customWidth="1"/>
    <col min="5149" max="5149" width="12.33203125" style="427" bestFit="1" customWidth="1"/>
    <col min="5150" max="5150" width="15.5546875" style="427" bestFit="1" customWidth="1"/>
    <col min="5151" max="5151" width="9" style="427" bestFit="1" customWidth="1"/>
    <col min="5152" max="5152" width="14.33203125" style="427" bestFit="1" customWidth="1"/>
    <col min="5153" max="5153" width="11" style="427" bestFit="1" customWidth="1"/>
    <col min="5154" max="5155" width="14.33203125" style="427" bestFit="1" customWidth="1"/>
    <col min="5156" max="5156" width="8" style="427" bestFit="1" customWidth="1"/>
    <col min="5157" max="5157" width="14.33203125" style="427" bestFit="1" customWidth="1"/>
    <col min="5158" max="5158" width="9.109375" style="427"/>
    <col min="5159" max="5159" width="18.33203125" style="427" bestFit="1" customWidth="1"/>
    <col min="5160" max="5160" width="13" style="427" bestFit="1" customWidth="1"/>
    <col min="5161" max="5161" width="18.109375" style="427" customWidth="1"/>
    <col min="5162" max="5376" width="9.109375" style="427"/>
    <col min="5377" max="5377" width="6.33203125" style="427" customWidth="1"/>
    <col min="5378" max="5378" width="67.44140625" style="427" bestFit="1" customWidth="1"/>
    <col min="5379" max="5379" width="15.5546875" style="427" bestFit="1" customWidth="1"/>
    <col min="5380" max="5380" width="11" style="427" bestFit="1" customWidth="1"/>
    <col min="5381" max="5381" width="8.6640625" style="427" bestFit="1" customWidth="1"/>
    <col min="5382" max="5382" width="20" style="427" customWidth="1"/>
    <col min="5383" max="5383" width="8.6640625" style="427" bestFit="1" customWidth="1"/>
    <col min="5384" max="5384" width="18.6640625" style="427" customWidth="1"/>
    <col min="5385" max="5385" width="12.33203125" style="427" bestFit="1" customWidth="1"/>
    <col min="5386" max="5386" width="15.5546875" style="427" bestFit="1" customWidth="1"/>
    <col min="5387" max="5387" width="9" style="427" bestFit="1" customWidth="1"/>
    <col min="5388" max="5388" width="14.33203125" style="427" bestFit="1" customWidth="1"/>
    <col min="5389" max="5389" width="12.33203125" style="427" bestFit="1" customWidth="1"/>
    <col min="5390" max="5390" width="14.33203125" style="427" bestFit="1" customWidth="1"/>
    <col min="5391" max="5391" width="15.5546875" style="427" bestFit="1" customWidth="1"/>
    <col min="5392" max="5392" width="8" style="427" bestFit="1" customWidth="1"/>
    <col min="5393" max="5393" width="15.5546875" style="427" bestFit="1" customWidth="1"/>
    <col min="5394" max="5394" width="10.33203125" style="427" bestFit="1" customWidth="1"/>
    <col min="5395" max="5395" width="9.109375" style="427"/>
    <col min="5396" max="5396" width="17.5546875" style="427" bestFit="1" customWidth="1"/>
    <col min="5397" max="5397" width="10.6640625" style="427" bestFit="1" customWidth="1"/>
    <col min="5398" max="5398" width="9.109375" style="427"/>
    <col min="5399" max="5399" width="15.5546875" style="427" bestFit="1" customWidth="1"/>
    <col min="5400" max="5400" width="11" style="427" bestFit="1" customWidth="1"/>
    <col min="5401" max="5401" width="8.6640625" style="427" bestFit="1" customWidth="1"/>
    <col min="5402" max="5402" width="22.109375" style="427" customWidth="1"/>
    <col min="5403" max="5403" width="8.6640625" style="427" bestFit="1" customWidth="1"/>
    <col min="5404" max="5404" width="20.44140625" style="427" customWidth="1"/>
    <col min="5405" max="5405" width="12.33203125" style="427" bestFit="1" customWidth="1"/>
    <col min="5406" max="5406" width="15.5546875" style="427" bestFit="1" customWidth="1"/>
    <col min="5407" max="5407" width="9" style="427" bestFit="1" customWidth="1"/>
    <col min="5408" max="5408" width="14.33203125" style="427" bestFit="1" customWidth="1"/>
    <col min="5409" max="5409" width="11" style="427" bestFit="1" customWidth="1"/>
    <col min="5410" max="5411" width="14.33203125" style="427" bestFit="1" customWidth="1"/>
    <col min="5412" max="5412" width="8" style="427" bestFit="1" customWidth="1"/>
    <col min="5413" max="5413" width="14.33203125" style="427" bestFit="1" customWidth="1"/>
    <col min="5414" max="5414" width="9.109375" style="427"/>
    <col min="5415" max="5415" width="18.33203125" style="427" bestFit="1" customWidth="1"/>
    <col min="5416" max="5416" width="13" style="427" bestFit="1" customWidth="1"/>
    <col min="5417" max="5417" width="18.109375" style="427" customWidth="1"/>
    <col min="5418" max="5632" width="9.109375" style="427"/>
    <col min="5633" max="5633" width="6.33203125" style="427" customWidth="1"/>
    <col min="5634" max="5634" width="67.44140625" style="427" bestFit="1" customWidth="1"/>
    <col min="5635" max="5635" width="15.5546875" style="427" bestFit="1" customWidth="1"/>
    <col min="5636" max="5636" width="11" style="427" bestFit="1" customWidth="1"/>
    <col min="5637" max="5637" width="8.6640625" style="427" bestFit="1" customWidth="1"/>
    <col min="5638" max="5638" width="20" style="427" customWidth="1"/>
    <col min="5639" max="5639" width="8.6640625" style="427" bestFit="1" customWidth="1"/>
    <col min="5640" max="5640" width="18.6640625" style="427" customWidth="1"/>
    <col min="5641" max="5641" width="12.33203125" style="427" bestFit="1" customWidth="1"/>
    <col min="5642" max="5642" width="15.5546875" style="427" bestFit="1" customWidth="1"/>
    <col min="5643" max="5643" width="9" style="427" bestFit="1" customWidth="1"/>
    <col min="5644" max="5644" width="14.33203125" style="427" bestFit="1" customWidth="1"/>
    <col min="5645" max="5645" width="12.33203125" style="427" bestFit="1" customWidth="1"/>
    <col min="5646" max="5646" width="14.33203125" style="427" bestFit="1" customWidth="1"/>
    <col min="5647" max="5647" width="15.5546875" style="427" bestFit="1" customWidth="1"/>
    <col min="5648" max="5648" width="8" style="427" bestFit="1" customWidth="1"/>
    <col min="5649" max="5649" width="15.5546875" style="427" bestFit="1" customWidth="1"/>
    <col min="5650" max="5650" width="10.33203125" style="427" bestFit="1" customWidth="1"/>
    <col min="5651" max="5651" width="9.109375" style="427"/>
    <col min="5652" max="5652" width="17.5546875" style="427" bestFit="1" customWidth="1"/>
    <col min="5653" max="5653" width="10.6640625" style="427" bestFit="1" customWidth="1"/>
    <col min="5654" max="5654" width="9.109375" style="427"/>
    <col min="5655" max="5655" width="15.5546875" style="427" bestFit="1" customWidth="1"/>
    <col min="5656" max="5656" width="11" style="427" bestFit="1" customWidth="1"/>
    <col min="5657" max="5657" width="8.6640625" style="427" bestFit="1" customWidth="1"/>
    <col min="5658" max="5658" width="22.109375" style="427" customWidth="1"/>
    <col min="5659" max="5659" width="8.6640625" style="427" bestFit="1" customWidth="1"/>
    <col min="5660" max="5660" width="20.44140625" style="427" customWidth="1"/>
    <col min="5661" max="5661" width="12.33203125" style="427" bestFit="1" customWidth="1"/>
    <col min="5662" max="5662" width="15.5546875" style="427" bestFit="1" customWidth="1"/>
    <col min="5663" max="5663" width="9" style="427" bestFit="1" customWidth="1"/>
    <col min="5664" max="5664" width="14.33203125" style="427" bestFit="1" customWidth="1"/>
    <col min="5665" max="5665" width="11" style="427" bestFit="1" customWidth="1"/>
    <col min="5666" max="5667" width="14.33203125" style="427" bestFit="1" customWidth="1"/>
    <col min="5668" max="5668" width="8" style="427" bestFit="1" customWidth="1"/>
    <col min="5669" max="5669" width="14.33203125" style="427" bestFit="1" customWidth="1"/>
    <col min="5670" max="5670" width="9.109375" style="427"/>
    <col min="5671" max="5671" width="18.33203125" style="427" bestFit="1" customWidth="1"/>
    <col min="5672" max="5672" width="13" style="427" bestFit="1" customWidth="1"/>
    <col min="5673" max="5673" width="18.109375" style="427" customWidth="1"/>
    <col min="5674" max="5888" width="9.109375" style="427"/>
    <col min="5889" max="5889" width="6.33203125" style="427" customWidth="1"/>
    <col min="5890" max="5890" width="67.44140625" style="427" bestFit="1" customWidth="1"/>
    <col min="5891" max="5891" width="15.5546875" style="427" bestFit="1" customWidth="1"/>
    <col min="5892" max="5892" width="11" style="427" bestFit="1" customWidth="1"/>
    <col min="5893" max="5893" width="8.6640625" style="427" bestFit="1" customWidth="1"/>
    <col min="5894" max="5894" width="20" style="427" customWidth="1"/>
    <col min="5895" max="5895" width="8.6640625" style="427" bestFit="1" customWidth="1"/>
    <col min="5896" max="5896" width="18.6640625" style="427" customWidth="1"/>
    <col min="5897" max="5897" width="12.33203125" style="427" bestFit="1" customWidth="1"/>
    <col min="5898" max="5898" width="15.5546875" style="427" bestFit="1" customWidth="1"/>
    <col min="5899" max="5899" width="9" style="427" bestFit="1" customWidth="1"/>
    <col min="5900" max="5900" width="14.33203125" style="427" bestFit="1" customWidth="1"/>
    <col min="5901" max="5901" width="12.33203125" style="427" bestFit="1" customWidth="1"/>
    <col min="5902" max="5902" width="14.33203125" style="427" bestFit="1" customWidth="1"/>
    <col min="5903" max="5903" width="15.5546875" style="427" bestFit="1" customWidth="1"/>
    <col min="5904" max="5904" width="8" style="427" bestFit="1" customWidth="1"/>
    <col min="5905" max="5905" width="15.5546875" style="427" bestFit="1" customWidth="1"/>
    <col min="5906" max="5906" width="10.33203125" style="427" bestFit="1" customWidth="1"/>
    <col min="5907" max="5907" width="9.109375" style="427"/>
    <col min="5908" max="5908" width="17.5546875" style="427" bestFit="1" customWidth="1"/>
    <col min="5909" max="5909" width="10.6640625" style="427" bestFit="1" customWidth="1"/>
    <col min="5910" max="5910" width="9.109375" style="427"/>
    <col min="5911" max="5911" width="15.5546875" style="427" bestFit="1" customWidth="1"/>
    <col min="5912" max="5912" width="11" style="427" bestFit="1" customWidth="1"/>
    <col min="5913" max="5913" width="8.6640625" style="427" bestFit="1" customWidth="1"/>
    <col min="5914" max="5914" width="22.109375" style="427" customWidth="1"/>
    <col min="5915" max="5915" width="8.6640625" style="427" bestFit="1" customWidth="1"/>
    <col min="5916" max="5916" width="20.44140625" style="427" customWidth="1"/>
    <col min="5917" max="5917" width="12.33203125" style="427" bestFit="1" customWidth="1"/>
    <col min="5918" max="5918" width="15.5546875" style="427" bestFit="1" customWidth="1"/>
    <col min="5919" max="5919" width="9" style="427" bestFit="1" customWidth="1"/>
    <col min="5920" max="5920" width="14.33203125" style="427" bestFit="1" customWidth="1"/>
    <col min="5921" max="5921" width="11" style="427" bestFit="1" customWidth="1"/>
    <col min="5922" max="5923" width="14.33203125" style="427" bestFit="1" customWidth="1"/>
    <col min="5924" max="5924" width="8" style="427" bestFit="1" customWidth="1"/>
    <col min="5925" max="5925" width="14.33203125" style="427" bestFit="1" customWidth="1"/>
    <col min="5926" max="5926" width="9.109375" style="427"/>
    <col min="5927" max="5927" width="18.33203125" style="427" bestFit="1" customWidth="1"/>
    <col min="5928" max="5928" width="13" style="427" bestFit="1" customWidth="1"/>
    <col min="5929" max="5929" width="18.109375" style="427" customWidth="1"/>
    <col min="5930" max="6144" width="9.109375" style="427"/>
    <col min="6145" max="6145" width="6.33203125" style="427" customWidth="1"/>
    <col min="6146" max="6146" width="67.44140625" style="427" bestFit="1" customWidth="1"/>
    <col min="6147" max="6147" width="15.5546875" style="427" bestFit="1" customWidth="1"/>
    <col min="6148" max="6148" width="11" style="427" bestFit="1" customWidth="1"/>
    <col min="6149" max="6149" width="8.6640625" style="427" bestFit="1" customWidth="1"/>
    <col min="6150" max="6150" width="20" style="427" customWidth="1"/>
    <col min="6151" max="6151" width="8.6640625" style="427" bestFit="1" customWidth="1"/>
    <col min="6152" max="6152" width="18.6640625" style="427" customWidth="1"/>
    <col min="6153" max="6153" width="12.33203125" style="427" bestFit="1" customWidth="1"/>
    <col min="6154" max="6154" width="15.5546875" style="427" bestFit="1" customWidth="1"/>
    <col min="6155" max="6155" width="9" style="427" bestFit="1" customWidth="1"/>
    <col min="6156" max="6156" width="14.33203125" style="427" bestFit="1" customWidth="1"/>
    <col min="6157" max="6157" width="12.33203125" style="427" bestFit="1" customWidth="1"/>
    <col min="6158" max="6158" width="14.33203125" style="427" bestFit="1" customWidth="1"/>
    <col min="6159" max="6159" width="15.5546875" style="427" bestFit="1" customWidth="1"/>
    <col min="6160" max="6160" width="8" style="427" bestFit="1" customWidth="1"/>
    <col min="6161" max="6161" width="15.5546875" style="427" bestFit="1" customWidth="1"/>
    <col min="6162" max="6162" width="10.33203125" style="427" bestFit="1" customWidth="1"/>
    <col min="6163" max="6163" width="9.109375" style="427"/>
    <col min="6164" max="6164" width="17.5546875" style="427" bestFit="1" customWidth="1"/>
    <col min="6165" max="6165" width="10.6640625" style="427" bestFit="1" customWidth="1"/>
    <col min="6166" max="6166" width="9.109375" style="427"/>
    <col min="6167" max="6167" width="15.5546875" style="427" bestFit="1" customWidth="1"/>
    <col min="6168" max="6168" width="11" style="427" bestFit="1" customWidth="1"/>
    <col min="6169" max="6169" width="8.6640625" style="427" bestFit="1" customWidth="1"/>
    <col min="6170" max="6170" width="22.109375" style="427" customWidth="1"/>
    <col min="6171" max="6171" width="8.6640625" style="427" bestFit="1" customWidth="1"/>
    <col min="6172" max="6172" width="20.44140625" style="427" customWidth="1"/>
    <col min="6173" max="6173" width="12.33203125" style="427" bestFit="1" customWidth="1"/>
    <col min="6174" max="6174" width="15.5546875" style="427" bestFit="1" customWidth="1"/>
    <col min="6175" max="6175" width="9" style="427" bestFit="1" customWidth="1"/>
    <col min="6176" max="6176" width="14.33203125" style="427" bestFit="1" customWidth="1"/>
    <col min="6177" max="6177" width="11" style="427" bestFit="1" customWidth="1"/>
    <col min="6178" max="6179" width="14.33203125" style="427" bestFit="1" customWidth="1"/>
    <col min="6180" max="6180" width="8" style="427" bestFit="1" customWidth="1"/>
    <col min="6181" max="6181" width="14.33203125" style="427" bestFit="1" customWidth="1"/>
    <col min="6182" max="6182" width="9.109375" style="427"/>
    <col min="6183" max="6183" width="18.33203125" style="427" bestFit="1" customWidth="1"/>
    <col min="6184" max="6184" width="13" style="427" bestFit="1" customWidth="1"/>
    <col min="6185" max="6185" width="18.109375" style="427" customWidth="1"/>
    <col min="6186" max="6400" width="9.109375" style="427"/>
    <col min="6401" max="6401" width="6.33203125" style="427" customWidth="1"/>
    <col min="6402" max="6402" width="67.44140625" style="427" bestFit="1" customWidth="1"/>
    <col min="6403" max="6403" width="15.5546875" style="427" bestFit="1" customWidth="1"/>
    <col min="6404" max="6404" width="11" style="427" bestFit="1" customWidth="1"/>
    <col min="6405" max="6405" width="8.6640625" style="427" bestFit="1" customWidth="1"/>
    <col min="6406" max="6406" width="20" style="427" customWidth="1"/>
    <col min="6407" max="6407" width="8.6640625" style="427" bestFit="1" customWidth="1"/>
    <col min="6408" max="6408" width="18.6640625" style="427" customWidth="1"/>
    <col min="6409" max="6409" width="12.33203125" style="427" bestFit="1" customWidth="1"/>
    <col min="6410" max="6410" width="15.5546875" style="427" bestFit="1" customWidth="1"/>
    <col min="6411" max="6411" width="9" style="427" bestFit="1" customWidth="1"/>
    <col min="6412" max="6412" width="14.33203125" style="427" bestFit="1" customWidth="1"/>
    <col min="6413" max="6413" width="12.33203125" style="427" bestFit="1" customWidth="1"/>
    <col min="6414" max="6414" width="14.33203125" style="427" bestFit="1" customWidth="1"/>
    <col min="6415" max="6415" width="15.5546875" style="427" bestFit="1" customWidth="1"/>
    <col min="6416" max="6416" width="8" style="427" bestFit="1" customWidth="1"/>
    <col min="6417" max="6417" width="15.5546875" style="427" bestFit="1" customWidth="1"/>
    <col min="6418" max="6418" width="10.33203125" style="427" bestFit="1" customWidth="1"/>
    <col min="6419" max="6419" width="9.109375" style="427"/>
    <col min="6420" max="6420" width="17.5546875" style="427" bestFit="1" customWidth="1"/>
    <col min="6421" max="6421" width="10.6640625" style="427" bestFit="1" customWidth="1"/>
    <col min="6422" max="6422" width="9.109375" style="427"/>
    <col min="6423" max="6423" width="15.5546875" style="427" bestFit="1" customWidth="1"/>
    <col min="6424" max="6424" width="11" style="427" bestFit="1" customWidth="1"/>
    <col min="6425" max="6425" width="8.6640625" style="427" bestFit="1" customWidth="1"/>
    <col min="6426" max="6426" width="22.109375" style="427" customWidth="1"/>
    <col min="6427" max="6427" width="8.6640625" style="427" bestFit="1" customWidth="1"/>
    <col min="6428" max="6428" width="20.44140625" style="427" customWidth="1"/>
    <col min="6429" max="6429" width="12.33203125" style="427" bestFit="1" customWidth="1"/>
    <col min="6430" max="6430" width="15.5546875" style="427" bestFit="1" customWidth="1"/>
    <col min="6431" max="6431" width="9" style="427" bestFit="1" customWidth="1"/>
    <col min="6432" max="6432" width="14.33203125" style="427" bestFit="1" customWidth="1"/>
    <col min="6433" max="6433" width="11" style="427" bestFit="1" customWidth="1"/>
    <col min="6434" max="6435" width="14.33203125" style="427" bestFit="1" customWidth="1"/>
    <col min="6436" max="6436" width="8" style="427" bestFit="1" customWidth="1"/>
    <col min="6437" max="6437" width="14.33203125" style="427" bestFit="1" customWidth="1"/>
    <col min="6438" max="6438" width="9.109375" style="427"/>
    <col min="6439" max="6439" width="18.33203125" style="427" bestFit="1" customWidth="1"/>
    <col min="6440" max="6440" width="13" style="427" bestFit="1" customWidth="1"/>
    <col min="6441" max="6441" width="18.109375" style="427" customWidth="1"/>
    <col min="6442" max="6656" width="9.109375" style="427"/>
    <col min="6657" max="6657" width="6.33203125" style="427" customWidth="1"/>
    <col min="6658" max="6658" width="67.44140625" style="427" bestFit="1" customWidth="1"/>
    <col min="6659" max="6659" width="15.5546875" style="427" bestFit="1" customWidth="1"/>
    <col min="6660" max="6660" width="11" style="427" bestFit="1" customWidth="1"/>
    <col min="6661" max="6661" width="8.6640625" style="427" bestFit="1" customWidth="1"/>
    <col min="6662" max="6662" width="20" style="427" customWidth="1"/>
    <col min="6663" max="6663" width="8.6640625" style="427" bestFit="1" customWidth="1"/>
    <col min="6664" max="6664" width="18.6640625" style="427" customWidth="1"/>
    <col min="6665" max="6665" width="12.33203125" style="427" bestFit="1" customWidth="1"/>
    <col min="6666" max="6666" width="15.5546875" style="427" bestFit="1" customWidth="1"/>
    <col min="6667" max="6667" width="9" style="427" bestFit="1" customWidth="1"/>
    <col min="6668" max="6668" width="14.33203125" style="427" bestFit="1" customWidth="1"/>
    <col min="6669" max="6669" width="12.33203125" style="427" bestFit="1" customWidth="1"/>
    <col min="6670" max="6670" width="14.33203125" style="427" bestFit="1" customWidth="1"/>
    <col min="6671" max="6671" width="15.5546875" style="427" bestFit="1" customWidth="1"/>
    <col min="6672" max="6672" width="8" style="427" bestFit="1" customWidth="1"/>
    <col min="6673" max="6673" width="15.5546875" style="427" bestFit="1" customWidth="1"/>
    <col min="6674" max="6674" width="10.33203125" style="427" bestFit="1" customWidth="1"/>
    <col min="6675" max="6675" width="9.109375" style="427"/>
    <col min="6676" max="6676" width="17.5546875" style="427" bestFit="1" customWidth="1"/>
    <col min="6677" max="6677" width="10.6640625" style="427" bestFit="1" customWidth="1"/>
    <col min="6678" max="6678" width="9.109375" style="427"/>
    <col min="6679" max="6679" width="15.5546875" style="427" bestFit="1" customWidth="1"/>
    <col min="6680" max="6680" width="11" style="427" bestFit="1" customWidth="1"/>
    <col min="6681" max="6681" width="8.6640625" style="427" bestFit="1" customWidth="1"/>
    <col min="6682" max="6682" width="22.109375" style="427" customWidth="1"/>
    <col min="6683" max="6683" width="8.6640625" style="427" bestFit="1" customWidth="1"/>
    <col min="6684" max="6684" width="20.44140625" style="427" customWidth="1"/>
    <col min="6685" max="6685" width="12.33203125" style="427" bestFit="1" customWidth="1"/>
    <col min="6686" max="6686" width="15.5546875" style="427" bestFit="1" customWidth="1"/>
    <col min="6687" max="6687" width="9" style="427" bestFit="1" customWidth="1"/>
    <col min="6688" max="6688" width="14.33203125" style="427" bestFit="1" customWidth="1"/>
    <col min="6689" max="6689" width="11" style="427" bestFit="1" customWidth="1"/>
    <col min="6690" max="6691" width="14.33203125" style="427" bestFit="1" customWidth="1"/>
    <col min="6692" max="6692" width="8" style="427" bestFit="1" customWidth="1"/>
    <col min="6693" max="6693" width="14.33203125" style="427" bestFit="1" customWidth="1"/>
    <col min="6694" max="6694" width="9.109375" style="427"/>
    <col min="6695" max="6695" width="18.33203125" style="427" bestFit="1" customWidth="1"/>
    <col min="6696" max="6696" width="13" style="427" bestFit="1" customWidth="1"/>
    <col min="6697" max="6697" width="18.109375" style="427" customWidth="1"/>
    <col min="6698" max="6912" width="9.109375" style="427"/>
    <col min="6913" max="6913" width="6.33203125" style="427" customWidth="1"/>
    <col min="6914" max="6914" width="67.44140625" style="427" bestFit="1" customWidth="1"/>
    <col min="6915" max="6915" width="15.5546875" style="427" bestFit="1" customWidth="1"/>
    <col min="6916" max="6916" width="11" style="427" bestFit="1" customWidth="1"/>
    <col min="6917" max="6917" width="8.6640625" style="427" bestFit="1" customWidth="1"/>
    <col min="6918" max="6918" width="20" style="427" customWidth="1"/>
    <col min="6919" max="6919" width="8.6640625" style="427" bestFit="1" customWidth="1"/>
    <col min="6920" max="6920" width="18.6640625" style="427" customWidth="1"/>
    <col min="6921" max="6921" width="12.33203125" style="427" bestFit="1" customWidth="1"/>
    <col min="6922" max="6922" width="15.5546875" style="427" bestFit="1" customWidth="1"/>
    <col min="6923" max="6923" width="9" style="427" bestFit="1" customWidth="1"/>
    <col min="6924" max="6924" width="14.33203125" style="427" bestFit="1" customWidth="1"/>
    <col min="6925" max="6925" width="12.33203125" style="427" bestFit="1" customWidth="1"/>
    <col min="6926" max="6926" width="14.33203125" style="427" bestFit="1" customWidth="1"/>
    <col min="6927" max="6927" width="15.5546875" style="427" bestFit="1" customWidth="1"/>
    <col min="6928" max="6928" width="8" style="427" bestFit="1" customWidth="1"/>
    <col min="6929" max="6929" width="15.5546875" style="427" bestFit="1" customWidth="1"/>
    <col min="6930" max="6930" width="10.33203125" style="427" bestFit="1" customWidth="1"/>
    <col min="6931" max="6931" width="9.109375" style="427"/>
    <col min="6932" max="6932" width="17.5546875" style="427" bestFit="1" customWidth="1"/>
    <col min="6933" max="6933" width="10.6640625" style="427" bestFit="1" customWidth="1"/>
    <col min="6934" max="6934" width="9.109375" style="427"/>
    <col min="6935" max="6935" width="15.5546875" style="427" bestFit="1" customWidth="1"/>
    <col min="6936" max="6936" width="11" style="427" bestFit="1" customWidth="1"/>
    <col min="6937" max="6937" width="8.6640625" style="427" bestFit="1" customWidth="1"/>
    <col min="6938" max="6938" width="22.109375" style="427" customWidth="1"/>
    <col min="6939" max="6939" width="8.6640625" style="427" bestFit="1" customWidth="1"/>
    <col min="6940" max="6940" width="20.44140625" style="427" customWidth="1"/>
    <col min="6941" max="6941" width="12.33203125" style="427" bestFit="1" customWidth="1"/>
    <col min="6942" max="6942" width="15.5546875" style="427" bestFit="1" customWidth="1"/>
    <col min="6943" max="6943" width="9" style="427" bestFit="1" customWidth="1"/>
    <col min="6944" max="6944" width="14.33203125" style="427" bestFit="1" customWidth="1"/>
    <col min="6945" max="6945" width="11" style="427" bestFit="1" customWidth="1"/>
    <col min="6946" max="6947" width="14.33203125" style="427" bestFit="1" customWidth="1"/>
    <col min="6948" max="6948" width="8" style="427" bestFit="1" customWidth="1"/>
    <col min="6949" max="6949" width="14.33203125" style="427" bestFit="1" customWidth="1"/>
    <col min="6950" max="6950" width="9.109375" style="427"/>
    <col min="6951" max="6951" width="18.33203125" style="427" bestFit="1" customWidth="1"/>
    <col min="6952" max="6952" width="13" style="427" bestFit="1" customWidth="1"/>
    <col min="6953" max="6953" width="18.109375" style="427" customWidth="1"/>
    <col min="6954" max="7168" width="9.109375" style="427"/>
    <col min="7169" max="7169" width="6.33203125" style="427" customWidth="1"/>
    <col min="7170" max="7170" width="67.44140625" style="427" bestFit="1" customWidth="1"/>
    <col min="7171" max="7171" width="15.5546875" style="427" bestFit="1" customWidth="1"/>
    <col min="7172" max="7172" width="11" style="427" bestFit="1" customWidth="1"/>
    <col min="7173" max="7173" width="8.6640625" style="427" bestFit="1" customWidth="1"/>
    <col min="7174" max="7174" width="20" style="427" customWidth="1"/>
    <col min="7175" max="7175" width="8.6640625" style="427" bestFit="1" customWidth="1"/>
    <col min="7176" max="7176" width="18.6640625" style="427" customWidth="1"/>
    <col min="7177" max="7177" width="12.33203125" style="427" bestFit="1" customWidth="1"/>
    <col min="7178" max="7178" width="15.5546875" style="427" bestFit="1" customWidth="1"/>
    <col min="7179" max="7179" width="9" style="427" bestFit="1" customWidth="1"/>
    <col min="7180" max="7180" width="14.33203125" style="427" bestFit="1" customWidth="1"/>
    <col min="7181" max="7181" width="12.33203125" style="427" bestFit="1" customWidth="1"/>
    <col min="7182" max="7182" width="14.33203125" style="427" bestFit="1" customWidth="1"/>
    <col min="7183" max="7183" width="15.5546875" style="427" bestFit="1" customWidth="1"/>
    <col min="7184" max="7184" width="8" style="427" bestFit="1" customWidth="1"/>
    <col min="7185" max="7185" width="15.5546875" style="427" bestFit="1" customWidth="1"/>
    <col min="7186" max="7186" width="10.33203125" style="427" bestFit="1" customWidth="1"/>
    <col min="7187" max="7187" width="9.109375" style="427"/>
    <col min="7188" max="7188" width="17.5546875" style="427" bestFit="1" customWidth="1"/>
    <col min="7189" max="7189" width="10.6640625" style="427" bestFit="1" customWidth="1"/>
    <col min="7190" max="7190" width="9.109375" style="427"/>
    <col min="7191" max="7191" width="15.5546875" style="427" bestFit="1" customWidth="1"/>
    <col min="7192" max="7192" width="11" style="427" bestFit="1" customWidth="1"/>
    <col min="7193" max="7193" width="8.6640625" style="427" bestFit="1" customWidth="1"/>
    <col min="7194" max="7194" width="22.109375" style="427" customWidth="1"/>
    <col min="7195" max="7195" width="8.6640625" style="427" bestFit="1" customWidth="1"/>
    <col min="7196" max="7196" width="20.44140625" style="427" customWidth="1"/>
    <col min="7197" max="7197" width="12.33203125" style="427" bestFit="1" customWidth="1"/>
    <col min="7198" max="7198" width="15.5546875" style="427" bestFit="1" customWidth="1"/>
    <col min="7199" max="7199" width="9" style="427" bestFit="1" customWidth="1"/>
    <col min="7200" max="7200" width="14.33203125" style="427" bestFit="1" customWidth="1"/>
    <col min="7201" max="7201" width="11" style="427" bestFit="1" customWidth="1"/>
    <col min="7202" max="7203" width="14.33203125" style="427" bestFit="1" customWidth="1"/>
    <col min="7204" max="7204" width="8" style="427" bestFit="1" customWidth="1"/>
    <col min="7205" max="7205" width="14.33203125" style="427" bestFit="1" customWidth="1"/>
    <col min="7206" max="7206" width="9.109375" style="427"/>
    <col min="7207" max="7207" width="18.33203125" style="427" bestFit="1" customWidth="1"/>
    <col min="7208" max="7208" width="13" style="427" bestFit="1" customWidth="1"/>
    <col min="7209" max="7209" width="18.109375" style="427" customWidth="1"/>
    <col min="7210" max="7424" width="9.109375" style="427"/>
    <col min="7425" max="7425" width="6.33203125" style="427" customWidth="1"/>
    <col min="7426" max="7426" width="67.44140625" style="427" bestFit="1" customWidth="1"/>
    <col min="7427" max="7427" width="15.5546875" style="427" bestFit="1" customWidth="1"/>
    <col min="7428" max="7428" width="11" style="427" bestFit="1" customWidth="1"/>
    <col min="7429" max="7429" width="8.6640625" style="427" bestFit="1" customWidth="1"/>
    <col min="7430" max="7430" width="20" style="427" customWidth="1"/>
    <col min="7431" max="7431" width="8.6640625" style="427" bestFit="1" customWidth="1"/>
    <col min="7432" max="7432" width="18.6640625" style="427" customWidth="1"/>
    <col min="7433" max="7433" width="12.33203125" style="427" bestFit="1" customWidth="1"/>
    <col min="7434" max="7434" width="15.5546875" style="427" bestFit="1" customWidth="1"/>
    <col min="7435" max="7435" width="9" style="427" bestFit="1" customWidth="1"/>
    <col min="7436" max="7436" width="14.33203125" style="427" bestFit="1" customWidth="1"/>
    <col min="7437" max="7437" width="12.33203125" style="427" bestFit="1" customWidth="1"/>
    <col min="7438" max="7438" width="14.33203125" style="427" bestFit="1" customWidth="1"/>
    <col min="7439" max="7439" width="15.5546875" style="427" bestFit="1" customWidth="1"/>
    <col min="7440" max="7440" width="8" style="427" bestFit="1" customWidth="1"/>
    <col min="7441" max="7441" width="15.5546875" style="427" bestFit="1" customWidth="1"/>
    <col min="7442" max="7442" width="10.33203125" style="427" bestFit="1" customWidth="1"/>
    <col min="7443" max="7443" width="9.109375" style="427"/>
    <col min="7444" max="7444" width="17.5546875" style="427" bestFit="1" customWidth="1"/>
    <col min="7445" max="7445" width="10.6640625" style="427" bestFit="1" customWidth="1"/>
    <col min="7446" max="7446" width="9.109375" style="427"/>
    <col min="7447" max="7447" width="15.5546875" style="427" bestFit="1" customWidth="1"/>
    <col min="7448" max="7448" width="11" style="427" bestFit="1" customWidth="1"/>
    <col min="7449" max="7449" width="8.6640625" style="427" bestFit="1" customWidth="1"/>
    <col min="7450" max="7450" width="22.109375" style="427" customWidth="1"/>
    <col min="7451" max="7451" width="8.6640625" style="427" bestFit="1" customWidth="1"/>
    <col min="7452" max="7452" width="20.44140625" style="427" customWidth="1"/>
    <col min="7453" max="7453" width="12.33203125" style="427" bestFit="1" customWidth="1"/>
    <col min="7454" max="7454" width="15.5546875" style="427" bestFit="1" customWidth="1"/>
    <col min="7455" max="7455" width="9" style="427" bestFit="1" customWidth="1"/>
    <col min="7456" max="7456" width="14.33203125" style="427" bestFit="1" customWidth="1"/>
    <col min="7457" max="7457" width="11" style="427" bestFit="1" customWidth="1"/>
    <col min="7458" max="7459" width="14.33203125" style="427" bestFit="1" customWidth="1"/>
    <col min="7460" max="7460" width="8" style="427" bestFit="1" customWidth="1"/>
    <col min="7461" max="7461" width="14.33203125" style="427" bestFit="1" customWidth="1"/>
    <col min="7462" max="7462" width="9.109375" style="427"/>
    <col min="7463" max="7463" width="18.33203125" style="427" bestFit="1" customWidth="1"/>
    <col min="7464" max="7464" width="13" style="427" bestFit="1" customWidth="1"/>
    <col min="7465" max="7465" width="18.109375" style="427" customWidth="1"/>
    <col min="7466" max="7680" width="9.109375" style="427"/>
    <col min="7681" max="7681" width="6.33203125" style="427" customWidth="1"/>
    <col min="7682" max="7682" width="67.44140625" style="427" bestFit="1" customWidth="1"/>
    <col min="7683" max="7683" width="15.5546875" style="427" bestFit="1" customWidth="1"/>
    <col min="7684" max="7684" width="11" style="427" bestFit="1" customWidth="1"/>
    <col min="7685" max="7685" width="8.6640625" style="427" bestFit="1" customWidth="1"/>
    <col min="7686" max="7686" width="20" style="427" customWidth="1"/>
    <col min="7687" max="7687" width="8.6640625" style="427" bestFit="1" customWidth="1"/>
    <col min="7688" max="7688" width="18.6640625" style="427" customWidth="1"/>
    <col min="7689" max="7689" width="12.33203125" style="427" bestFit="1" customWidth="1"/>
    <col min="7690" max="7690" width="15.5546875" style="427" bestFit="1" customWidth="1"/>
    <col min="7691" max="7691" width="9" style="427" bestFit="1" customWidth="1"/>
    <col min="7692" max="7692" width="14.33203125" style="427" bestFit="1" customWidth="1"/>
    <col min="7693" max="7693" width="12.33203125" style="427" bestFit="1" customWidth="1"/>
    <col min="7694" max="7694" width="14.33203125" style="427" bestFit="1" customWidth="1"/>
    <col min="7695" max="7695" width="15.5546875" style="427" bestFit="1" customWidth="1"/>
    <col min="7696" max="7696" width="8" style="427" bestFit="1" customWidth="1"/>
    <col min="7697" max="7697" width="15.5546875" style="427" bestFit="1" customWidth="1"/>
    <col min="7698" max="7698" width="10.33203125" style="427" bestFit="1" customWidth="1"/>
    <col min="7699" max="7699" width="9.109375" style="427"/>
    <col min="7700" max="7700" width="17.5546875" style="427" bestFit="1" customWidth="1"/>
    <col min="7701" max="7701" width="10.6640625" style="427" bestFit="1" customWidth="1"/>
    <col min="7702" max="7702" width="9.109375" style="427"/>
    <col min="7703" max="7703" width="15.5546875" style="427" bestFit="1" customWidth="1"/>
    <col min="7704" max="7704" width="11" style="427" bestFit="1" customWidth="1"/>
    <col min="7705" max="7705" width="8.6640625" style="427" bestFit="1" customWidth="1"/>
    <col min="7706" max="7706" width="22.109375" style="427" customWidth="1"/>
    <col min="7707" max="7707" width="8.6640625" style="427" bestFit="1" customWidth="1"/>
    <col min="7708" max="7708" width="20.44140625" style="427" customWidth="1"/>
    <col min="7709" max="7709" width="12.33203125" style="427" bestFit="1" customWidth="1"/>
    <col min="7710" max="7710" width="15.5546875" style="427" bestFit="1" customWidth="1"/>
    <col min="7711" max="7711" width="9" style="427" bestFit="1" customWidth="1"/>
    <col min="7712" max="7712" width="14.33203125" style="427" bestFit="1" customWidth="1"/>
    <col min="7713" max="7713" width="11" style="427" bestFit="1" customWidth="1"/>
    <col min="7714" max="7715" width="14.33203125" style="427" bestFit="1" customWidth="1"/>
    <col min="7716" max="7716" width="8" style="427" bestFit="1" customWidth="1"/>
    <col min="7717" max="7717" width="14.33203125" style="427" bestFit="1" customWidth="1"/>
    <col min="7718" max="7718" width="9.109375" style="427"/>
    <col min="7719" max="7719" width="18.33203125" style="427" bestFit="1" customWidth="1"/>
    <col min="7720" max="7720" width="13" style="427" bestFit="1" customWidth="1"/>
    <col min="7721" max="7721" width="18.109375" style="427" customWidth="1"/>
    <col min="7722" max="7936" width="9.109375" style="427"/>
    <col min="7937" max="7937" width="6.33203125" style="427" customWidth="1"/>
    <col min="7938" max="7938" width="67.44140625" style="427" bestFit="1" customWidth="1"/>
    <col min="7939" max="7939" width="15.5546875" style="427" bestFit="1" customWidth="1"/>
    <col min="7940" max="7940" width="11" style="427" bestFit="1" customWidth="1"/>
    <col min="7941" max="7941" width="8.6640625" style="427" bestFit="1" customWidth="1"/>
    <col min="7942" max="7942" width="20" style="427" customWidth="1"/>
    <col min="7943" max="7943" width="8.6640625" style="427" bestFit="1" customWidth="1"/>
    <col min="7944" max="7944" width="18.6640625" style="427" customWidth="1"/>
    <col min="7945" max="7945" width="12.33203125" style="427" bestFit="1" customWidth="1"/>
    <col min="7946" max="7946" width="15.5546875" style="427" bestFit="1" customWidth="1"/>
    <col min="7947" max="7947" width="9" style="427" bestFit="1" customWidth="1"/>
    <col min="7948" max="7948" width="14.33203125" style="427" bestFit="1" customWidth="1"/>
    <col min="7949" max="7949" width="12.33203125" style="427" bestFit="1" customWidth="1"/>
    <col min="7950" max="7950" width="14.33203125" style="427" bestFit="1" customWidth="1"/>
    <col min="7951" max="7951" width="15.5546875" style="427" bestFit="1" customWidth="1"/>
    <col min="7952" max="7952" width="8" style="427" bestFit="1" customWidth="1"/>
    <col min="7953" max="7953" width="15.5546875" style="427" bestFit="1" customWidth="1"/>
    <col min="7954" max="7954" width="10.33203125" style="427" bestFit="1" customWidth="1"/>
    <col min="7955" max="7955" width="9.109375" style="427"/>
    <col min="7956" max="7956" width="17.5546875" style="427" bestFit="1" customWidth="1"/>
    <col min="7957" max="7957" width="10.6640625" style="427" bestFit="1" customWidth="1"/>
    <col min="7958" max="7958" width="9.109375" style="427"/>
    <col min="7959" max="7959" width="15.5546875" style="427" bestFit="1" customWidth="1"/>
    <col min="7960" max="7960" width="11" style="427" bestFit="1" customWidth="1"/>
    <col min="7961" max="7961" width="8.6640625" style="427" bestFit="1" customWidth="1"/>
    <col min="7962" max="7962" width="22.109375" style="427" customWidth="1"/>
    <col min="7963" max="7963" width="8.6640625" style="427" bestFit="1" customWidth="1"/>
    <col min="7964" max="7964" width="20.44140625" style="427" customWidth="1"/>
    <col min="7965" max="7965" width="12.33203125" style="427" bestFit="1" customWidth="1"/>
    <col min="7966" max="7966" width="15.5546875" style="427" bestFit="1" customWidth="1"/>
    <col min="7967" max="7967" width="9" style="427" bestFit="1" customWidth="1"/>
    <col min="7968" max="7968" width="14.33203125" style="427" bestFit="1" customWidth="1"/>
    <col min="7969" max="7969" width="11" style="427" bestFit="1" customWidth="1"/>
    <col min="7970" max="7971" width="14.33203125" style="427" bestFit="1" customWidth="1"/>
    <col min="7972" max="7972" width="8" style="427" bestFit="1" customWidth="1"/>
    <col min="7973" max="7973" width="14.33203125" style="427" bestFit="1" customWidth="1"/>
    <col min="7974" max="7974" width="9.109375" style="427"/>
    <col min="7975" max="7975" width="18.33203125" style="427" bestFit="1" customWidth="1"/>
    <col min="7976" max="7976" width="13" style="427" bestFit="1" customWidth="1"/>
    <col min="7977" max="7977" width="18.109375" style="427" customWidth="1"/>
    <col min="7978" max="8192" width="9.109375" style="427"/>
    <col min="8193" max="8193" width="6.33203125" style="427" customWidth="1"/>
    <col min="8194" max="8194" width="67.44140625" style="427" bestFit="1" customWidth="1"/>
    <col min="8195" max="8195" width="15.5546875" style="427" bestFit="1" customWidth="1"/>
    <col min="8196" max="8196" width="11" style="427" bestFit="1" customWidth="1"/>
    <col min="8197" max="8197" width="8.6640625" style="427" bestFit="1" customWidth="1"/>
    <col min="8198" max="8198" width="20" style="427" customWidth="1"/>
    <col min="8199" max="8199" width="8.6640625" style="427" bestFit="1" customWidth="1"/>
    <col min="8200" max="8200" width="18.6640625" style="427" customWidth="1"/>
    <col min="8201" max="8201" width="12.33203125" style="427" bestFit="1" customWidth="1"/>
    <col min="8202" max="8202" width="15.5546875" style="427" bestFit="1" customWidth="1"/>
    <col min="8203" max="8203" width="9" style="427" bestFit="1" customWidth="1"/>
    <col min="8204" max="8204" width="14.33203125" style="427" bestFit="1" customWidth="1"/>
    <col min="8205" max="8205" width="12.33203125" style="427" bestFit="1" customWidth="1"/>
    <col min="8206" max="8206" width="14.33203125" style="427" bestFit="1" customWidth="1"/>
    <col min="8207" max="8207" width="15.5546875" style="427" bestFit="1" customWidth="1"/>
    <col min="8208" max="8208" width="8" style="427" bestFit="1" customWidth="1"/>
    <col min="8209" max="8209" width="15.5546875" style="427" bestFit="1" customWidth="1"/>
    <col min="8210" max="8210" width="10.33203125" style="427" bestFit="1" customWidth="1"/>
    <col min="8211" max="8211" width="9.109375" style="427"/>
    <col min="8212" max="8212" width="17.5546875" style="427" bestFit="1" customWidth="1"/>
    <col min="8213" max="8213" width="10.6640625" style="427" bestFit="1" customWidth="1"/>
    <col min="8214" max="8214" width="9.109375" style="427"/>
    <col min="8215" max="8215" width="15.5546875" style="427" bestFit="1" customWidth="1"/>
    <col min="8216" max="8216" width="11" style="427" bestFit="1" customWidth="1"/>
    <col min="8217" max="8217" width="8.6640625" style="427" bestFit="1" customWidth="1"/>
    <col min="8218" max="8218" width="22.109375" style="427" customWidth="1"/>
    <col min="8219" max="8219" width="8.6640625" style="427" bestFit="1" customWidth="1"/>
    <col min="8220" max="8220" width="20.44140625" style="427" customWidth="1"/>
    <col min="8221" max="8221" width="12.33203125" style="427" bestFit="1" customWidth="1"/>
    <col min="8222" max="8222" width="15.5546875" style="427" bestFit="1" customWidth="1"/>
    <col min="8223" max="8223" width="9" style="427" bestFit="1" customWidth="1"/>
    <col min="8224" max="8224" width="14.33203125" style="427" bestFit="1" customWidth="1"/>
    <col min="8225" max="8225" width="11" style="427" bestFit="1" customWidth="1"/>
    <col min="8226" max="8227" width="14.33203125" style="427" bestFit="1" customWidth="1"/>
    <col min="8228" max="8228" width="8" style="427" bestFit="1" customWidth="1"/>
    <col min="8229" max="8229" width="14.33203125" style="427" bestFit="1" customWidth="1"/>
    <col min="8230" max="8230" width="9.109375" style="427"/>
    <col min="8231" max="8231" width="18.33203125" style="427" bestFit="1" customWidth="1"/>
    <col min="8232" max="8232" width="13" style="427" bestFit="1" customWidth="1"/>
    <col min="8233" max="8233" width="18.109375" style="427" customWidth="1"/>
    <col min="8234" max="8448" width="9.109375" style="427"/>
    <col min="8449" max="8449" width="6.33203125" style="427" customWidth="1"/>
    <col min="8450" max="8450" width="67.44140625" style="427" bestFit="1" customWidth="1"/>
    <col min="8451" max="8451" width="15.5546875" style="427" bestFit="1" customWidth="1"/>
    <col min="8452" max="8452" width="11" style="427" bestFit="1" customWidth="1"/>
    <col min="8453" max="8453" width="8.6640625" style="427" bestFit="1" customWidth="1"/>
    <col min="8454" max="8454" width="20" style="427" customWidth="1"/>
    <col min="8455" max="8455" width="8.6640625" style="427" bestFit="1" customWidth="1"/>
    <col min="8456" max="8456" width="18.6640625" style="427" customWidth="1"/>
    <col min="8457" max="8457" width="12.33203125" style="427" bestFit="1" customWidth="1"/>
    <col min="8458" max="8458" width="15.5546875" style="427" bestFit="1" customWidth="1"/>
    <col min="8459" max="8459" width="9" style="427" bestFit="1" customWidth="1"/>
    <col min="8460" max="8460" width="14.33203125" style="427" bestFit="1" customWidth="1"/>
    <col min="8461" max="8461" width="12.33203125" style="427" bestFit="1" customWidth="1"/>
    <col min="8462" max="8462" width="14.33203125" style="427" bestFit="1" customWidth="1"/>
    <col min="8463" max="8463" width="15.5546875" style="427" bestFit="1" customWidth="1"/>
    <col min="8464" max="8464" width="8" style="427" bestFit="1" customWidth="1"/>
    <col min="8465" max="8465" width="15.5546875" style="427" bestFit="1" customWidth="1"/>
    <col min="8466" max="8466" width="10.33203125" style="427" bestFit="1" customWidth="1"/>
    <col min="8467" max="8467" width="9.109375" style="427"/>
    <col min="8468" max="8468" width="17.5546875" style="427" bestFit="1" customWidth="1"/>
    <col min="8469" max="8469" width="10.6640625" style="427" bestFit="1" customWidth="1"/>
    <col min="8470" max="8470" width="9.109375" style="427"/>
    <col min="8471" max="8471" width="15.5546875" style="427" bestFit="1" customWidth="1"/>
    <col min="8472" max="8472" width="11" style="427" bestFit="1" customWidth="1"/>
    <col min="8473" max="8473" width="8.6640625" style="427" bestFit="1" customWidth="1"/>
    <col min="8474" max="8474" width="22.109375" style="427" customWidth="1"/>
    <col min="8475" max="8475" width="8.6640625" style="427" bestFit="1" customWidth="1"/>
    <col min="8476" max="8476" width="20.44140625" style="427" customWidth="1"/>
    <col min="8477" max="8477" width="12.33203125" style="427" bestFit="1" customWidth="1"/>
    <col min="8478" max="8478" width="15.5546875" style="427" bestFit="1" customWidth="1"/>
    <col min="8479" max="8479" width="9" style="427" bestFit="1" customWidth="1"/>
    <col min="8480" max="8480" width="14.33203125" style="427" bestFit="1" customWidth="1"/>
    <col min="8481" max="8481" width="11" style="427" bestFit="1" customWidth="1"/>
    <col min="8482" max="8483" width="14.33203125" style="427" bestFit="1" customWidth="1"/>
    <col min="8484" max="8484" width="8" style="427" bestFit="1" customWidth="1"/>
    <col min="8485" max="8485" width="14.33203125" style="427" bestFit="1" customWidth="1"/>
    <col min="8486" max="8486" width="9.109375" style="427"/>
    <col min="8487" max="8487" width="18.33203125" style="427" bestFit="1" customWidth="1"/>
    <col min="8488" max="8488" width="13" style="427" bestFit="1" customWidth="1"/>
    <col min="8489" max="8489" width="18.109375" style="427" customWidth="1"/>
    <col min="8490" max="8704" width="9.109375" style="427"/>
    <col min="8705" max="8705" width="6.33203125" style="427" customWidth="1"/>
    <col min="8706" max="8706" width="67.44140625" style="427" bestFit="1" customWidth="1"/>
    <col min="8707" max="8707" width="15.5546875" style="427" bestFit="1" customWidth="1"/>
    <col min="8708" max="8708" width="11" style="427" bestFit="1" customWidth="1"/>
    <col min="8709" max="8709" width="8.6640625" style="427" bestFit="1" customWidth="1"/>
    <col min="8710" max="8710" width="20" style="427" customWidth="1"/>
    <col min="8711" max="8711" width="8.6640625" style="427" bestFit="1" customWidth="1"/>
    <col min="8712" max="8712" width="18.6640625" style="427" customWidth="1"/>
    <col min="8713" max="8713" width="12.33203125" style="427" bestFit="1" customWidth="1"/>
    <col min="8714" max="8714" width="15.5546875" style="427" bestFit="1" customWidth="1"/>
    <col min="8715" max="8715" width="9" style="427" bestFit="1" customWidth="1"/>
    <col min="8716" max="8716" width="14.33203125" style="427" bestFit="1" customWidth="1"/>
    <col min="8717" max="8717" width="12.33203125" style="427" bestFit="1" customWidth="1"/>
    <col min="8718" max="8718" width="14.33203125" style="427" bestFit="1" customWidth="1"/>
    <col min="8719" max="8719" width="15.5546875" style="427" bestFit="1" customWidth="1"/>
    <col min="8720" max="8720" width="8" style="427" bestFit="1" customWidth="1"/>
    <col min="8721" max="8721" width="15.5546875" style="427" bestFit="1" customWidth="1"/>
    <col min="8722" max="8722" width="10.33203125" style="427" bestFit="1" customWidth="1"/>
    <col min="8723" max="8723" width="9.109375" style="427"/>
    <col min="8724" max="8724" width="17.5546875" style="427" bestFit="1" customWidth="1"/>
    <col min="8725" max="8725" width="10.6640625" style="427" bestFit="1" customWidth="1"/>
    <col min="8726" max="8726" width="9.109375" style="427"/>
    <col min="8727" max="8727" width="15.5546875" style="427" bestFit="1" customWidth="1"/>
    <col min="8728" max="8728" width="11" style="427" bestFit="1" customWidth="1"/>
    <col min="8729" max="8729" width="8.6640625" style="427" bestFit="1" customWidth="1"/>
    <col min="8730" max="8730" width="22.109375" style="427" customWidth="1"/>
    <col min="8731" max="8731" width="8.6640625" style="427" bestFit="1" customWidth="1"/>
    <col min="8732" max="8732" width="20.44140625" style="427" customWidth="1"/>
    <col min="8733" max="8733" width="12.33203125" style="427" bestFit="1" customWidth="1"/>
    <col min="8734" max="8734" width="15.5546875" style="427" bestFit="1" customWidth="1"/>
    <col min="8735" max="8735" width="9" style="427" bestFit="1" customWidth="1"/>
    <col min="8736" max="8736" width="14.33203125" style="427" bestFit="1" customWidth="1"/>
    <col min="8737" max="8737" width="11" style="427" bestFit="1" customWidth="1"/>
    <col min="8738" max="8739" width="14.33203125" style="427" bestFit="1" customWidth="1"/>
    <col min="8740" max="8740" width="8" style="427" bestFit="1" customWidth="1"/>
    <col min="8741" max="8741" width="14.33203125" style="427" bestFit="1" customWidth="1"/>
    <col min="8742" max="8742" width="9.109375" style="427"/>
    <col min="8743" max="8743" width="18.33203125" style="427" bestFit="1" customWidth="1"/>
    <col min="8744" max="8744" width="13" style="427" bestFit="1" customWidth="1"/>
    <col min="8745" max="8745" width="18.109375" style="427" customWidth="1"/>
    <col min="8746" max="8960" width="9.109375" style="427"/>
    <col min="8961" max="8961" width="6.33203125" style="427" customWidth="1"/>
    <col min="8962" max="8962" width="67.44140625" style="427" bestFit="1" customWidth="1"/>
    <col min="8963" max="8963" width="15.5546875" style="427" bestFit="1" customWidth="1"/>
    <col min="8964" max="8964" width="11" style="427" bestFit="1" customWidth="1"/>
    <col min="8965" max="8965" width="8.6640625" style="427" bestFit="1" customWidth="1"/>
    <col min="8966" max="8966" width="20" style="427" customWidth="1"/>
    <col min="8967" max="8967" width="8.6640625" style="427" bestFit="1" customWidth="1"/>
    <col min="8968" max="8968" width="18.6640625" style="427" customWidth="1"/>
    <col min="8969" max="8969" width="12.33203125" style="427" bestFit="1" customWidth="1"/>
    <col min="8970" max="8970" width="15.5546875" style="427" bestFit="1" customWidth="1"/>
    <col min="8971" max="8971" width="9" style="427" bestFit="1" customWidth="1"/>
    <col min="8972" max="8972" width="14.33203125" style="427" bestFit="1" customWidth="1"/>
    <col min="8973" max="8973" width="12.33203125" style="427" bestFit="1" customWidth="1"/>
    <col min="8974" max="8974" width="14.33203125" style="427" bestFit="1" customWidth="1"/>
    <col min="8975" max="8975" width="15.5546875" style="427" bestFit="1" customWidth="1"/>
    <col min="8976" max="8976" width="8" style="427" bestFit="1" customWidth="1"/>
    <col min="8977" max="8977" width="15.5546875" style="427" bestFit="1" customWidth="1"/>
    <col min="8978" max="8978" width="10.33203125" style="427" bestFit="1" customWidth="1"/>
    <col min="8979" max="8979" width="9.109375" style="427"/>
    <col min="8980" max="8980" width="17.5546875" style="427" bestFit="1" customWidth="1"/>
    <col min="8981" max="8981" width="10.6640625" style="427" bestFit="1" customWidth="1"/>
    <col min="8982" max="8982" width="9.109375" style="427"/>
    <col min="8983" max="8983" width="15.5546875" style="427" bestFit="1" customWidth="1"/>
    <col min="8984" max="8984" width="11" style="427" bestFit="1" customWidth="1"/>
    <col min="8985" max="8985" width="8.6640625" style="427" bestFit="1" customWidth="1"/>
    <col min="8986" max="8986" width="22.109375" style="427" customWidth="1"/>
    <col min="8987" max="8987" width="8.6640625" style="427" bestFit="1" customWidth="1"/>
    <col min="8988" max="8988" width="20.44140625" style="427" customWidth="1"/>
    <col min="8989" max="8989" width="12.33203125" style="427" bestFit="1" customWidth="1"/>
    <col min="8990" max="8990" width="15.5546875" style="427" bestFit="1" customWidth="1"/>
    <col min="8991" max="8991" width="9" style="427" bestFit="1" customWidth="1"/>
    <col min="8992" max="8992" width="14.33203125" style="427" bestFit="1" customWidth="1"/>
    <col min="8993" max="8993" width="11" style="427" bestFit="1" customWidth="1"/>
    <col min="8994" max="8995" width="14.33203125" style="427" bestFit="1" customWidth="1"/>
    <col min="8996" max="8996" width="8" style="427" bestFit="1" customWidth="1"/>
    <col min="8997" max="8997" width="14.33203125" style="427" bestFit="1" customWidth="1"/>
    <col min="8998" max="8998" width="9.109375" style="427"/>
    <col min="8999" max="8999" width="18.33203125" style="427" bestFit="1" customWidth="1"/>
    <col min="9000" max="9000" width="13" style="427" bestFit="1" customWidth="1"/>
    <col min="9001" max="9001" width="18.109375" style="427" customWidth="1"/>
    <col min="9002" max="9216" width="9.109375" style="427"/>
    <col min="9217" max="9217" width="6.33203125" style="427" customWidth="1"/>
    <col min="9218" max="9218" width="67.44140625" style="427" bestFit="1" customWidth="1"/>
    <col min="9219" max="9219" width="15.5546875" style="427" bestFit="1" customWidth="1"/>
    <col min="9220" max="9220" width="11" style="427" bestFit="1" customWidth="1"/>
    <col min="9221" max="9221" width="8.6640625" style="427" bestFit="1" customWidth="1"/>
    <col min="9222" max="9222" width="20" style="427" customWidth="1"/>
    <col min="9223" max="9223" width="8.6640625" style="427" bestFit="1" customWidth="1"/>
    <col min="9224" max="9224" width="18.6640625" style="427" customWidth="1"/>
    <col min="9225" max="9225" width="12.33203125" style="427" bestFit="1" customWidth="1"/>
    <col min="9226" max="9226" width="15.5546875" style="427" bestFit="1" customWidth="1"/>
    <col min="9227" max="9227" width="9" style="427" bestFit="1" customWidth="1"/>
    <col min="9228" max="9228" width="14.33203125" style="427" bestFit="1" customWidth="1"/>
    <col min="9229" max="9229" width="12.33203125" style="427" bestFit="1" customWidth="1"/>
    <col min="9230" max="9230" width="14.33203125" style="427" bestFit="1" customWidth="1"/>
    <col min="9231" max="9231" width="15.5546875" style="427" bestFit="1" customWidth="1"/>
    <col min="9232" max="9232" width="8" style="427" bestFit="1" customWidth="1"/>
    <col min="9233" max="9233" width="15.5546875" style="427" bestFit="1" customWidth="1"/>
    <col min="9234" max="9234" width="10.33203125" style="427" bestFit="1" customWidth="1"/>
    <col min="9235" max="9235" width="9.109375" style="427"/>
    <col min="9236" max="9236" width="17.5546875" style="427" bestFit="1" customWidth="1"/>
    <col min="9237" max="9237" width="10.6640625" style="427" bestFit="1" customWidth="1"/>
    <col min="9238" max="9238" width="9.109375" style="427"/>
    <col min="9239" max="9239" width="15.5546875" style="427" bestFit="1" customWidth="1"/>
    <col min="9240" max="9240" width="11" style="427" bestFit="1" customWidth="1"/>
    <col min="9241" max="9241" width="8.6640625" style="427" bestFit="1" customWidth="1"/>
    <col min="9242" max="9242" width="22.109375" style="427" customWidth="1"/>
    <col min="9243" max="9243" width="8.6640625" style="427" bestFit="1" customWidth="1"/>
    <col min="9244" max="9244" width="20.44140625" style="427" customWidth="1"/>
    <col min="9245" max="9245" width="12.33203125" style="427" bestFit="1" customWidth="1"/>
    <col min="9246" max="9246" width="15.5546875" style="427" bestFit="1" customWidth="1"/>
    <col min="9247" max="9247" width="9" style="427" bestFit="1" customWidth="1"/>
    <col min="9248" max="9248" width="14.33203125" style="427" bestFit="1" customWidth="1"/>
    <col min="9249" max="9249" width="11" style="427" bestFit="1" customWidth="1"/>
    <col min="9250" max="9251" width="14.33203125" style="427" bestFit="1" customWidth="1"/>
    <col min="9252" max="9252" width="8" style="427" bestFit="1" customWidth="1"/>
    <col min="9253" max="9253" width="14.33203125" style="427" bestFit="1" customWidth="1"/>
    <col min="9254" max="9254" width="9.109375" style="427"/>
    <col min="9255" max="9255" width="18.33203125" style="427" bestFit="1" customWidth="1"/>
    <col min="9256" max="9256" width="13" style="427" bestFit="1" customWidth="1"/>
    <col min="9257" max="9257" width="18.109375" style="427" customWidth="1"/>
    <col min="9258" max="9472" width="9.109375" style="427"/>
    <col min="9473" max="9473" width="6.33203125" style="427" customWidth="1"/>
    <col min="9474" max="9474" width="67.44140625" style="427" bestFit="1" customWidth="1"/>
    <col min="9475" max="9475" width="15.5546875" style="427" bestFit="1" customWidth="1"/>
    <col min="9476" max="9476" width="11" style="427" bestFit="1" customWidth="1"/>
    <col min="9477" max="9477" width="8.6640625" style="427" bestFit="1" customWidth="1"/>
    <col min="9478" max="9478" width="20" style="427" customWidth="1"/>
    <col min="9479" max="9479" width="8.6640625" style="427" bestFit="1" customWidth="1"/>
    <col min="9480" max="9480" width="18.6640625" style="427" customWidth="1"/>
    <col min="9481" max="9481" width="12.33203125" style="427" bestFit="1" customWidth="1"/>
    <col min="9482" max="9482" width="15.5546875" style="427" bestFit="1" customWidth="1"/>
    <col min="9483" max="9483" width="9" style="427" bestFit="1" customWidth="1"/>
    <col min="9484" max="9484" width="14.33203125" style="427" bestFit="1" customWidth="1"/>
    <col min="9485" max="9485" width="12.33203125" style="427" bestFit="1" customWidth="1"/>
    <col min="9486" max="9486" width="14.33203125" style="427" bestFit="1" customWidth="1"/>
    <col min="9487" max="9487" width="15.5546875" style="427" bestFit="1" customWidth="1"/>
    <col min="9488" max="9488" width="8" style="427" bestFit="1" customWidth="1"/>
    <col min="9489" max="9489" width="15.5546875" style="427" bestFit="1" customWidth="1"/>
    <col min="9490" max="9490" width="10.33203125" style="427" bestFit="1" customWidth="1"/>
    <col min="9491" max="9491" width="9.109375" style="427"/>
    <col min="9492" max="9492" width="17.5546875" style="427" bestFit="1" customWidth="1"/>
    <col min="9493" max="9493" width="10.6640625" style="427" bestFit="1" customWidth="1"/>
    <col min="9494" max="9494" width="9.109375" style="427"/>
    <col min="9495" max="9495" width="15.5546875" style="427" bestFit="1" customWidth="1"/>
    <col min="9496" max="9496" width="11" style="427" bestFit="1" customWidth="1"/>
    <col min="9497" max="9497" width="8.6640625" style="427" bestFit="1" customWidth="1"/>
    <col min="9498" max="9498" width="22.109375" style="427" customWidth="1"/>
    <col min="9499" max="9499" width="8.6640625" style="427" bestFit="1" customWidth="1"/>
    <col min="9500" max="9500" width="20.44140625" style="427" customWidth="1"/>
    <col min="9501" max="9501" width="12.33203125" style="427" bestFit="1" customWidth="1"/>
    <col min="9502" max="9502" width="15.5546875" style="427" bestFit="1" customWidth="1"/>
    <col min="9503" max="9503" width="9" style="427" bestFit="1" customWidth="1"/>
    <col min="9504" max="9504" width="14.33203125" style="427" bestFit="1" customWidth="1"/>
    <col min="9505" max="9505" width="11" style="427" bestFit="1" customWidth="1"/>
    <col min="9506" max="9507" width="14.33203125" style="427" bestFit="1" customWidth="1"/>
    <col min="9508" max="9508" width="8" style="427" bestFit="1" customWidth="1"/>
    <col min="9509" max="9509" width="14.33203125" style="427" bestFit="1" customWidth="1"/>
    <col min="9510" max="9510" width="9.109375" style="427"/>
    <col min="9511" max="9511" width="18.33203125" style="427" bestFit="1" customWidth="1"/>
    <col min="9512" max="9512" width="13" style="427" bestFit="1" customWidth="1"/>
    <col min="9513" max="9513" width="18.109375" style="427" customWidth="1"/>
    <col min="9514" max="9728" width="9.109375" style="427"/>
    <col min="9729" max="9729" width="6.33203125" style="427" customWidth="1"/>
    <col min="9730" max="9730" width="67.44140625" style="427" bestFit="1" customWidth="1"/>
    <col min="9731" max="9731" width="15.5546875" style="427" bestFit="1" customWidth="1"/>
    <col min="9732" max="9732" width="11" style="427" bestFit="1" customWidth="1"/>
    <col min="9733" max="9733" width="8.6640625" style="427" bestFit="1" customWidth="1"/>
    <col min="9734" max="9734" width="20" style="427" customWidth="1"/>
    <col min="9735" max="9735" width="8.6640625" style="427" bestFit="1" customWidth="1"/>
    <col min="9736" max="9736" width="18.6640625" style="427" customWidth="1"/>
    <col min="9737" max="9737" width="12.33203125" style="427" bestFit="1" customWidth="1"/>
    <col min="9738" max="9738" width="15.5546875" style="427" bestFit="1" customWidth="1"/>
    <col min="9739" max="9739" width="9" style="427" bestFit="1" customWidth="1"/>
    <col min="9740" max="9740" width="14.33203125" style="427" bestFit="1" customWidth="1"/>
    <col min="9741" max="9741" width="12.33203125" style="427" bestFit="1" customWidth="1"/>
    <col min="9742" max="9742" width="14.33203125" style="427" bestFit="1" customWidth="1"/>
    <col min="9743" max="9743" width="15.5546875" style="427" bestFit="1" customWidth="1"/>
    <col min="9744" max="9744" width="8" style="427" bestFit="1" customWidth="1"/>
    <col min="9745" max="9745" width="15.5546875" style="427" bestFit="1" customWidth="1"/>
    <col min="9746" max="9746" width="10.33203125" style="427" bestFit="1" customWidth="1"/>
    <col min="9747" max="9747" width="9.109375" style="427"/>
    <col min="9748" max="9748" width="17.5546875" style="427" bestFit="1" customWidth="1"/>
    <col min="9749" max="9749" width="10.6640625" style="427" bestFit="1" customWidth="1"/>
    <col min="9750" max="9750" width="9.109375" style="427"/>
    <col min="9751" max="9751" width="15.5546875" style="427" bestFit="1" customWidth="1"/>
    <col min="9752" max="9752" width="11" style="427" bestFit="1" customWidth="1"/>
    <col min="9753" max="9753" width="8.6640625" style="427" bestFit="1" customWidth="1"/>
    <col min="9754" max="9754" width="22.109375" style="427" customWidth="1"/>
    <col min="9755" max="9755" width="8.6640625" style="427" bestFit="1" customWidth="1"/>
    <col min="9756" max="9756" width="20.44140625" style="427" customWidth="1"/>
    <col min="9757" max="9757" width="12.33203125" style="427" bestFit="1" customWidth="1"/>
    <col min="9758" max="9758" width="15.5546875" style="427" bestFit="1" customWidth="1"/>
    <col min="9759" max="9759" width="9" style="427" bestFit="1" customWidth="1"/>
    <col min="9760" max="9760" width="14.33203125" style="427" bestFit="1" customWidth="1"/>
    <col min="9761" max="9761" width="11" style="427" bestFit="1" customWidth="1"/>
    <col min="9762" max="9763" width="14.33203125" style="427" bestFit="1" customWidth="1"/>
    <col min="9764" max="9764" width="8" style="427" bestFit="1" customWidth="1"/>
    <col min="9765" max="9765" width="14.33203125" style="427" bestFit="1" customWidth="1"/>
    <col min="9766" max="9766" width="9.109375" style="427"/>
    <col min="9767" max="9767" width="18.33203125" style="427" bestFit="1" customWidth="1"/>
    <col min="9768" max="9768" width="13" style="427" bestFit="1" customWidth="1"/>
    <col min="9769" max="9769" width="18.109375" style="427" customWidth="1"/>
    <col min="9770" max="9984" width="9.109375" style="427"/>
    <col min="9985" max="9985" width="6.33203125" style="427" customWidth="1"/>
    <col min="9986" max="9986" width="67.44140625" style="427" bestFit="1" customWidth="1"/>
    <col min="9987" max="9987" width="15.5546875" style="427" bestFit="1" customWidth="1"/>
    <col min="9988" max="9988" width="11" style="427" bestFit="1" customWidth="1"/>
    <col min="9989" max="9989" width="8.6640625" style="427" bestFit="1" customWidth="1"/>
    <col min="9990" max="9990" width="20" style="427" customWidth="1"/>
    <col min="9991" max="9991" width="8.6640625" style="427" bestFit="1" customWidth="1"/>
    <col min="9992" max="9992" width="18.6640625" style="427" customWidth="1"/>
    <col min="9993" max="9993" width="12.33203125" style="427" bestFit="1" customWidth="1"/>
    <col min="9994" max="9994" width="15.5546875" style="427" bestFit="1" customWidth="1"/>
    <col min="9995" max="9995" width="9" style="427" bestFit="1" customWidth="1"/>
    <col min="9996" max="9996" width="14.33203125" style="427" bestFit="1" customWidth="1"/>
    <col min="9997" max="9997" width="12.33203125" style="427" bestFit="1" customWidth="1"/>
    <col min="9998" max="9998" width="14.33203125" style="427" bestFit="1" customWidth="1"/>
    <col min="9999" max="9999" width="15.5546875" style="427" bestFit="1" customWidth="1"/>
    <col min="10000" max="10000" width="8" style="427" bestFit="1" customWidth="1"/>
    <col min="10001" max="10001" width="15.5546875" style="427" bestFit="1" customWidth="1"/>
    <col min="10002" max="10002" width="10.33203125" style="427" bestFit="1" customWidth="1"/>
    <col min="10003" max="10003" width="9.109375" style="427"/>
    <col min="10004" max="10004" width="17.5546875" style="427" bestFit="1" customWidth="1"/>
    <col min="10005" max="10005" width="10.6640625" style="427" bestFit="1" customWidth="1"/>
    <col min="10006" max="10006" width="9.109375" style="427"/>
    <col min="10007" max="10007" width="15.5546875" style="427" bestFit="1" customWidth="1"/>
    <col min="10008" max="10008" width="11" style="427" bestFit="1" customWidth="1"/>
    <col min="10009" max="10009" width="8.6640625" style="427" bestFit="1" customWidth="1"/>
    <col min="10010" max="10010" width="22.109375" style="427" customWidth="1"/>
    <col min="10011" max="10011" width="8.6640625" style="427" bestFit="1" customWidth="1"/>
    <col min="10012" max="10012" width="20.44140625" style="427" customWidth="1"/>
    <col min="10013" max="10013" width="12.33203125" style="427" bestFit="1" customWidth="1"/>
    <col min="10014" max="10014" width="15.5546875" style="427" bestFit="1" customWidth="1"/>
    <col min="10015" max="10015" width="9" style="427" bestFit="1" customWidth="1"/>
    <col min="10016" max="10016" width="14.33203125" style="427" bestFit="1" customWidth="1"/>
    <col min="10017" max="10017" width="11" style="427" bestFit="1" customWidth="1"/>
    <col min="10018" max="10019" width="14.33203125" style="427" bestFit="1" customWidth="1"/>
    <col min="10020" max="10020" width="8" style="427" bestFit="1" customWidth="1"/>
    <col min="10021" max="10021" width="14.33203125" style="427" bestFit="1" customWidth="1"/>
    <col min="10022" max="10022" width="9.109375" style="427"/>
    <col min="10023" max="10023" width="18.33203125" style="427" bestFit="1" customWidth="1"/>
    <col min="10024" max="10024" width="13" style="427" bestFit="1" customWidth="1"/>
    <col min="10025" max="10025" width="18.109375" style="427" customWidth="1"/>
    <col min="10026" max="10240" width="9.109375" style="427"/>
    <col min="10241" max="10241" width="6.33203125" style="427" customWidth="1"/>
    <col min="10242" max="10242" width="67.44140625" style="427" bestFit="1" customWidth="1"/>
    <col min="10243" max="10243" width="15.5546875" style="427" bestFit="1" customWidth="1"/>
    <col min="10244" max="10244" width="11" style="427" bestFit="1" customWidth="1"/>
    <col min="10245" max="10245" width="8.6640625" style="427" bestFit="1" customWidth="1"/>
    <col min="10246" max="10246" width="20" style="427" customWidth="1"/>
    <col min="10247" max="10247" width="8.6640625" style="427" bestFit="1" customWidth="1"/>
    <col min="10248" max="10248" width="18.6640625" style="427" customWidth="1"/>
    <col min="10249" max="10249" width="12.33203125" style="427" bestFit="1" customWidth="1"/>
    <col min="10250" max="10250" width="15.5546875" style="427" bestFit="1" customWidth="1"/>
    <col min="10251" max="10251" width="9" style="427" bestFit="1" customWidth="1"/>
    <col min="10252" max="10252" width="14.33203125" style="427" bestFit="1" customWidth="1"/>
    <col min="10253" max="10253" width="12.33203125" style="427" bestFit="1" customWidth="1"/>
    <col min="10254" max="10254" width="14.33203125" style="427" bestFit="1" customWidth="1"/>
    <col min="10255" max="10255" width="15.5546875" style="427" bestFit="1" customWidth="1"/>
    <col min="10256" max="10256" width="8" style="427" bestFit="1" customWidth="1"/>
    <col min="10257" max="10257" width="15.5546875" style="427" bestFit="1" customWidth="1"/>
    <col min="10258" max="10258" width="10.33203125" style="427" bestFit="1" customWidth="1"/>
    <col min="10259" max="10259" width="9.109375" style="427"/>
    <col min="10260" max="10260" width="17.5546875" style="427" bestFit="1" customWidth="1"/>
    <col min="10261" max="10261" width="10.6640625" style="427" bestFit="1" customWidth="1"/>
    <col min="10262" max="10262" width="9.109375" style="427"/>
    <col min="10263" max="10263" width="15.5546875" style="427" bestFit="1" customWidth="1"/>
    <col min="10264" max="10264" width="11" style="427" bestFit="1" customWidth="1"/>
    <col min="10265" max="10265" width="8.6640625" style="427" bestFit="1" customWidth="1"/>
    <col min="10266" max="10266" width="22.109375" style="427" customWidth="1"/>
    <col min="10267" max="10267" width="8.6640625" style="427" bestFit="1" customWidth="1"/>
    <col min="10268" max="10268" width="20.44140625" style="427" customWidth="1"/>
    <col min="10269" max="10269" width="12.33203125" style="427" bestFit="1" customWidth="1"/>
    <col min="10270" max="10270" width="15.5546875" style="427" bestFit="1" customWidth="1"/>
    <col min="10271" max="10271" width="9" style="427" bestFit="1" customWidth="1"/>
    <col min="10272" max="10272" width="14.33203125" style="427" bestFit="1" customWidth="1"/>
    <col min="10273" max="10273" width="11" style="427" bestFit="1" customWidth="1"/>
    <col min="10274" max="10275" width="14.33203125" style="427" bestFit="1" customWidth="1"/>
    <col min="10276" max="10276" width="8" style="427" bestFit="1" customWidth="1"/>
    <col min="10277" max="10277" width="14.33203125" style="427" bestFit="1" customWidth="1"/>
    <col min="10278" max="10278" width="9.109375" style="427"/>
    <col min="10279" max="10279" width="18.33203125" style="427" bestFit="1" customWidth="1"/>
    <col min="10280" max="10280" width="13" style="427" bestFit="1" customWidth="1"/>
    <col min="10281" max="10281" width="18.109375" style="427" customWidth="1"/>
    <col min="10282" max="10496" width="9.109375" style="427"/>
    <col min="10497" max="10497" width="6.33203125" style="427" customWidth="1"/>
    <col min="10498" max="10498" width="67.44140625" style="427" bestFit="1" customWidth="1"/>
    <col min="10499" max="10499" width="15.5546875" style="427" bestFit="1" customWidth="1"/>
    <col min="10500" max="10500" width="11" style="427" bestFit="1" customWidth="1"/>
    <col min="10501" max="10501" width="8.6640625" style="427" bestFit="1" customWidth="1"/>
    <col min="10502" max="10502" width="20" style="427" customWidth="1"/>
    <col min="10503" max="10503" width="8.6640625" style="427" bestFit="1" customWidth="1"/>
    <col min="10504" max="10504" width="18.6640625" style="427" customWidth="1"/>
    <col min="10505" max="10505" width="12.33203125" style="427" bestFit="1" customWidth="1"/>
    <col min="10506" max="10506" width="15.5546875" style="427" bestFit="1" customWidth="1"/>
    <col min="10507" max="10507" width="9" style="427" bestFit="1" customWidth="1"/>
    <col min="10508" max="10508" width="14.33203125" style="427" bestFit="1" customWidth="1"/>
    <col min="10509" max="10509" width="12.33203125" style="427" bestFit="1" customWidth="1"/>
    <col min="10510" max="10510" width="14.33203125" style="427" bestFit="1" customWidth="1"/>
    <col min="10511" max="10511" width="15.5546875" style="427" bestFit="1" customWidth="1"/>
    <col min="10512" max="10512" width="8" style="427" bestFit="1" customWidth="1"/>
    <col min="10513" max="10513" width="15.5546875" style="427" bestFit="1" customWidth="1"/>
    <col min="10514" max="10514" width="10.33203125" style="427" bestFit="1" customWidth="1"/>
    <col min="10515" max="10515" width="9.109375" style="427"/>
    <col min="10516" max="10516" width="17.5546875" style="427" bestFit="1" customWidth="1"/>
    <col min="10517" max="10517" width="10.6640625" style="427" bestFit="1" customWidth="1"/>
    <col min="10518" max="10518" width="9.109375" style="427"/>
    <col min="10519" max="10519" width="15.5546875" style="427" bestFit="1" customWidth="1"/>
    <col min="10520" max="10520" width="11" style="427" bestFit="1" customWidth="1"/>
    <col min="10521" max="10521" width="8.6640625" style="427" bestFit="1" customWidth="1"/>
    <col min="10522" max="10522" width="22.109375" style="427" customWidth="1"/>
    <col min="10523" max="10523" width="8.6640625" style="427" bestFit="1" customWidth="1"/>
    <col min="10524" max="10524" width="20.44140625" style="427" customWidth="1"/>
    <col min="10525" max="10525" width="12.33203125" style="427" bestFit="1" customWidth="1"/>
    <col min="10526" max="10526" width="15.5546875" style="427" bestFit="1" customWidth="1"/>
    <col min="10527" max="10527" width="9" style="427" bestFit="1" customWidth="1"/>
    <col min="10528" max="10528" width="14.33203125" style="427" bestFit="1" customWidth="1"/>
    <col min="10529" max="10529" width="11" style="427" bestFit="1" customWidth="1"/>
    <col min="10530" max="10531" width="14.33203125" style="427" bestFit="1" customWidth="1"/>
    <col min="10532" max="10532" width="8" style="427" bestFit="1" customWidth="1"/>
    <col min="10533" max="10533" width="14.33203125" style="427" bestFit="1" customWidth="1"/>
    <col min="10534" max="10534" width="9.109375" style="427"/>
    <col min="10535" max="10535" width="18.33203125" style="427" bestFit="1" customWidth="1"/>
    <col min="10536" max="10536" width="13" style="427" bestFit="1" customWidth="1"/>
    <col min="10537" max="10537" width="18.109375" style="427" customWidth="1"/>
    <col min="10538" max="10752" width="9.109375" style="427"/>
    <col min="10753" max="10753" width="6.33203125" style="427" customWidth="1"/>
    <col min="10754" max="10754" width="67.44140625" style="427" bestFit="1" customWidth="1"/>
    <col min="10755" max="10755" width="15.5546875" style="427" bestFit="1" customWidth="1"/>
    <col min="10756" max="10756" width="11" style="427" bestFit="1" customWidth="1"/>
    <col min="10757" max="10757" width="8.6640625" style="427" bestFit="1" customWidth="1"/>
    <col min="10758" max="10758" width="20" style="427" customWidth="1"/>
    <col min="10759" max="10759" width="8.6640625" style="427" bestFit="1" customWidth="1"/>
    <col min="10760" max="10760" width="18.6640625" style="427" customWidth="1"/>
    <col min="10761" max="10761" width="12.33203125" style="427" bestFit="1" customWidth="1"/>
    <col min="10762" max="10762" width="15.5546875" style="427" bestFit="1" customWidth="1"/>
    <col min="10763" max="10763" width="9" style="427" bestFit="1" customWidth="1"/>
    <col min="10764" max="10764" width="14.33203125" style="427" bestFit="1" customWidth="1"/>
    <col min="10765" max="10765" width="12.33203125" style="427" bestFit="1" customWidth="1"/>
    <col min="10766" max="10766" width="14.33203125" style="427" bestFit="1" customWidth="1"/>
    <col min="10767" max="10767" width="15.5546875" style="427" bestFit="1" customWidth="1"/>
    <col min="10768" max="10768" width="8" style="427" bestFit="1" customWidth="1"/>
    <col min="10769" max="10769" width="15.5546875" style="427" bestFit="1" customWidth="1"/>
    <col min="10770" max="10770" width="10.33203125" style="427" bestFit="1" customWidth="1"/>
    <col min="10771" max="10771" width="9.109375" style="427"/>
    <col min="10772" max="10772" width="17.5546875" style="427" bestFit="1" customWidth="1"/>
    <col min="10773" max="10773" width="10.6640625" style="427" bestFit="1" customWidth="1"/>
    <col min="10774" max="10774" width="9.109375" style="427"/>
    <col min="10775" max="10775" width="15.5546875" style="427" bestFit="1" customWidth="1"/>
    <col min="10776" max="10776" width="11" style="427" bestFit="1" customWidth="1"/>
    <col min="10777" max="10777" width="8.6640625" style="427" bestFit="1" customWidth="1"/>
    <col min="10778" max="10778" width="22.109375" style="427" customWidth="1"/>
    <col min="10779" max="10779" width="8.6640625" style="427" bestFit="1" customWidth="1"/>
    <col min="10780" max="10780" width="20.44140625" style="427" customWidth="1"/>
    <col min="10781" max="10781" width="12.33203125" style="427" bestFit="1" customWidth="1"/>
    <col min="10782" max="10782" width="15.5546875" style="427" bestFit="1" customWidth="1"/>
    <col min="10783" max="10783" width="9" style="427" bestFit="1" customWidth="1"/>
    <col min="10784" max="10784" width="14.33203125" style="427" bestFit="1" customWidth="1"/>
    <col min="10785" max="10785" width="11" style="427" bestFit="1" customWidth="1"/>
    <col min="10786" max="10787" width="14.33203125" style="427" bestFit="1" customWidth="1"/>
    <col min="10788" max="10788" width="8" style="427" bestFit="1" customWidth="1"/>
    <col min="10789" max="10789" width="14.33203125" style="427" bestFit="1" customWidth="1"/>
    <col min="10790" max="10790" width="9.109375" style="427"/>
    <col min="10791" max="10791" width="18.33203125" style="427" bestFit="1" customWidth="1"/>
    <col min="10792" max="10792" width="13" style="427" bestFit="1" customWidth="1"/>
    <col min="10793" max="10793" width="18.109375" style="427" customWidth="1"/>
    <col min="10794" max="11008" width="9.109375" style="427"/>
    <col min="11009" max="11009" width="6.33203125" style="427" customWidth="1"/>
    <col min="11010" max="11010" width="67.44140625" style="427" bestFit="1" customWidth="1"/>
    <col min="11011" max="11011" width="15.5546875" style="427" bestFit="1" customWidth="1"/>
    <col min="11012" max="11012" width="11" style="427" bestFit="1" customWidth="1"/>
    <col min="11013" max="11013" width="8.6640625" style="427" bestFit="1" customWidth="1"/>
    <col min="11014" max="11014" width="20" style="427" customWidth="1"/>
    <col min="11015" max="11015" width="8.6640625" style="427" bestFit="1" customWidth="1"/>
    <col min="11016" max="11016" width="18.6640625" style="427" customWidth="1"/>
    <col min="11017" max="11017" width="12.33203125" style="427" bestFit="1" customWidth="1"/>
    <col min="11018" max="11018" width="15.5546875" style="427" bestFit="1" customWidth="1"/>
    <col min="11019" max="11019" width="9" style="427" bestFit="1" customWidth="1"/>
    <col min="11020" max="11020" width="14.33203125" style="427" bestFit="1" customWidth="1"/>
    <col min="11021" max="11021" width="12.33203125" style="427" bestFit="1" customWidth="1"/>
    <col min="11022" max="11022" width="14.33203125" style="427" bestFit="1" customWidth="1"/>
    <col min="11023" max="11023" width="15.5546875" style="427" bestFit="1" customWidth="1"/>
    <col min="11024" max="11024" width="8" style="427" bestFit="1" customWidth="1"/>
    <col min="11025" max="11025" width="15.5546875" style="427" bestFit="1" customWidth="1"/>
    <col min="11026" max="11026" width="10.33203125" style="427" bestFit="1" customWidth="1"/>
    <col min="11027" max="11027" width="9.109375" style="427"/>
    <col min="11028" max="11028" width="17.5546875" style="427" bestFit="1" customWidth="1"/>
    <col min="11029" max="11029" width="10.6640625" style="427" bestFit="1" customWidth="1"/>
    <col min="11030" max="11030" width="9.109375" style="427"/>
    <col min="11031" max="11031" width="15.5546875" style="427" bestFit="1" customWidth="1"/>
    <col min="11032" max="11032" width="11" style="427" bestFit="1" customWidth="1"/>
    <col min="11033" max="11033" width="8.6640625" style="427" bestFit="1" customWidth="1"/>
    <col min="11034" max="11034" width="22.109375" style="427" customWidth="1"/>
    <col min="11035" max="11035" width="8.6640625" style="427" bestFit="1" customWidth="1"/>
    <col min="11036" max="11036" width="20.44140625" style="427" customWidth="1"/>
    <col min="11037" max="11037" width="12.33203125" style="427" bestFit="1" customWidth="1"/>
    <col min="11038" max="11038" width="15.5546875" style="427" bestFit="1" customWidth="1"/>
    <col min="11039" max="11039" width="9" style="427" bestFit="1" customWidth="1"/>
    <col min="11040" max="11040" width="14.33203125" style="427" bestFit="1" customWidth="1"/>
    <col min="11041" max="11041" width="11" style="427" bestFit="1" customWidth="1"/>
    <col min="11042" max="11043" width="14.33203125" style="427" bestFit="1" customWidth="1"/>
    <col min="11044" max="11044" width="8" style="427" bestFit="1" customWidth="1"/>
    <col min="11045" max="11045" width="14.33203125" style="427" bestFit="1" customWidth="1"/>
    <col min="11046" max="11046" width="9.109375" style="427"/>
    <col min="11047" max="11047" width="18.33203125" style="427" bestFit="1" customWidth="1"/>
    <col min="11048" max="11048" width="13" style="427" bestFit="1" customWidth="1"/>
    <col min="11049" max="11049" width="18.109375" style="427" customWidth="1"/>
    <col min="11050" max="11264" width="9.109375" style="427"/>
    <col min="11265" max="11265" width="6.33203125" style="427" customWidth="1"/>
    <col min="11266" max="11266" width="67.44140625" style="427" bestFit="1" customWidth="1"/>
    <col min="11267" max="11267" width="15.5546875" style="427" bestFit="1" customWidth="1"/>
    <col min="11268" max="11268" width="11" style="427" bestFit="1" customWidth="1"/>
    <col min="11269" max="11269" width="8.6640625" style="427" bestFit="1" customWidth="1"/>
    <col min="11270" max="11270" width="20" style="427" customWidth="1"/>
    <col min="11271" max="11271" width="8.6640625" style="427" bestFit="1" customWidth="1"/>
    <col min="11272" max="11272" width="18.6640625" style="427" customWidth="1"/>
    <col min="11273" max="11273" width="12.33203125" style="427" bestFit="1" customWidth="1"/>
    <col min="11274" max="11274" width="15.5546875" style="427" bestFit="1" customWidth="1"/>
    <col min="11275" max="11275" width="9" style="427" bestFit="1" customWidth="1"/>
    <col min="11276" max="11276" width="14.33203125" style="427" bestFit="1" customWidth="1"/>
    <col min="11277" max="11277" width="12.33203125" style="427" bestFit="1" customWidth="1"/>
    <col min="11278" max="11278" width="14.33203125" style="427" bestFit="1" customWidth="1"/>
    <col min="11279" max="11279" width="15.5546875" style="427" bestFit="1" customWidth="1"/>
    <col min="11280" max="11280" width="8" style="427" bestFit="1" customWidth="1"/>
    <col min="11281" max="11281" width="15.5546875" style="427" bestFit="1" customWidth="1"/>
    <col min="11282" max="11282" width="10.33203125" style="427" bestFit="1" customWidth="1"/>
    <col min="11283" max="11283" width="9.109375" style="427"/>
    <col min="11284" max="11284" width="17.5546875" style="427" bestFit="1" customWidth="1"/>
    <col min="11285" max="11285" width="10.6640625" style="427" bestFit="1" customWidth="1"/>
    <col min="11286" max="11286" width="9.109375" style="427"/>
    <col min="11287" max="11287" width="15.5546875" style="427" bestFit="1" customWidth="1"/>
    <col min="11288" max="11288" width="11" style="427" bestFit="1" customWidth="1"/>
    <col min="11289" max="11289" width="8.6640625" style="427" bestFit="1" customWidth="1"/>
    <col min="11290" max="11290" width="22.109375" style="427" customWidth="1"/>
    <col min="11291" max="11291" width="8.6640625" style="427" bestFit="1" customWidth="1"/>
    <col min="11292" max="11292" width="20.44140625" style="427" customWidth="1"/>
    <col min="11293" max="11293" width="12.33203125" style="427" bestFit="1" customWidth="1"/>
    <col min="11294" max="11294" width="15.5546875" style="427" bestFit="1" customWidth="1"/>
    <col min="11295" max="11295" width="9" style="427" bestFit="1" customWidth="1"/>
    <col min="11296" max="11296" width="14.33203125" style="427" bestFit="1" customWidth="1"/>
    <col min="11297" max="11297" width="11" style="427" bestFit="1" customWidth="1"/>
    <col min="11298" max="11299" width="14.33203125" style="427" bestFit="1" customWidth="1"/>
    <col min="11300" max="11300" width="8" style="427" bestFit="1" customWidth="1"/>
    <col min="11301" max="11301" width="14.33203125" style="427" bestFit="1" customWidth="1"/>
    <col min="11302" max="11302" width="9.109375" style="427"/>
    <col min="11303" max="11303" width="18.33203125" style="427" bestFit="1" customWidth="1"/>
    <col min="11304" max="11304" width="13" style="427" bestFit="1" customWidth="1"/>
    <col min="11305" max="11305" width="18.109375" style="427" customWidth="1"/>
    <col min="11306" max="11520" width="9.109375" style="427"/>
    <col min="11521" max="11521" width="6.33203125" style="427" customWidth="1"/>
    <col min="11522" max="11522" width="67.44140625" style="427" bestFit="1" customWidth="1"/>
    <col min="11523" max="11523" width="15.5546875" style="427" bestFit="1" customWidth="1"/>
    <col min="11524" max="11524" width="11" style="427" bestFit="1" customWidth="1"/>
    <col min="11525" max="11525" width="8.6640625" style="427" bestFit="1" customWidth="1"/>
    <col min="11526" max="11526" width="20" style="427" customWidth="1"/>
    <col min="11527" max="11527" width="8.6640625" style="427" bestFit="1" customWidth="1"/>
    <col min="11528" max="11528" width="18.6640625" style="427" customWidth="1"/>
    <col min="11529" max="11529" width="12.33203125" style="427" bestFit="1" customWidth="1"/>
    <col min="11530" max="11530" width="15.5546875" style="427" bestFit="1" customWidth="1"/>
    <col min="11531" max="11531" width="9" style="427" bestFit="1" customWidth="1"/>
    <col min="11532" max="11532" width="14.33203125" style="427" bestFit="1" customWidth="1"/>
    <col min="11533" max="11533" width="12.33203125" style="427" bestFit="1" customWidth="1"/>
    <col min="11534" max="11534" width="14.33203125" style="427" bestFit="1" customWidth="1"/>
    <col min="11535" max="11535" width="15.5546875" style="427" bestFit="1" customWidth="1"/>
    <col min="11536" max="11536" width="8" style="427" bestFit="1" customWidth="1"/>
    <col min="11537" max="11537" width="15.5546875" style="427" bestFit="1" customWidth="1"/>
    <col min="11538" max="11538" width="10.33203125" style="427" bestFit="1" customWidth="1"/>
    <col min="11539" max="11539" width="9.109375" style="427"/>
    <col min="11540" max="11540" width="17.5546875" style="427" bestFit="1" customWidth="1"/>
    <col min="11541" max="11541" width="10.6640625" style="427" bestFit="1" customWidth="1"/>
    <col min="11542" max="11542" width="9.109375" style="427"/>
    <col min="11543" max="11543" width="15.5546875" style="427" bestFit="1" customWidth="1"/>
    <col min="11544" max="11544" width="11" style="427" bestFit="1" customWidth="1"/>
    <col min="11545" max="11545" width="8.6640625" style="427" bestFit="1" customWidth="1"/>
    <col min="11546" max="11546" width="22.109375" style="427" customWidth="1"/>
    <col min="11547" max="11547" width="8.6640625" style="427" bestFit="1" customWidth="1"/>
    <col min="11548" max="11548" width="20.44140625" style="427" customWidth="1"/>
    <col min="11549" max="11549" width="12.33203125" style="427" bestFit="1" customWidth="1"/>
    <col min="11550" max="11550" width="15.5546875" style="427" bestFit="1" customWidth="1"/>
    <col min="11551" max="11551" width="9" style="427" bestFit="1" customWidth="1"/>
    <col min="11552" max="11552" width="14.33203125" style="427" bestFit="1" customWidth="1"/>
    <col min="11553" max="11553" width="11" style="427" bestFit="1" customWidth="1"/>
    <col min="11554" max="11555" width="14.33203125" style="427" bestFit="1" customWidth="1"/>
    <col min="11556" max="11556" width="8" style="427" bestFit="1" customWidth="1"/>
    <col min="11557" max="11557" width="14.33203125" style="427" bestFit="1" customWidth="1"/>
    <col min="11558" max="11558" width="9.109375" style="427"/>
    <col min="11559" max="11559" width="18.33203125" style="427" bestFit="1" customWidth="1"/>
    <col min="11560" max="11560" width="13" style="427" bestFit="1" customWidth="1"/>
    <col min="11561" max="11561" width="18.109375" style="427" customWidth="1"/>
    <col min="11562" max="11776" width="9.109375" style="427"/>
    <col min="11777" max="11777" width="6.33203125" style="427" customWidth="1"/>
    <col min="11778" max="11778" width="67.44140625" style="427" bestFit="1" customWidth="1"/>
    <col min="11779" max="11779" width="15.5546875" style="427" bestFit="1" customWidth="1"/>
    <col min="11780" max="11780" width="11" style="427" bestFit="1" customWidth="1"/>
    <col min="11781" max="11781" width="8.6640625" style="427" bestFit="1" customWidth="1"/>
    <col min="11782" max="11782" width="20" style="427" customWidth="1"/>
    <col min="11783" max="11783" width="8.6640625" style="427" bestFit="1" customWidth="1"/>
    <col min="11784" max="11784" width="18.6640625" style="427" customWidth="1"/>
    <col min="11785" max="11785" width="12.33203125" style="427" bestFit="1" customWidth="1"/>
    <col min="11786" max="11786" width="15.5546875" style="427" bestFit="1" customWidth="1"/>
    <col min="11787" max="11787" width="9" style="427" bestFit="1" customWidth="1"/>
    <col min="11788" max="11788" width="14.33203125" style="427" bestFit="1" customWidth="1"/>
    <col min="11789" max="11789" width="12.33203125" style="427" bestFit="1" customWidth="1"/>
    <col min="11790" max="11790" width="14.33203125" style="427" bestFit="1" customWidth="1"/>
    <col min="11791" max="11791" width="15.5546875" style="427" bestFit="1" customWidth="1"/>
    <col min="11792" max="11792" width="8" style="427" bestFit="1" customWidth="1"/>
    <col min="11793" max="11793" width="15.5546875" style="427" bestFit="1" customWidth="1"/>
    <col min="11794" max="11794" width="10.33203125" style="427" bestFit="1" customWidth="1"/>
    <col min="11795" max="11795" width="9.109375" style="427"/>
    <col min="11796" max="11796" width="17.5546875" style="427" bestFit="1" customWidth="1"/>
    <col min="11797" max="11797" width="10.6640625" style="427" bestFit="1" customWidth="1"/>
    <col min="11798" max="11798" width="9.109375" style="427"/>
    <col min="11799" max="11799" width="15.5546875" style="427" bestFit="1" customWidth="1"/>
    <col min="11800" max="11800" width="11" style="427" bestFit="1" customWidth="1"/>
    <col min="11801" max="11801" width="8.6640625" style="427" bestFit="1" customWidth="1"/>
    <col min="11802" max="11802" width="22.109375" style="427" customWidth="1"/>
    <col min="11803" max="11803" width="8.6640625" style="427" bestFit="1" customWidth="1"/>
    <col min="11804" max="11804" width="20.44140625" style="427" customWidth="1"/>
    <col min="11805" max="11805" width="12.33203125" style="427" bestFit="1" customWidth="1"/>
    <col min="11806" max="11806" width="15.5546875" style="427" bestFit="1" customWidth="1"/>
    <col min="11807" max="11807" width="9" style="427" bestFit="1" customWidth="1"/>
    <col min="11808" max="11808" width="14.33203125" style="427" bestFit="1" customWidth="1"/>
    <col min="11809" max="11809" width="11" style="427" bestFit="1" customWidth="1"/>
    <col min="11810" max="11811" width="14.33203125" style="427" bestFit="1" customWidth="1"/>
    <col min="11812" max="11812" width="8" style="427" bestFit="1" customWidth="1"/>
    <col min="11813" max="11813" width="14.33203125" style="427" bestFit="1" customWidth="1"/>
    <col min="11814" max="11814" width="9.109375" style="427"/>
    <col min="11815" max="11815" width="18.33203125" style="427" bestFit="1" customWidth="1"/>
    <col min="11816" max="11816" width="13" style="427" bestFit="1" customWidth="1"/>
    <col min="11817" max="11817" width="18.109375" style="427" customWidth="1"/>
    <col min="11818" max="12032" width="9.109375" style="427"/>
    <col min="12033" max="12033" width="6.33203125" style="427" customWidth="1"/>
    <col min="12034" max="12034" width="67.44140625" style="427" bestFit="1" customWidth="1"/>
    <col min="12035" max="12035" width="15.5546875" style="427" bestFit="1" customWidth="1"/>
    <col min="12036" max="12036" width="11" style="427" bestFit="1" customWidth="1"/>
    <col min="12037" max="12037" width="8.6640625" style="427" bestFit="1" customWidth="1"/>
    <col min="12038" max="12038" width="20" style="427" customWidth="1"/>
    <col min="12039" max="12039" width="8.6640625" style="427" bestFit="1" customWidth="1"/>
    <col min="12040" max="12040" width="18.6640625" style="427" customWidth="1"/>
    <col min="12041" max="12041" width="12.33203125" style="427" bestFit="1" customWidth="1"/>
    <col min="12042" max="12042" width="15.5546875" style="427" bestFit="1" customWidth="1"/>
    <col min="12043" max="12043" width="9" style="427" bestFit="1" customWidth="1"/>
    <col min="12044" max="12044" width="14.33203125" style="427" bestFit="1" customWidth="1"/>
    <col min="12045" max="12045" width="12.33203125" style="427" bestFit="1" customWidth="1"/>
    <col min="12046" max="12046" width="14.33203125" style="427" bestFit="1" customWidth="1"/>
    <col min="12047" max="12047" width="15.5546875" style="427" bestFit="1" customWidth="1"/>
    <col min="12048" max="12048" width="8" style="427" bestFit="1" customWidth="1"/>
    <col min="12049" max="12049" width="15.5546875" style="427" bestFit="1" customWidth="1"/>
    <col min="12050" max="12050" width="10.33203125" style="427" bestFit="1" customWidth="1"/>
    <col min="12051" max="12051" width="9.109375" style="427"/>
    <col min="12052" max="12052" width="17.5546875" style="427" bestFit="1" customWidth="1"/>
    <col min="12053" max="12053" width="10.6640625" style="427" bestFit="1" customWidth="1"/>
    <col min="12054" max="12054" width="9.109375" style="427"/>
    <col min="12055" max="12055" width="15.5546875" style="427" bestFit="1" customWidth="1"/>
    <col min="12056" max="12056" width="11" style="427" bestFit="1" customWidth="1"/>
    <col min="12057" max="12057" width="8.6640625" style="427" bestFit="1" customWidth="1"/>
    <col min="12058" max="12058" width="22.109375" style="427" customWidth="1"/>
    <col min="12059" max="12059" width="8.6640625" style="427" bestFit="1" customWidth="1"/>
    <col min="12060" max="12060" width="20.44140625" style="427" customWidth="1"/>
    <col min="12061" max="12061" width="12.33203125" style="427" bestFit="1" customWidth="1"/>
    <col min="12062" max="12062" width="15.5546875" style="427" bestFit="1" customWidth="1"/>
    <col min="12063" max="12063" width="9" style="427" bestFit="1" customWidth="1"/>
    <col min="12064" max="12064" width="14.33203125" style="427" bestFit="1" customWidth="1"/>
    <col min="12065" max="12065" width="11" style="427" bestFit="1" customWidth="1"/>
    <col min="12066" max="12067" width="14.33203125" style="427" bestFit="1" customWidth="1"/>
    <col min="12068" max="12068" width="8" style="427" bestFit="1" customWidth="1"/>
    <col min="12069" max="12069" width="14.33203125" style="427" bestFit="1" customWidth="1"/>
    <col min="12070" max="12070" width="9.109375" style="427"/>
    <col min="12071" max="12071" width="18.33203125" style="427" bestFit="1" customWidth="1"/>
    <col min="12072" max="12072" width="13" style="427" bestFit="1" customWidth="1"/>
    <col min="12073" max="12073" width="18.109375" style="427" customWidth="1"/>
    <col min="12074" max="12288" width="9.109375" style="427"/>
    <col min="12289" max="12289" width="6.33203125" style="427" customWidth="1"/>
    <col min="12290" max="12290" width="67.44140625" style="427" bestFit="1" customWidth="1"/>
    <col min="12291" max="12291" width="15.5546875" style="427" bestFit="1" customWidth="1"/>
    <col min="12292" max="12292" width="11" style="427" bestFit="1" customWidth="1"/>
    <col min="12293" max="12293" width="8.6640625" style="427" bestFit="1" customWidth="1"/>
    <col min="12294" max="12294" width="20" style="427" customWidth="1"/>
    <col min="12295" max="12295" width="8.6640625" style="427" bestFit="1" customWidth="1"/>
    <col min="12296" max="12296" width="18.6640625" style="427" customWidth="1"/>
    <col min="12297" max="12297" width="12.33203125" style="427" bestFit="1" customWidth="1"/>
    <col min="12298" max="12298" width="15.5546875" style="427" bestFit="1" customWidth="1"/>
    <col min="12299" max="12299" width="9" style="427" bestFit="1" customWidth="1"/>
    <col min="12300" max="12300" width="14.33203125" style="427" bestFit="1" customWidth="1"/>
    <col min="12301" max="12301" width="12.33203125" style="427" bestFit="1" customWidth="1"/>
    <col min="12302" max="12302" width="14.33203125" style="427" bestFit="1" customWidth="1"/>
    <col min="12303" max="12303" width="15.5546875" style="427" bestFit="1" customWidth="1"/>
    <col min="12304" max="12304" width="8" style="427" bestFit="1" customWidth="1"/>
    <col min="12305" max="12305" width="15.5546875" style="427" bestFit="1" customWidth="1"/>
    <col min="12306" max="12306" width="10.33203125" style="427" bestFit="1" customWidth="1"/>
    <col min="12307" max="12307" width="9.109375" style="427"/>
    <col min="12308" max="12308" width="17.5546875" style="427" bestFit="1" customWidth="1"/>
    <col min="12309" max="12309" width="10.6640625" style="427" bestFit="1" customWidth="1"/>
    <col min="12310" max="12310" width="9.109375" style="427"/>
    <col min="12311" max="12311" width="15.5546875" style="427" bestFit="1" customWidth="1"/>
    <col min="12312" max="12312" width="11" style="427" bestFit="1" customWidth="1"/>
    <col min="12313" max="12313" width="8.6640625" style="427" bestFit="1" customWidth="1"/>
    <col min="12314" max="12314" width="22.109375" style="427" customWidth="1"/>
    <col min="12315" max="12315" width="8.6640625" style="427" bestFit="1" customWidth="1"/>
    <col min="12316" max="12316" width="20.44140625" style="427" customWidth="1"/>
    <col min="12317" max="12317" width="12.33203125" style="427" bestFit="1" customWidth="1"/>
    <col min="12318" max="12318" width="15.5546875" style="427" bestFit="1" customWidth="1"/>
    <col min="12319" max="12319" width="9" style="427" bestFit="1" customWidth="1"/>
    <col min="12320" max="12320" width="14.33203125" style="427" bestFit="1" customWidth="1"/>
    <col min="12321" max="12321" width="11" style="427" bestFit="1" customWidth="1"/>
    <col min="12322" max="12323" width="14.33203125" style="427" bestFit="1" customWidth="1"/>
    <col min="12324" max="12324" width="8" style="427" bestFit="1" customWidth="1"/>
    <col min="12325" max="12325" width="14.33203125" style="427" bestFit="1" customWidth="1"/>
    <col min="12326" max="12326" width="9.109375" style="427"/>
    <col min="12327" max="12327" width="18.33203125" style="427" bestFit="1" customWidth="1"/>
    <col min="12328" max="12328" width="13" style="427" bestFit="1" customWidth="1"/>
    <col min="12329" max="12329" width="18.109375" style="427" customWidth="1"/>
    <col min="12330" max="12544" width="9.109375" style="427"/>
    <col min="12545" max="12545" width="6.33203125" style="427" customWidth="1"/>
    <col min="12546" max="12546" width="67.44140625" style="427" bestFit="1" customWidth="1"/>
    <col min="12547" max="12547" width="15.5546875" style="427" bestFit="1" customWidth="1"/>
    <col min="12548" max="12548" width="11" style="427" bestFit="1" customWidth="1"/>
    <col min="12549" max="12549" width="8.6640625" style="427" bestFit="1" customWidth="1"/>
    <col min="12550" max="12550" width="20" style="427" customWidth="1"/>
    <col min="12551" max="12551" width="8.6640625" style="427" bestFit="1" customWidth="1"/>
    <col min="12552" max="12552" width="18.6640625" style="427" customWidth="1"/>
    <col min="12553" max="12553" width="12.33203125" style="427" bestFit="1" customWidth="1"/>
    <col min="12554" max="12554" width="15.5546875" style="427" bestFit="1" customWidth="1"/>
    <col min="12555" max="12555" width="9" style="427" bestFit="1" customWidth="1"/>
    <col min="12556" max="12556" width="14.33203125" style="427" bestFit="1" customWidth="1"/>
    <col min="12557" max="12557" width="12.33203125" style="427" bestFit="1" customWidth="1"/>
    <col min="12558" max="12558" width="14.33203125" style="427" bestFit="1" customWidth="1"/>
    <col min="12559" max="12559" width="15.5546875" style="427" bestFit="1" customWidth="1"/>
    <col min="12560" max="12560" width="8" style="427" bestFit="1" customWidth="1"/>
    <col min="12561" max="12561" width="15.5546875" style="427" bestFit="1" customWidth="1"/>
    <col min="12562" max="12562" width="10.33203125" style="427" bestFit="1" customWidth="1"/>
    <col min="12563" max="12563" width="9.109375" style="427"/>
    <col min="12564" max="12564" width="17.5546875" style="427" bestFit="1" customWidth="1"/>
    <col min="12565" max="12565" width="10.6640625" style="427" bestFit="1" customWidth="1"/>
    <col min="12566" max="12566" width="9.109375" style="427"/>
    <col min="12567" max="12567" width="15.5546875" style="427" bestFit="1" customWidth="1"/>
    <col min="12568" max="12568" width="11" style="427" bestFit="1" customWidth="1"/>
    <col min="12569" max="12569" width="8.6640625" style="427" bestFit="1" customWidth="1"/>
    <col min="12570" max="12570" width="22.109375" style="427" customWidth="1"/>
    <col min="12571" max="12571" width="8.6640625" style="427" bestFit="1" customWidth="1"/>
    <col min="12572" max="12572" width="20.44140625" style="427" customWidth="1"/>
    <col min="12573" max="12573" width="12.33203125" style="427" bestFit="1" customWidth="1"/>
    <col min="12574" max="12574" width="15.5546875" style="427" bestFit="1" customWidth="1"/>
    <col min="12575" max="12575" width="9" style="427" bestFit="1" customWidth="1"/>
    <col min="12576" max="12576" width="14.33203125" style="427" bestFit="1" customWidth="1"/>
    <col min="12577" max="12577" width="11" style="427" bestFit="1" customWidth="1"/>
    <col min="12578" max="12579" width="14.33203125" style="427" bestFit="1" customWidth="1"/>
    <col min="12580" max="12580" width="8" style="427" bestFit="1" customWidth="1"/>
    <col min="12581" max="12581" width="14.33203125" style="427" bestFit="1" customWidth="1"/>
    <col min="12582" max="12582" width="9.109375" style="427"/>
    <col min="12583" max="12583" width="18.33203125" style="427" bestFit="1" customWidth="1"/>
    <col min="12584" max="12584" width="13" style="427" bestFit="1" customWidth="1"/>
    <col min="12585" max="12585" width="18.109375" style="427" customWidth="1"/>
    <col min="12586" max="12800" width="9.109375" style="427"/>
    <col min="12801" max="12801" width="6.33203125" style="427" customWidth="1"/>
    <col min="12802" max="12802" width="67.44140625" style="427" bestFit="1" customWidth="1"/>
    <col min="12803" max="12803" width="15.5546875" style="427" bestFit="1" customWidth="1"/>
    <col min="12804" max="12804" width="11" style="427" bestFit="1" customWidth="1"/>
    <col min="12805" max="12805" width="8.6640625" style="427" bestFit="1" customWidth="1"/>
    <col min="12806" max="12806" width="20" style="427" customWidth="1"/>
    <col min="12807" max="12807" width="8.6640625" style="427" bestFit="1" customWidth="1"/>
    <col min="12808" max="12808" width="18.6640625" style="427" customWidth="1"/>
    <col min="12809" max="12809" width="12.33203125" style="427" bestFit="1" customWidth="1"/>
    <col min="12810" max="12810" width="15.5546875" style="427" bestFit="1" customWidth="1"/>
    <col min="12811" max="12811" width="9" style="427" bestFit="1" customWidth="1"/>
    <col min="12812" max="12812" width="14.33203125" style="427" bestFit="1" customWidth="1"/>
    <col min="12813" max="12813" width="12.33203125" style="427" bestFit="1" customWidth="1"/>
    <col min="12814" max="12814" width="14.33203125" style="427" bestFit="1" customWidth="1"/>
    <col min="12815" max="12815" width="15.5546875" style="427" bestFit="1" customWidth="1"/>
    <col min="12816" max="12816" width="8" style="427" bestFit="1" customWidth="1"/>
    <col min="12817" max="12817" width="15.5546875" style="427" bestFit="1" customWidth="1"/>
    <col min="12818" max="12818" width="10.33203125" style="427" bestFit="1" customWidth="1"/>
    <col min="12819" max="12819" width="9.109375" style="427"/>
    <col min="12820" max="12820" width="17.5546875" style="427" bestFit="1" customWidth="1"/>
    <col min="12821" max="12821" width="10.6640625" style="427" bestFit="1" customWidth="1"/>
    <col min="12822" max="12822" width="9.109375" style="427"/>
    <col min="12823" max="12823" width="15.5546875" style="427" bestFit="1" customWidth="1"/>
    <col min="12824" max="12824" width="11" style="427" bestFit="1" customWidth="1"/>
    <col min="12825" max="12825" width="8.6640625" style="427" bestFit="1" customWidth="1"/>
    <col min="12826" max="12826" width="22.109375" style="427" customWidth="1"/>
    <col min="12827" max="12827" width="8.6640625" style="427" bestFit="1" customWidth="1"/>
    <col min="12828" max="12828" width="20.44140625" style="427" customWidth="1"/>
    <col min="12829" max="12829" width="12.33203125" style="427" bestFit="1" customWidth="1"/>
    <col min="12830" max="12830" width="15.5546875" style="427" bestFit="1" customWidth="1"/>
    <col min="12831" max="12831" width="9" style="427" bestFit="1" customWidth="1"/>
    <col min="12832" max="12832" width="14.33203125" style="427" bestFit="1" customWidth="1"/>
    <col min="12833" max="12833" width="11" style="427" bestFit="1" customWidth="1"/>
    <col min="12834" max="12835" width="14.33203125" style="427" bestFit="1" customWidth="1"/>
    <col min="12836" max="12836" width="8" style="427" bestFit="1" customWidth="1"/>
    <col min="12837" max="12837" width="14.33203125" style="427" bestFit="1" customWidth="1"/>
    <col min="12838" max="12838" width="9.109375" style="427"/>
    <col min="12839" max="12839" width="18.33203125" style="427" bestFit="1" customWidth="1"/>
    <col min="12840" max="12840" width="13" style="427" bestFit="1" customWidth="1"/>
    <col min="12841" max="12841" width="18.109375" style="427" customWidth="1"/>
    <col min="12842" max="13056" width="9.109375" style="427"/>
    <col min="13057" max="13057" width="6.33203125" style="427" customWidth="1"/>
    <col min="13058" max="13058" width="67.44140625" style="427" bestFit="1" customWidth="1"/>
    <col min="13059" max="13059" width="15.5546875" style="427" bestFit="1" customWidth="1"/>
    <col min="13060" max="13060" width="11" style="427" bestFit="1" customWidth="1"/>
    <col min="13061" max="13061" width="8.6640625" style="427" bestFit="1" customWidth="1"/>
    <col min="13062" max="13062" width="20" style="427" customWidth="1"/>
    <col min="13063" max="13063" width="8.6640625" style="427" bestFit="1" customWidth="1"/>
    <col min="13064" max="13064" width="18.6640625" style="427" customWidth="1"/>
    <col min="13065" max="13065" width="12.33203125" style="427" bestFit="1" customWidth="1"/>
    <col min="13066" max="13066" width="15.5546875" style="427" bestFit="1" customWidth="1"/>
    <col min="13067" max="13067" width="9" style="427" bestFit="1" customWidth="1"/>
    <col min="13068" max="13068" width="14.33203125" style="427" bestFit="1" customWidth="1"/>
    <col min="13069" max="13069" width="12.33203125" style="427" bestFit="1" customWidth="1"/>
    <col min="13070" max="13070" width="14.33203125" style="427" bestFit="1" customWidth="1"/>
    <col min="13071" max="13071" width="15.5546875" style="427" bestFit="1" customWidth="1"/>
    <col min="13072" max="13072" width="8" style="427" bestFit="1" customWidth="1"/>
    <col min="13073" max="13073" width="15.5546875" style="427" bestFit="1" customWidth="1"/>
    <col min="13074" max="13074" width="10.33203125" style="427" bestFit="1" customWidth="1"/>
    <col min="13075" max="13075" width="9.109375" style="427"/>
    <col min="13076" max="13076" width="17.5546875" style="427" bestFit="1" customWidth="1"/>
    <col min="13077" max="13077" width="10.6640625" style="427" bestFit="1" customWidth="1"/>
    <col min="13078" max="13078" width="9.109375" style="427"/>
    <col min="13079" max="13079" width="15.5546875" style="427" bestFit="1" customWidth="1"/>
    <col min="13080" max="13080" width="11" style="427" bestFit="1" customWidth="1"/>
    <col min="13081" max="13081" width="8.6640625" style="427" bestFit="1" customWidth="1"/>
    <col min="13082" max="13082" width="22.109375" style="427" customWidth="1"/>
    <col min="13083" max="13083" width="8.6640625" style="427" bestFit="1" customWidth="1"/>
    <col min="13084" max="13084" width="20.44140625" style="427" customWidth="1"/>
    <col min="13085" max="13085" width="12.33203125" style="427" bestFit="1" customWidth="1"/>
    <col min="13086" max="13086" width="15.5546875" style="427" bestFit="1" customWidth="1"/>
    <col min="13087" max="13087" width="9" style="427" bestFit="1" customWidth="1"/>
    <col min="13088" max="13088" width="14.33203125" style="427" bestFit="1" customWidth="1"/>
    <col min="13089" max="13089" width="11" style="427" bestFit="1" customWidth="1"/>
    <col min="13090" max="13091" width="14.33203125" style="427" bestFit="1" customWidth="1"/>
    <col min="13092" max="13092" width="8" style="427" bestFit="1" customWidth="1"/>
    <col min="13093" max="13093" width="14.33203125" style="427" bestFit="1" customWidth="1"/>
    <col min="13094" max="13094" width="9.109375" style="427"/>
    <col min="13095" max="13095" width="18.33203125" style="427" bestFit="1" customWidth="1"/>
    <col min="13096" max="13096" width="13" style="427" bestFit="1" customWidth="1"/>
    <col min="13097" max="13097" width="18.109375" style="427" customWidth="1"/>
    <col min="13098" max="13312" width="9.109375" style="427"/>
    <col min="13313" max="13313" width="6.33203125" style="427" customWidth="1"/>
    <col min="13314" max="13314" width="67.44140625" style="427" bestFit="1" customWidth="1"/>
    <col min="13315" max="13315" width="15.5546875" style="427" bestFit="1" customWidth="1"/>
    <col min="13316" max="13316" width="11" style="427" bestFit="1" customWidth="1"/>
    <col min="13317" max="13317" width="8.6640625" style="427" bestFit="1" customWidth="1"/>
    <col min="13318" max="13318" width="20" style="427" customWidth="1"/>
    <col min="13319" max="13319" width="8.6640625" style="427" bestFit="1" customWidth="1"/>
    <col min="13320" max="13320" width="18.6640625" style="427" customWidth="1"/>
    <col min="13321" max="13321" width="12.33203125" style="427" bestFit="1" customWidth="1"/>
    <col min="13322" max="13322" width="15.5546875" style="427" bestFit="1" customWidth="1"/>
    <col min="13323" max="13323" width="9" style="427" bestFit="1" customWidth="1"/>
    <col min="13324" max="13324" width="14.33203125" style="427" bestFit="1" customWidth="1"/>
    <col min="13325" max="13325" width="12.33203125" style="427" bestFit="1" customWidth="1"/>
    <col min="13326" max="13326" width="14.33203125" style="427" bestFit="1" customWidth="1"/>
    <col min="13327" max="13327" width="15.5546875" style="427" bestFit="1" customWidth="1"/>
    <col min="13328" max="13328" width="8" style="427" bestFit="1" customWidth="1"/>
    <col min="13329" max="13329" width="15.5546875" style="427" bestFit="1" customWidth="1"/>
    <col min="13330" max="13330" width="10.33203125" style="427" bestFit="1" customWidth="1"/>
    <col min="13331" max="13331" width="9.109375" style="427"/>
    <col min="13332" max="13332" width="17.5546875" style="427" bestFit="1" customWidth="1"/>
    <col min="13333" max="13333" width="10.6640625" style="427" bestFit="1" customWidth="1"/>
    <col min="13334" max="13334" width="9.109375" style="427"/>
    <col min="13335" max="13335" width="15.5546875" style="427" bestFit="1" customWidth="1"/>
    <col min="13336" max="13336" width="11" style="427" bestFit="1" customWidth="1"/>
    <col min="13337" max="13337" width="8.6640625" style="427" bestFit="1" customWidth="1"/>
    <col min="13338" max="13338" width="22.109375" style="427" customWidth="1"/>
    <col min="13339" max="13339" width="8.6640625" style="427" bestFit="1" customWidth="1"/>
    <col min="13340" max="13340" width="20.44140625" style="427" customWidth="1"/>
    <col min="13341" max="13341" width="12.33203125" style="427" bestFit="1" customWidth="1"/>
    <col min="13342" max="13342" width="15.5546875" style="427" bestFit="1" customWidth="1"/>
    <col min="13343" max="13343" width="9" style="427" bestFit="1" customWidth="1"/>
    <col min="13344" max="13344" width="14.33203125" style="427" bestFit="1" customWidth="1"/>
    <col min="13345" max="13345" width="11" style="427" bestFit="1" customWidth="1"/>
    <col min="13346" max="13347" width="14.33203125" style="427" bestFit="1" customWidth="1"/>
    <col min="13348" max="13348" width="8" style="427" bestFit="1" customWidth="1"/>
    <col min="13349" max="13349" width="14.33203125" style="427" bestFit="1" customWidth="1"/>
    <col min="13350" max="13350" width="9.109375" style="427"/>
    <col min="13351" max="13351" width="18.33203125" style="427" bestFit="1" customWidth="1"/>
    <col min="13352" max="13352" width="13" style="427" bestFit="1" customWidth="1"/>
    <col min="13353" max="13353" width="18.109375" style="427" customWidth="1"/>
    <col min="13354" max="13568" width="9.109375" style="427"/>
    <col min="13569" max="13569" width="6.33203125" style="427" customWidth="1"/>
    <col min="13570" max="13570" width="67.44140625" style="427" bestFit="1" customWidth="1"/>
    <col min="13571" max="13571" width="15.5546875" style="427" bestFit="1" customWidth="1"/>
    <col min="13572" max="13572" width="11" style="427" bestFit="1" customWidth="1"/>
    <col min="13573" max="13573" width="8.6640625" style="427" bestFit="1" customWidth="1"/>
    <col min="13574" max="13574" width="20" style="427" customWidth="1"/>
    <col min="13575" max="13575" width="8.6640625" style="427" bestFit="1" customWidth="1"/>
    <col min="13576" max="13576" width="18.6640625" style="427" customWidth="1"/>
    <col min="13577" max="13577" width="12.33203125" style="427" bestFit="1" customWidth="1"/>
    <col min="13578" max="13578" width="15.5546875" style="427" bestFit="1" customWidth="1"/>
    <col min="13579" max="13579" width="9" style="427" bestFit="1" customWidth="1"/>
    <col min="13580" max="13580" width="14.33203125" style="427" bestFit="1" customWidth="1"/>
    <col min="13581" max="13581" width="12.33203125" style="427" bestFit="1" customWidth="1"/>
    <col min="13582" max="13582" width="14.33203125" style="427" bestFit="1" customWidth="1"/>
    <col min="13583" max="13583" width="15.5546875" style="427" bestFit="1" customWidth="1"/>
    <col min="13584" max="13584" width="8" style="427" bestFit="1" customWidth="1"/>
    <col min="13585" max="13585" width="15.5546875" style="427" bestFit="1" customWidth="1"/>
    <col min="13586" max="13586" width="10.33203125" style="427" bestFit="1" customWidth="1"/>
    <col min="13587" max="13587" width="9.109375" style="427"/>
    <col min="13588" max="13588" width="17.5546875" style="427" bestFit="1" customWidth="1"/>
    <col min="13589" max="13589" width="10.6640625" style="427" bestFit="1" customWidth="1"/>
    <col min="13590" max="13590" width="9.109375" style="427"/>
    <col min="13591" max="13591" width="15.5546875" style="427" bestFit="1" customWidth="1"/>
    <col min="13592" max="13592" width="11" style="427" bestFit="1" customWidth="1"/>
    <col min="13593" max="13593" width="8.6640625" style="427" bestFit="1" customWidth="1"/>
    <col min="13594" max="13594" width="22.109375" style="427" customWidth="1"/>
    <col min="13595" max="13595" width="8.6640625" style="427" bestFit="1" customWidth="1"/>
    <col min="13596" max="13596" width="20.44140625" style="427" customWidth="1"/>
    <col min="13597" max="13597" width="12.33203125" style="427" bestFit="1" customWidth="1"/>
    <col min="13598" max="13598" width="15.5546875" style="427" bestFit="1" customWidth="1"/>
    <col min="13599" max="13599" width="9" style="427" bestFit="1" customWidth="1"/>
    <col min="13600" max="13600" width="14.33203125" style="427" bestFit="1" customWidth="1"/>
    <col min="13601" max="13601" width="11" style="427" bestFit="1" customWidth="1"/>
    <col min="13602" max="13603" width="14.33203125" style="427" bestFit="1" customWidth="1"/>
    <col min="13604" max="13604" width="8" style="427" bestFit="1" customWidth="1"/>
    <col min="13605" max="13605" width="14.33203125" style="427" bestFit="1" customWidth="1"/>
    <col min="13606" max="13606" width="9.109375" style="427"/>
    <col min="13607" max="13607" width="18.33203125" style="427" bestFit="1" customWidth="1"/>
    <col min="13608" max="13608" width="13" style="427" bestFit="1" customWidth="1"/>
    <col min="13609" max="13609" width="18.109375" style="427" customWidth="1"/>
    <col min="13610" max="13824" width="9.109375" style="427"/>
    <col min="13825" max="13825" width="6.33203125" style="427" customWidth="1"/>
    <col min="13826" max="13826" width="67.44140625" style="427" bestFit="1" customWidth="1"/>
    <col min="13827" max="13827" width="15.5546875" style="427" bestFit="1" customWidth="1"/>
    <col min="13828" max="13828" width="11" style="427" bestFit="1" customWidth="1"/>
    <col min="13829" max="13829" width="8.6640625" style="427" bestFit="1" customWidth="1"/>
    <col min="13830" max="13830" width="20" style="427" customWidth="1"/>
    <col min="13831" max="13831" width="8.6640625" style="427" bestFit="1" customWidth="1"/>
    <col min="13832" max="13832" width="18.6640625" style="427" customWidth="1"/>
    <col min="13833" max="13833" width="12.33203125" style="427" bestFit="1" customWidth="1"/>
    <col min="13834" max="13834" width="15.5546875" style="427" bestFit="1" customWidth="1"/>
    <col min="13835" max="13835" width="9" style="427" bestFit="1" customWidth="1"/>
    <col min="13836" max="13836" width="14.33203125" style="427" bestFit="1" customWidth="1"/>
    <col min="13837" max="13837" width="12.33203125" style="427" bestFit="1" customWidth="1"/>
    <col min="13838" max="13838" width="14.33203125" style="427" bestFit="1" customWidth="1"/>
    <col min="13839" max="13839" width="15.5546875" style="427" bestFit="1" customWidth="1"/>
    <col min="13840" max="13840" width="8" style="427" bestFit="1" customWidth="1"/>
    <col min="13841" max="13841" width="15.5546875" style="427" bestFit="1" customWidth="1"/>
    <col min="13842" max="13842" width="10.33203125" style="427" bestFit="1" customWidth="1"/>
    <col min="13843" max="13843" width="9.109375" style="427"/>
    <col min="13844" max="13844" width="17.5546875" style="427" bestFit="1" customWidth="1"/>
    <col min="13845" max="13845" width="10.6640625" style="427" bestFit="1" customWidth="1"/>
    <col min="13846" max="13846" width="9.109375" style="427"/>
    <col min="13847" max="13847" width="15.5546875" style="427" bestFit="1" customWidth="1"/>
    <col min="13848" max="13848" width="11" style="427" bestFit="1" customWidth="1"/>
    <col min="13849" max="13849" width="8.6640625" style="427" bestFit="1" customWidth="1"/>
    <col min="13850" max="13850" width="22.109375" style="427" customWidth="1"/>
    <col min="13851" max="13851" width="8.6640625" style="427" bestFit="1" customWidth="1"/>
    <col min="13852" max="13852" width="20.44140625" style="427" customWidth="1"/>
    <col min="13853" max="13853" width="12.33203125" style="427" bestFit="1" customWidth="1"/>
    <col min="13854" max="13854" width="15.5546875" style="427" bestFit="1" customWidth="1"/>
    <col min="13855" max="13855" width="9" style="427" bestFit="1" customWidth="1"/>
    <col min="13856" max="13856" width="14.33203125" style="427" bestFit="1" customWidth="1"/>
    <col min="13857" max="13857" width="11" style="427" bestFit="1" customWidth="1"/>
    <col min="13858" max="13859" width="14.33203125" style="427" bestFit="1" customWidth="1"/>
    <col min="13860" max="13860" width="8" style="427" bestFit="1" customWidth="1"/>
    <col min="13861" max="13861" width="14.33203125" style="427" bestFit="1" customWidth="1"/>
    <col min="13862" max="13862" width="9.109375" style="427"/>
    <col min="13863" max="13863" width="18.33203125" style="427" bestFit="1" customWidth="1"/>
    <col min="13864" max="13864" width="13" style="427" bestFit="1" customWidth="1"/>
    <col min="13865" max="13865" width="18.109375" style="427" customWidth="1"/>
    <col min="13866" max="14080" width="9.109375" style="427"/>
    <col min="14081" max="14081" width="6.33203125" style="427" customWidth="1"/>
    <col min="14082" max="14082" width="67.44140625" style="427" bestFit="1" customWidth="1"/>
    <col min="14083" max="14083" width="15.5546875" style="427" bestFit="1" customWidth="1"/>
    <col min="14084" max="14084" width="11" style="427" bestFit="1" customWidth="1"/>
    <col min="14085" max="14085" width="8.6640625" style="427" bestFit="1" customWidth="1"/>
    <col min="14086" max="14086" width="20" style="427" customWidth="1"/>
    <col min="14087" max="14087" width="8.6640625" style="427" bestFit="1" customWidth="1"/>
    <col min="14088" max="14088" width="18.6640625" style="427" customWidth="1"/>
    <col min="14089" max="14089" width="12.33203125" style="427" bestFit="1" customWidth="1"/>
    <col min="14090" max="14090" width="15.5546875" style="427" bestFit="1" customWidth="1"/>
    <col min="14091" max="14091" width="9" style="427" bestFit="1" customWidth="1"/>
    <col min="14092" max="14092" width="14.33203125" style="427" bestFit="1" customWidth="1"/>
    <col min="14093" max="14093" width="12.33203125" style="427" bestFit="1" customWidth="1"/>
    <col min="14094" max="14094" width="14.33203125" style="427" bestFit="1" customWidth="1"/>
    <col min="14095" max="14095" width="15.5546875" style="427" bestFit="1" customWidth="1"/>
    <col min="14096" max="14096" width="8" style="427" bestFit="1" customWidth="1"/>
    <col min="14097" max="14097" width="15.5546875" style="427" bestFit="1" customWidth="1"/>
    <col min="14098" max="14098" width="10.33203125" style="427" bestFit="1" customWidth="1"/>
    <col min="14099" max="14099" width="9.109375" style="427"/>
    <col min="14100" max="14100" width="17.5546875" style="427" bestFit="1" customWidth="1"/>
    <col min="14101" max="14101" width="10.6640625" style="427" bestFit="1" customWidth="1"/>
    <col min="14102" max="14102" width="9.109375" style="427"/>
    <col min="14103" max="14103" width="15.5546875" style="427" bestFit="1" customWidth="1"/>
    <col min="14104" max="14104" width="11" style="427" bestFit="1" customWidth="1"/>
    <col min="14105" max="14105" width="8.6640625" style="427" bestFit="1" customWidth="1"/>
    <col min="14106" max="14106" width="22.109375" style="427" customWidth="1"/>
    <col min="14107" max="14107" width="8.6640625" style="427" bestFit="1" customWidth="1"/>
    <col min="14108" max="14108" width="20.44140625" style="427" customWidth="1"/>
    <col min="14109" max="14109" width="12.33203125" style="427" bestFit="1" customWidth="1"/>
    <col min="14110" max="14110" width="15.5546875" style="427" bestFit="1" customWidth="1"/>
    <col min="14111" max="14111" width="9" style="427" bestFit="1" customWidth="1"/>
    <col min="14112" max="14112" width="14.33203125" style="427" bestFit="1" customWidth="1"/>
    <col min="14113" max="14113" width="11" style="427" bestFit="1" customWidth="1"/>
    <col min="14114" max="14115" width="14.33203125" style="427" bestFit="1" customWidth="1"/>
    <col min="14116" max="14116" width="8" style="427" bestFit="1" customWidth="1"/>
    <col min="14117" max="14117" width="14.33203125" style="427" bestFit="1" customWidth="1"/>
    <col min="14118" max="14118" width="9.109375" style="427"/>
    <col min="14119" max="14119" width="18.33203125" style="427" bestFit="1" customWidth="1"/>
    <col min="14120" max="14120" width="13" style="427" bestFit="1" customWidth="1"/>
    <col min="14121" max="14121" width="18.109375" style="427" customWidth="1"/>
    <col min="14122" max="14336" width="9.109375" style="427"/>
    <col min="14337" max="14337" width="6.33203125" style="427" customWidth="1"/>
    <col min="14338" max="14338" width="67.44140625" style="427" bestFit="1" customWidth="1"/>
    <col min="14339" max="14339" width="15.5546875" style="427" bestFit="1" customWidth="1"/>
    <col min="14340" max="14340" width="11" style="427" bestFit="1" customWidth="1"/>
    <col min="14341" max="14341" width="8.6640625" style="427" bestFit="1" customWidth="1"/>
    <col min="14342" max="14342" width="20" style="427" customWidth="1"/>
    <col min="14343" max="14343" width="8.6640625" style="427" bestFit="1" customWidth="1"/>
    <col min="14344" max="14344" width="18.6640625" style="427" customWidth="1"/>
    <col min="14345" max="14345" width="12.33203125" style="427" bestFit="1" customWidth="1"/>
    <col min="14346" max="14346" width="15.5546875" style="427" bestFit="1" customWidth="1"/>
    <col min="14347" max="14347" width="9" style="427" bestFit="1" customWidth="1"/>
    <col min="14348" max="14348" width="14.33203125" style="427" bestFit="1" customWidth="1"/>
    <col min="14349" max="14349" width="12.33203125" style="427" bestFit="1" customWidth="1"/>
    <col min="14350" max="14350" width="14.33203125" style="427" bestFit="1" customWidth="1"/>
    <col min="14351" max="14351" width="15.5546875" style="427" bestFit="1" customWidth="1"/>
    <col min="14352" max="14352" width="8" style="427" bestFit="1" customWidth="1"/>
    <col min="14353" max="14353" width="15.5546875" style="427" bestFit="1" customWidth="1"/>
    <col min="14354" max="14354" width="10.33203125" style="427" bestFit="1" customWidth="1"/>
    <col min="14355" max="14355" width="9.109375" style="427"/>
    <col min="14356" max="14356" width="17.5546875" style="427" bestFit="1" customWidth="1"/>
    <col min="14357" max="14357" width="10.6640625" style="427" bestFit="1" customWidth="1"/>
    <col min="14358" max="14358" width="9.109375" style="427"/>
    <col min="14359" max="14359" width="15.5546875" style="427" bestFit="1" customWidth="1"/>
    <col min="14360" max="14360" width="11" style="427" bestFit="1" customWidth="1"/>
    <col min="14361" max="14361" width="8.6640625" style="427" bestFit="1" customWidth="1"/>
    <col min="14362" max="14362" width="22.109375" style="427" customWidth="1"/>
    <col min="14363" max="14363" width="8.6640625" style="427" bestFit="1" customWidth="1"/>
    <col min="14364" max="14364" width="20.44140625" style="427" customWidth="1"/>
    <col min="14365" max="14365" width="12.33203125" style="427" bestFit="1" customWidth="1"/>
    <col min="14366" max="14366" width="15.5546875" style="427" bestFit="1" customWidth="1"/>
    <col min="14367" max="14367" width="9" style="427" bestFit="1" customWidth="1"/>
    <col min="14368" max="14368" width="14.33203125" style="427" bestFit="1" customWidth="1"/>
    <col min="14369" max="14369" width="11" style="427" bestFit="1" customWidth="1"/>
    <col min="14370" max="14371" width="14.33203125" style="427" bestFit="1" customWidth="1"/>
    <col min="14372" max="14372" width="8" style="427" bestFit="1" customWidth="1"/>
    <col min="14373" max="14373" width="14.33203125" style="427" bestFit="1" customWidth="1"/>
    <col min="14374" max="14374" width="9.109375" style="427"/>
    <col min="14375" max="14375" width="18.33203125" style="427" bestFit="1" customWidth="1"/>
    <col min="14376" max="14376" width="13" style="427" bestFit="1" customWidth="1"/>
    <col min="14377" max="14377" width="18.109375" style="427" customWidth="1"/>
    <col min="14378" max="14592" width="9.109375" style="427"/>
    <col min="14593" max="14593" width="6.33203125" style="427" customWidth="1"/>
    <col min="14594" max="14594" width="67.44140625" style="427" bestFit="1" customWidth="1"/>
    <col min="14595" max="14595" width="15.5546875" style="427" bestFit="1" customWidth="1"/>
    <col min="14596" max="14596" width="11" style="427" bestFit="1" customWidth="1"/>
    <col min="14597" max="14597" width="8.6640625" style="427" bestFit="1" customWidth="1"/>
    <col min="14598" max="14598" width="20" style="427" customWidth="1"/>
    <col min="14599" max="14599" width="8.6640625" style="427" bestFit="1" customWidth="1"/>
    <col min="14600" max="14600" width="18.6640625" style="427" customWidth="1"/>
    <col min="14601" max="14601" width="12.33203125" style="427" bestFit="1" customWidth="1"/>
    <col min="14602" max="14602" width="15.5546875" style="427" bestFit="1" customWidth="1"/>
    <col min="14603" max="14603" width="9" style="427" bestFit="1" customWidth="1"/>
    <col min="14604" max="14604" width="14.33203125" style="427" bestFit="1" customWidth="1"/>
    <col min="14605" max="14605" width="12.33203125" style="427" bestFit="1" customWidth="1"/>
    <col min="14606" max="14606" width="14.33203125" style="427" bestFit="1" customWidth="1"/>
    <col min="14607" max="14607" width="15.5546875" style="427" bestFit="1" customWidth="1"/>
    <col min="14608" max="14608" width="8" style="427" bestFit="1" customWidth="1"/>
    <col min="14609" max="14609" width="15.5546875" style="427" bestFit="1" customWidth="1"/>
    <col min="14610" max="14610" width="10.33203125" style="427" bestFit="1" customWidth="1"/>
    <col min="14611" max="14611" width="9.109375" style="427"/>
    <col min="14612" max="14612" width="17.5546875" style="427" bestFit="1" customWidth="1"/>
    <col min="14613" max="14613" width="10.6640625" style="427" bestFit="1" customWidth="1"/>
    <col min="14614" max="14614" width="9.109375" style="427"/>
    <col min="14615" max="14615" width="15.5546875" style="427" bestFit="1" customWidth="1"/>
    <col min="14616" max="14616" width="11" style="427" bestFit="1" customWidth="1"/>
    <col min="14617" max="14617" width="8.6640625" style="427" bestFit="1" customWidth="1"/>
    <col min="14618" max="14618" width="22.109375" style="427" customWidth="1"/>
    <col min="14619" max="14619" width="8.6640625" style="427" bestFit="1" customWidth="1"/>
    <col min="14620" max="14620" width="20.44140625" style="427" customWidth="1"/>
    <col min="14621" max="14621" width="12.33203125" style="427" bestFit="1" customWidth="1"/>
    <col min="14622" max="14622" width="15.5546875" style="427" bestFit="1" customWidth="1"/>
    <col min="14623" max="14623" width="9" style="427" bestFit="1" customWidth="1"/>
    <col min="14624" max="14624" width="14.33203125" style="427" bestFit="1" customWidth="1"/>
    <col min="14625" max="14625" width="11" style="427" bestFit="1" customWidth="1"/>
    <col min="14626" max="14627" width="14.33203125" style="427" bestFit="1" customWidth="1"/>
    <col min="14628" max="14628" width="8" style="427" bestFit="1" customWidth="1"/>
    <col min="14629" max="14629" width="14.33203125" style="427" bestFit="1" customWidth="1"/>
    <col min="14630" max="14630" width="9.109375" style="427"/>
    <col min="14631" max="14631" width="18.33203125" style="427" bestFit="1" customWidth="1"/>
    <col min="14632" max="14632" width="13" style="427" bestFit="1" customWidth="1"/>
    <col min="14633" max="14633" width="18.109375" style="427" customWidth="1"/>
    <col min="14634" max="14848" width="9.109375" style="427"/>
    <col min="14849" max="14849" width="6.33203125" style="427" customWidth="1"/>
    <col min="14850" max="14850" width="67.44140625" style="427" bestFit="1" customWidth="1"/>
    <col min="14851" max="14851" width="15.5546875" style="427" bestFit="1" customWidth="1"/>
    <col min="14852" max="14852" width="11" style="427" bestFit="1" customWidth="1"/>
    <col min="14853" max="14853" width="8.6640625" style="427" bestFit="1" customWidth="1"/>
    <col min="14854" max="14854" width="20" style="427" customWidth="1"/>
    <col min="14855" max="14855" width="8.6640625" style="427" bestFit="1" customWidth="1"/>
    <col min="14856" max="14856" width="18.6640625" style="427" customWidth="1"/>
    <col min="14857" max="14857" width="12.33203125" style="427" bestFit="1" customWidth="1"/>
    <col min="14858" max="14858" width="15.5546875" style="427" bestFit="1" customWidth="1"/>
    <col min="14859" max="14859" width="9" style="427" bestFit="1" customWidth="1"/>
    <col min="14860" max="14860" width="14.33203125" style="427" bestFit="1" customWidth="1"/>
    <col min="14861" max="14861" width="12.33203125" style="427" bestFit="1" customWidth="1"/>
    <col min="14862" max="14862" width="14.33203125" style="427" bestFit="1" customWidth="1"/>
    <col min="14863" max="14863" width="15.5546875" style="427" bestFit="1" customWidth="1"/>
    <col min="14864" max="14864" width="8" style="427" bestFit="1" customWidth="1"/>
    <col min="14865" max="14865" width="15.5546875" style="427" bestFit="1" customWidth="1"/>
    <col min="14866" max="14866" width="10.33203125" style="427" bestFit="1" customWidth="1"/>
    <col min="14867" max="14867" width="9.109375" style="427"/>
    <col min="14868" max="14868" width="17.5546875" style="427" bestFit="1" customWidth="1"/>
    <col min="14869" max="14869" width="10.6640625" style="427" bestFit="1" customWidth="1"/>
    <col min="14870" max="14870" width="9.109375" style="427"/>
    <col min="14871" max="14871" width="15.5546875" style="427" bestFit="1" customWidth="1"/>
    <col min="14872" max="14872" width="11" style="427" bestFit="1" customWidth="1"/>
    <col min="14873" max="14873" width="8.6640625" style="427" bestFit="1" customWidth="1"/>
    <col min="14874" max="14874" width="22.109375" style="427" customWidth="1"/>
    <col min="14875" max="14875" width="8.6640625" style="427" bestFit="1" customWidth="1"/>
    <col min="14876" max="14876" width="20.44140625" style="427" customWidth="1"/>
    <col min="14877" max="14877" width="12.33203125" style="427" bestFit="1" customWidth="1"/>
    <col min="14878" max="14878" width="15.5546875" style="427" bestFit="1" customWidth="1"/>
    <col min="14879" max="14879" width="9" style="427" bestFit="1" customWidth="1"/>
    <col min="14880" max="14880" width="14.33203125" style="427" bestFit="1" customWidth="1"/>
    <col min="14881" max="14881" width="11" style="427" bestFit="1" customWidth="1"/>
    <col min="14882" max="14883" width="14.33203125" style="427" bestFit="1" customWidth="1"/>
    <col min="14884" max="14884" width="8" style="427" bestFit="1" customWidth="1"/>
    <col min="14885" max="14885" width="14.33203125" style="427" bestFit="1" customWidth="1"/>
    <col min="14886" max="14886" width="9.109375" style="427"/>
    <col min="14887" max="14887" width="18.33203125" style="427" bestFit="1" customWidth="1"/>
    <col min="14888" max="14888" width="13" style="427" bestFit="1" customWidth="1"/>
    <col min="14889" max="14889" width="18.109375" style="427" customWidth="1"/>
    <col min="14890" max="15104" width="9.109375" style="427"/>
    <col min="15105" max="15105" width="6.33203125" style="427" customWidth="1"/>
    <col min="15106" max="15106" width="67.44140625" style="427" bestFit="1" customWidth="1"/>
    <col min="15107" max="15107" width="15.5546875" style="427" bestFit="1" customWidth="1"/>
    <col min="15108" max="15108" width="11" style="427" bestFit="1" customWidth="1"/>
    <col min="15109" max="15109" width="8.6640625" style="427" bestFit="1" customWidth="1"/>
    <col min="15110" max="15110" width="20" style="427" customWidth="1"/>
    <col min="15111" max="15111" width="8.6640625" style="427" bestFit="1" customWidth="1"/>
    <col min="15112" max="15112" width="18.6640625" style="427" customWidth="1"/>
    <col min="15113" max="15113" width="12.33203125" style="427" bestFit="1" customWidth="1"/>
    <col min="15114" max="15114" width="15.5546875" style="427" bestFit="1" customWidth="1"/>
    <col min="15115" max="15115" width="9" style="427" bestFit="1" customWidth="1"/>
    <col min="15116" max="15116" width="14.33203125" style="427" bestFit="1" customWidth="1"/>
    <col min="15117" max="15117" width="12.33203125" style="427" bestFit="1" customWidth="1"/>
    <col min="15118" max="15118" width="14.33203125" style="427" bestFit="1" customWidth="1"/>
    <col min="15119" max="15119" width="15.5546875" style="427" bestFit="1" customWidth="1"/>
    <col min="15120" max="15120" width="8" style="427" bestFit="1" customWidth="1"/>
    <col min="15121" max="15121" width="15.5546875" style="427" bestFit="1" customWidth="1"/>
    <col min="15122" max="15122" width="10.33203125" style="427" bestFit="1" customWidth="1"/>
    <col min="15123" max="15123" width="9.109375" style="427"/>
    <col min="15124" max="15124" width="17.5546875" style="427" bestFit="1" customWidth="1"/>
    <col min="15125" max="15125" width="10.6640625" style="427" bestFit="1" customWidth="1"/>
    <col min="15126" max="15126" width="9.109375" style="427"/>
    <col min="15127" max="15127" width="15.5546875" style="427" bestFit="1" customWidth="1"/>
    <col min="15128" max="15128" width="11" style="427" bestFit="1" customWidth="1"/>
    <col min="15129" max="15129" width="8.6640625" style="427" bestFit="1" customWidth="1"/>
    <col min="15130" max="15130" width="22.109375" style="427" customWidth="1"/>
    <col min="15131" max="15131" width="8.6640625" style="427" bestFit="1" customWidth="1"/>
    <col min="15132" max="15132" width="20.44140625" style="427" customWidth="1"/>
    <col min="15133" max="15133" width="12.33203125" style="427" bestFit="1" customWidth="1"/>
    <col min="15134" max="15134" width="15.5546875" style="427" bestFit="1" customWidth="1"/>
    <col min="15135" max="15135" width="9" style="427" bestFit="1" customWidth="1"/>
    <col min="15136" max="15136" width="14.33203125" style="427" bestFit="1" customWidth="1"/>
    <col min="15137" max="15137" width="11" style="427" bestFit="1" customWidth="1"/>
    <col min="15138" max="15139" width="14.33203125" style="427" bestFit="1" customWidth="1"/>
    <col min="15140" max="15140" width="8" style="427" bestFit="1" customWidth="1"/>
    <col min="15141" max="15141" width="14.33203125" style="427" bestFit="1" customWidth="1"/>
    <col min="15142" max="15142" width="9.109375" style="427"/>
    <col min="15143" max="15143" width="18.33203125" style="427" bestFit="1" customWidth="1"/>
    <col min="15144" max="15144" width="13" style="427" bestFit="1" customWidth="1"/>
    <col min="15145" max="15145" width="18.109375" style="427" customWidth="1"/>
    <col min="15146" max="15360" width="9.109375" style="427"/>
    <col min="15361" max="15361" width="6.33203125" style="427" customWidth="1"/>
    <col min="15362" max="15362" width="67.44140625" style="427" bestFit="1" customWidth="1"/>
    <col min="15363" max="15363" width="15.5546875" style="427" bestFit="1" customWidth="1"/>
    <col min="15364" max="15364" width="11" style="427" bestFit="1" customWidth="1"/>
    <col min="15365" max="15365" width="8.6640625" style="427" bestFit="1" customWidth="1"/>
    <col min="15366" max="15366" width="20" style="427" customWidth="1"/>
    <col min="15367" max="15367" width="8.6640625" style="427" bestFit="1" customWidth="1"/>
    <col min="15368" max="15368" width="18.6640625" style="427" customWidth="1"/>
    <col min="15369" max="15369" width="12.33203125" style="427" bestFit="1" customWidth="1"/>
    <col min="15370" max="15370" width="15.5546875" style="427" bestFit="1" customWidth="1"/>
    <col min="15371" max="15371" width="9" style="427" bestFit="1" customWidth="1"/>
    <col min="15372" max="15372" width="14.33203125" style="427" bestFit="1" customWidth="1"/>
    <col min="15373" max="15373" width="12.33203125" style="427" bestFit="1" customWidth="1"/>
    <col min="15374" max="15374" width="14.33203125" style="427" bestFit="1" customWidth="1"/>
    <col min="15375" max="15375" width="15.5546875" style="427" bestFit="1" customWidth="1"/>
    <col min="15376" max="15376" width="8" style="427" bestFit="1" customWidth="1"/>
    <col min="15377" max="15377" width="15.5546875" style="427" bestFit="1" customWidth="1"/>
    <col min="15378" max="15378" width="10.33203125" style="427" bestFit="1" customWidth="1"/>
    <col min="15379" max="15379" width="9.109375" style="427"/>
    <col min="15380" max="15380" width="17.5546875" style="427" bestFit="1" customWidth="1"/>
    <col min="15381" max="15381" width="10.6640625" style="427" bestFit="1" customWidth="1"/>
    <col min="15382" max="15382" width="9.109375" style="427"/>
    <col min="15383" max="15383" width="15.5546875" style="427" bestFit="1" customWidth="1"/>
    <col min="15384" max="15384" width="11" style="427" bestFit="1" customWidth="1"/>
    <col min="15385" max="15385" width="8.6640625" style="427" bestFit="1" customWidth="1"/>
    <col min="15386" max="15386" width="22.109375" style="427" customWidth="1"/>
    <col min="15387" max="15387" width="8.6640625" style="427" bestFit="1" customWidth="1"/>
    <col min="15388" max="15388" width="20.44140625" style="427" customWidth="1"/>
    <col min="15389" max="15389" width="12.33203125" style="427" bestFit="1" customWidth="1"/>
    <col min="15390" max="15390" width="15.5546875" style="427" bestFit="1" customWidth="1"/>
    <col min="15391" max="15391" width="9" style="427" bestFit="1" customWidth="1"/>
    <col min="15392" max="15392" width="14.33203125" style="427" bestFit="1" customWidth="1"/>
    <col min="15393" max="15393" width="11" style="427" bestFit="1" customWidth="1"/>
    <col min="15394" max="15395" width="14.33203125" style="427" bestFit="1" customWidth="1"/>
    <col min="15396" max="15396" width="8" style="427" bestFit="1" customWidth="1"/>
    <col min="15397" max="15397" width="14.33203125" style="427" bestFit="1" customWidth="1"/>
    <col min="15398" max="15398" width="9.109375" style="427"/>
    <col min="15399" max="15399" width="18.33203125" style="427" bestFit="1" customWidth="1"/>
    <col min="15400" max="15400" width="13" style="427" bestFit="1" customWidth="1"/>
    <col min="15401" max="15401" width="18.109375" style="427" customWidth="1"/>
    <col min="15402" max="15616" width="9.109375" style="427"/>
    <col min="15617" max="15617" width="6.33203125" style="427" customWidth="1"/>
    <col min="15618" max="15618" width="67.44140625" style="427" bestFit="1" customWidth="1"/>
    <col min="15619" max="15619" width="15.5546875" style="427" bestFit="1" customWidth="1"/>
    <col min="15620" max="15620" width="11" style="427" bestFit="1" customWidth="1"/>
    <col min="15621" max="15621" width="8.6640625" style="427" bestFit="1" customWidth="1"/>
    <col min="15622" max="15622" width="20" style="427" customWidth="1"/>
    <col min="15623" max="15623" width="8.6640625" style="427" bestFit="1" customWidth="1"/>
    <col min="15624" max="15624" width="18.6640625" style="427" customWidth="1"/>
    <col min="15625" max="15625" width="12.33203125" style="427" bestFit="1" customWidth="1"/>
    <col min="15626" max="15626" width="15.5546875" style="427" bestFit="1" customWidth="1"/>
    <col min="15627" max="15627" width="9" style="427" bestFit="1" customWidth="1"/>
    <col min="15628" max="15628" width="14.33203125" style="427" bestFit="1" customWidth="1"/>
    <col min="15629" max="15629" width="12.33203125" style="427" bestFit="1" customWidth="1"/>
    <col min="15630" max="15630" width="14.33203125" style="427" bestFit="1" customWidth="1"/>
    <col min="15631" max="15631" width="15.5546875" style="427" bestFit="1" customWidth="1"/>
    <col min="15632" max="15632" width="8" style="427" bestFit="1" customWidth="1"/>
    <col min="15633" max="15633" width="15.5546875" style="427" bestFit="1" customWidth="1"/>
    <col min="15634" max="15634" width="10.33203125" style="427" bestFit="1" customWidth="1"/>
    <col min="15635" max="15635" width="9.109375" style="427"/>
    <col min="15636" max="15636" width="17.5546875" style="427" bestFit="1" customWidth="1"/>
    <col min="15637" max="15637" width="10.6640625" style="427" bestFit="1" customWidth="1"/>
    <col min="15638" max="15638" width="9.109375" style="427"/>
    <col min="15639" max="15639" width="15.5546875" style="427" bestFit="1" customWidth="1"/>
    <col min="15640" max="15640" width="11" style="427" bestFit="1" customWidth="1"/>
    <col min="15641" max="15641" width="8.6640625" style="427" bestFit="1" customWidth="1"/>
    <col min="15642" max="15642" width="22.109375" style="427" customWidth="1"/>
    <col min="15643" max="15643" width="8.6640625" style="427" bestFit="1" customWidth="1"/>
    <col min="15644" max="15644" width="20.44140625" style="427" customWidth="1"/>
    <col min="15645" max="15645" width="12.33203125" style="427" bestFit="1" customWidth="1"/>
    <col min="15646" max="15646" width="15.5546875" style="427" bestFit="1" customWidth="1"/>
    <col min="15647" max="15647" width="9" style="427" bestFit="1" customWidth="1"/>
    <col min="15648" max="15648" width="14.33203125" style="427" bestFit="1" customWidth="1"/>
    <col min="15649" max="15649" width="11" style="427" bestFit="1" customWidth="1"/>
    <col min="15650" max="15651" width="14.33203125" style="427" bestFit="1" customWidth="1"/>
    <col min="15652" max="15652" width="8" style="427" bestFit="1" customWidth="1"/>
    <col min="15653" max="15653" width="14.33203125" style="427" bestFit="1" customWidth="1"/>
    <col min="15654" max="15654" width="9.109375" style="427"/>
    <col min="15655" max="15655" width="18.33203125" style="427" bestFit="1" customWidth="1"/>
    <col min="15656" max="15656" width="13" style="427" bestFit="1" customWidth="1"/>
    <col min="15657" max="15657" width="18.109375" style="427" customWidth="1"/>
    <col min="15658" max="15872" width="9.109375" style="427"/>
    <col min="15873" max="15873" width="6.33203125" style="427" customWidth="1"/>
    <col min="15874" max="15874" width="67.44140625" style="427" bestFit="1" customWidth="1"/>
    <col min="15875" max="15875" width="15.5546875" style="427" bestFit="1" customWidth="1"/>
    <col min="15876" max="15876" width="11" style="427" bestFit="1" customWidth="1"/>
    <col min="15877" max="15877" width="8.6640625" style="427" bestFit="1" customWidth="1"/>
    <col min="15878" max="15878" width="20" style="427" customWidth="1"/>
    <col min="15879" max="15879" width="8.6640625" style="427" bestFit="1" customWidth="1"/>
    <col min="15880" max="15880" width="18.6640625" style="427" customWidth="1"/>
    <col min="15881" max="15881" width="12.33203125" style="427" bestFit="1" customWidth="1"/>
    <col min="15882" max="15882" width="15.5546875" style="427" bestFit="1" customWidth="1"/>
    <col min="15883" max="15883" width="9" style="427" bestFit="1" customWidth="1"/>
    <col min="15884" max="15884" width="14.33203125" style="427" bestFit="1" customWidth="1"/>
    <col min="15885" max="15885" width="12.33203125" style="427" bestFit="1" customWidth="1"/>
    <col min="15886" max="15886" width="14.33203125" style="427" bestFit="1" customWidth="1"/>
    <col min="15887" max="15887" width="15.5546875" style="427" bestFit="1" customWidth="1"/>
    <col min="15888" max="15888" width="8" style="427" bestFit="1" customWidth="1"/>
    <col min="15889" max="15889" width="15.5546875" style="427" bestFit="1" customWidth="1"/>
    <col min="15890" max="15890" width="10.33203125" style="427" bestFit="1" customWidth="1"/>
    <col min="15891" max="15891" width="9.109375" style="427"/>
    <col min="15892" max="15892" width="17.5546875" style="427" bestFit="1" customWidth="1"/>
    <col min="15893" max="15893" width="10.6640625" style="427" bestFit="1" customWidth="1"/>
    <col min="15894" max="15894" width="9.109375" style="427"/>
    <col min="15895" max="15895" width="15.5546875" style="427" bestFit="1" customWidth="1"/>
    <col min="15896" max="15896" width="11" style="427" bestFit="1" customWidth="1"/>
    <col min="15897" max="15897" width="8.6640625" style="427" bestFit="1" customWidth="1"/>
    <col min="15898" max="15898" width="22.109375" style="427" customWidth="1"/>
    <col min="15899" max="15899" width="8.6640625" style="427" bestFit="1" customWidth="1"/>
    <col min="15900" max="15900" width="20.44140625" style="427" customWidth="1"/>
    <col min="15901" max="15901" width="12.33203125" style="427" bestFit="1" customWidth="1"/>
    <col min="15902" max="15902" width="15.5546875" style="427" bestFit="1" customWidth="1"/>
    <col min="15903" max="15903" width="9" style="427" bestFit="1" customWidth="1"/>
    <col min="15904" max="15904" width="14.33203125" style="427" bestFit="1" customWidth="1"/>
    <col min="15905" max="15905" width="11" style="427" bestFit="1" customWidth="1"/>
    <col min="15906" max="15907" width="14.33203125" style="427" bestFit="1" customWidth="1"/>
    <col min="15908" max="15908" width="8" style="427" bestFit="1" customWidth="1"/>
    <col min="15909" max="15909" width="14.33203125" style="427" bestFit="1" customWidth="1"/>
    <col min="15910" max="15910" width="9.109375" style="427"/>
    <col min="15911" max="15911" width="18.33203125" style="427" bestFit="1" customWidth="1"/>
    <col min="15912" max="15912" width="13" style="427" bestFit="1" customWidth="1"/>
    <col min="15913" max="15913" width="18.109375" style="427" customWidth="1"/>
    <col min="15914" max="16128" width="9.109375" style="427"/>
    <col min="16129" max="16129" width="6.33203125" style="427" customWidth="1"/>
    <col min="16130" max="16130" width="67.44140625" style="427" bestFit="1" customWidth="1"/>
    <col min="16131" max="16131" width="15.5546875" style="427" bestFit="1" customWidth="1"/>
    <col min="16132" max="16132" width="11" style="427" bestFit="1" customWidth="1"/>
    <col min="16133" max="16133" width="8.6640625" style="427" bestFit="1" customWidth="1"/>
    <col min="16134" max="16134" width="20" style="427" customWidth="1"/>
    <col min="16135" max="16135" width="8.6640625" style="427" bestFit="1" customWidth="1"/>
    <col min="16136" max="16136" width="18.6640625" style="427" customWidth="1"/>
    <col min="16137" max="16137" width="12.33203125" style="427" bestFit="1" customWidth="1"/>
    <col min="16138" max="16138" width="15.5546875" style="427" bestFit="1" customWidth="1"/>
    <col min="16139" max="16139" width="9" style="427" bestFit="1" customWidth="1"/>
    <col min="16140" max="16140" width="14.33203125" style="427" bestFit="1" customWidth="1"/>
    <col min="16141" max="16141" width="12.33203125" style="427" bestFit="1" customWidth="1"/>
    <col min="16142" max="16142" width="14.33203125" style="427" bestFit="1" customWidth="1"/>
    <col min="16143" max="16143" width="15.5546875" style="427" bestFit="1" customWidth="1"/>
    <col min="16144" max="16144" width="8" style="427" bestFit="1" customWidth="1"/>
    <col min="16145" max="16145" width="15.5546875" style="427" bestFit="1" customWidth="1"/>
    <col min="16146" max="16146" width="10.33203125" style="427" bestFit="1" customWidth="1"/>
    <col min="16147" max="16147" width="9.109375" style="427"/>
    <col min="16148" max="16148" width="17.5546875" style="427" bestFit="1" customWidth="1"/>
    <col min="16149" max="16149" width="10.6640625" style="427" bestFit="1" customWidth="1"/>
    <col min="16150" max="16150" width="9.109375" style="427"/>
    <col min="16151" max="16151" width="15.5546875" style="427" bestFit="1" customWidth="1"/>
    <col min="16152" max="16152" width="11" style="427" bestFit="1" customWidth="1"/>
    <col min="16153" max="16153" width="8.6640625" style="427" bestFit="1" customWidth="1"/>
    <col min="16154" max="16154" width="22.109375" style="427" customWidth="1"/>
    <col min="16155" max="16155" width="8.6640625" style="427" bestFit="1" customWidth="1"/>
    <col min="16156" max="16156" width="20.44140625" style="427" customWidth="1"/>
    <col min="16157" max="16157" width="12.33203125" style="427" bestFit="1" customWidth="1"/>
    <col min="16158" max="16158" width="15.5546875" style="427" bestFit="1" customWidth="1"/>
    <col min="16159" max="16159" width="9" style="427" bestFit="1" customWidth="1"/>
    <col min="16160" max="16160" width="14.33203125" style="427" bestFit="1" customWidth="1"/>
    <col min="16161" max="16161" width="11" style="427" bestFit="1" customWidth="1"/>
    <col min="16162" max="16163" width="14.33203125" style="427" bestFit="1" customWidth="1"/>
    <col min="16164" max="16164" width="8" style="427" bestFit="1" customWidth="1"/>
    <col min="16165" max="16165" width="14.33203125" style="427" bestFit="1" customWidth="1"/>
    <col min="16166" max="16166" width="9.109375" style="427"/>
    <col min="16167" max="16167" width="18.33203125" style="427" bestFit="1" customWidth="1"/>
    <col min="16168" max="16168" width="13" style="427" bestFit="1" customWidth="1"/>
    <col min="16169" max="16169" width="18.109375" style="427" customWidth="1"/>
    <col min="16170" max="16384" width="9.109375" style="427"/>
  </cols>
  <sheetData>
    <row r="1" spans="1:41" ht="15" hidden="1" outlineLevel="1">
      <c r="A1" s="763"/>
      <c r="B1" s="763" t="s">
        <v>397</v>
      </c>
      <c r="C1" s="763"/>
      <c r="D1" s="763"/>
      <c r="E1" s="763"/>
      <c r="F1" s="763"/>
      <c r="G1" s="763"/>
      <c r="H1" s="764" t="s">
        <v>396</v>
      </c>
      <c r="I1" s="764"/>
      <c r="J1" s="763"/>
      <c r="K1" s="763"/>
      <c r="L1" s="763"/>
      <c r="M1" s="762"/>
      <c r="N1" s="762"/>
      <c r="O1" s="496"/>
      <c r="P1" s="761"/>
      <c r="Q1" s="760"/>
      <c r="R1" s="760"/>
      <c r="S1" s="759"/>
      <c r="T1" s="497"/>
      <c r="U1" s="497"/>
      <c r="V1" s="759"/>
      <c r="W1" s="763"/>
      <c r="X1" s="763"/>
      <c r="Y1" s="763"/>
      <c r="Z1" s="763"/>
      <c r="AA1" s="763"/>
      <c r="AB1" s="764"/>
      <c r="AC1" s="764"/>
      <c r="AD1" s="763"/>
      <c r="AE1" s="763"/>
      <c r="AF1" s="763"/>
      <c r="AG1" s="762"/>
      <c r="AH1" s="762"/>
      <c r="AI1" s="496"/>
      <c r="AJ1" s="761"/>
      <c r="AK1" s="760"/>
      <c r="AL1" s="759"/>
      <c r="AM1" s="758"/>
      <c r="AN1" s="758"/>
      <c r="AO1" s="758"/>
    </row>
    <row r="2" spans="1:41" ht="15" hidden="1" outlineLevel="1">
      <c r="A2" s="605"/>
      <c r="B2" s="605" t="s">
        <v>792</v>
      </c>
      <c r="C2" s="605"/>
      <c r="D2" s="605"/>
      <c r="E2" s="605"/>
      <c r="F2" s="560" t="s">
        <v>67</v>
      </c>
      <c r="G2" s="560"/>
      <c r="H2" s="560" t="s">
        <v>674</v>
      </c>
      <c r="I2" s="560"/>
      <c r="J2" s="560"/>
      <c r="K2" s="560"/>
      <c r="L2" s="560"/>
      <c r="M2" s="604"/>
      <c r="N2" s="604"/>
      <c r="O2" s="557"/>
      <c r="P2" s="574"/>
      <c r="Q2" s="604"/>
      <c r="R2" s="604"/>
      <c r="S2" s="571"/>
      <c r="T2" s="603"/>
      <c r="U2" s="602"/>
      <c r="V2" s="571"/>
      <c r="W2" s="605"/>
      <c r="X2" s="605"/>
      <c r="Y2" s="605"/>
      <c r="Z2" s="560" t="s">
        <v>67</v>
      </c>
      <c r="AA2" s="560"/>
      <c r="AB2" s="560" t="s">
        <v>674</v>
      </c>
      <c r="AC2" s="560"/>
      <c r="AD2" s="560"/>
      <c r="AE2" s="560"/>
      <c r="AF2" s="560"/>
      <c r="AG2" s="604"/>
      <c r="AH2" s="604"/>
      <c r="AI2" s="557"/>
      <c r="AJ2" s="574"/>
      <c r="AK2" s="604"/>
      <c r="AL2" s="571"/>
      <c r="AM2" s="565"/>
      <c r="AN2" s="565"/>
      <c r="AO2" s="565"/>
    </row>
    <row r="3" spans="1:41" ht="15" hidden="1" outlineLevel="1">
      <c r="A3" s="574"/>
      <c r="B3" s="574"/>
      <c r="C3" s="574"/>
      <c r="D3" s="574"/>
      <c r="E3" s="574"/>
      <c r="F3" s="574"/>
      <c r="G3" s="574"/>
      <c r="H3" s="574"/>
      <c r="I3" s="574"/>
      <c r="J3" s="557"/>
      <c r="K3" s="557"/>
      <c r="L3" s="557"/>
      <c r="M3" s="557"/>
      <c r="N3" s="557"/>
      <c r="O3" s="601"/>
      <c r="P3" s="574"/>
      <c r="Q3" s="574"/>
      <c r="R3" s="574"/>
      <c r="S3" s="571"/>
      <c r="T3" s="571"/>
      <c r="U3" s="571"/>
      <c r="V3" s="571"/>
      <c r="W3" s="574"/>
      <c r="X3" s="574"/>
      <c r="Y3" s="574"/>
      <c r="Z3" s="574"/>
      <c r="AA3" s="574"/>
      <c r="AB3" s="574"/>
      <c r="AC3" s="574"/>
      <c r="AD3" s="557"/>
      <c r="AE3" s="557"/>
      <c r="AF3" s="557"/>
      <c r="AG3" s="557"/>
      <c r="AH3" s="557"/>
      <c r="AI3" s="601"/>
      <c r="AJ3" s="574"/>
      <c r="AK3" s="574"/>
      <c r="AL3" s="571"/>
      <c r="AM3" s="565"/>
      <c r="AN3" s="565"/>
      <c r="AO3" s="565"/>
    </row>
    <row r="4" spans="1:41" ht="15" hidden="1" outlineLevel="1">
      <c r="A4" s="600"/>
      <c r="B4" s="600" t="s">
        <v>245</v>
      </c>
      <c r="C4" s="600"/>
      <c r="D4" s="600"/>
      <c r="E4" s="600"/>
      <c r="F4" s="600" t="s">
        <v>244</v>
      </c>
      <c r="G4" s="600"/>
      <c r="H4" s="600" t="s">
        <v>243</v>
      </c>
      <c r="I4" s="600"/>
      <c r="J4" s="557"/>
      <c r="K4" s="557"/>
      <c r="L4" s="557"/>
      <c r="M4" s="557"/>
      <c r="N4" s="557"/>
      <c r="O4" s="568" t="s">
        <v>242</v>
      </c>
      <c r="P4" s="560"/>
      <c r="Q4" s="568"/>
      <c r="R4" s="568"/>
      <c r="S4" s="570"/>
      <c r="T4" s="568"/>
      <c r="U4" s="570"/>
      <c r="V4" s="570"/>
      <c r="W4" s="600"/>
      <c r="X4" s="600"/>
      <c r="Y4" s="600"/>
      <c r="Z4" s="600" t="s">
        <v>244</v>
      </c>
      <c r="AA4" s="600"/>
      <c r="AB4" s="600" t="s">
        <v>243</v>
      </c>
      <c r="AC4" s="600"/>
      <c r="AD4" s="557"/>
      <c r="AE4" s="557"/>
      <c r="AF4" s="557"/>
      <c r="AG4" s="557"/>
      <c r="AH4" s="557"/>
      <c r="AI4" s="568" t="s">
        <v>242</v>
      </c>
      <c r="AJ4" s="560"/>
      <c r="AK4" s="568"/>
      <c r="AL4" s="570"/>
      <c r="AM4" s="565"/>
      <c r="AN4" s="565"/>
      <c r="AO4" s="565"/>
    </row>
    <row r="5" spans="1:41" ht="15.6" hidden="1" outlineLevel="1">
      <c r="A5" s="566"/>
      <c r="B5" s="566"/>
      <c r="C5" s="566"/>
      <c r="D5" s="566"/>
      <c r="E5" s="566"/>
      <c r="F5" s="588" t="s">
        <v>675</v>
      </c>
      <c r="G5" s="588"/>
      <c r="H5" s="560"/>
      <c r="I5" s="560"/>
      <c r="J5" s="557"/>
      <c r="K5" s="557"/>
      <c r="L5" s="557"/>
      <c r="M5" s="557"/>
      <c r="N5" s="557"/>
      <c r="O5" s="557"/>
      <c r="P5" s="560"/>
      <c r="Q5" s="557"/>
      <c r="R5" s="557"/>
      <c r="S5" s="570"/>
      <c r="T5" s="583"/>
      <c r="U5" s="583"/>
      <c r="V5" s="570"/>
      <c r="W5" s="566"/>
      <c r="X5" s="566"/>
      <c r="Y5" s="566"/>
      <c r="Z5" s="588" t="s">
        <v>675</v>
      </c>
      <c r="AA5" s="588"/>
      <c r="AB5" s="560"/>
      <c r="AC5" s="560"/>
      <c r="AD5" s="557"/>
      <c r="AE5" s="557"/>
      <c r="AF5" s="557"/>
      <c r="AG5" s="557"/>
      <c r="AH5" s="557"/>
      <c r="AI5" s="557"/>
      <c r="AJ5" s="560"/>
      <c r="AK5" s="557"/>
      <c r="AL5" s="570"/>
      <c r="AM5" s="565"/>
      <c r="AN5" s="565"/>
      <c r="AO5" s="565"/>
    </row>
    <row r="6" spans="1:41" ht="15.6" hidden="1" outlineLevel="1">
      <c r="A6" s="581" t="s">
        <v>8</v>
      </c>
      <c r="B6" s="566"/>
      <c r="C6" s="566"/>
      <c r="D6" s="566"/>
      <c r="E6" s="566"/>
      <c r="F6" s="599" t="s">
        <v>239</v>
      </c>
      <c r="G6" s="599"/>
      <c r="H6" s="598" t="s">
        <v>25</v>
      </c>
      <c r="I6" s="598"/>
      <c r="J6" s="557"/>
      <c r="K6" s="557"/>
      <c r="L6" s="557"/>
      <c r="M6" s="557"/>
      <c r="N6" s="557"/>
      <c r="O6" s="598" t="s">
        <v>333</v>
      </c>
      <c r="P6" s="560"/>
      <c r="Q6" s="557"/>
      <c r="R6" s="557"/>
      <c r="S6" s="571"/>
      <c r="T6" s="597"/>
      <c r="U6" s="583"/>
      <c r="V6" s="571"/>
      <c r="W6" s="566"/>
      <c r="X6" s="566"/>
      <c r="Y6" s="566"/>
      <c r="Z6" s="599" t="s">
        <v>239</v>
      </c>
      <c r="AA6" s="599"/>
      <c r="AB6" s="598" t="s">
        <v>25</v>
      </c>
      <c r="AC6" s="598"/>
      <c r="AD6" s="557"/>
      <c r="AE6" s="557"/>
      <c r="AF6" s="557"/>
      <c r="AG6" s="557"/>
      <c r="AH6" s="557"/>
      <c r="AI6" s="598" t="s">
        <v>333</v>
      </c>
      <c r="AJ6" s="560"/>
      <c r="AK6" s="557"/>
      <c r="AL6" s="571"/>
      <c r="AM6" s="565"/>
      <c r="AN6" s="565"/>
      <c r="AO6" s="565"/>
    </row>
    <row r="7" spans="1:41" ht="15.6" hidden="1" outlineLevel="1">
      <c r="A7" s="581" t="s">
        <v>177</v>
      </c>
      <c r="B7" s="582"/>
      <c r="C7" s="582"/>
      <c r="D7" s="582"/>
      <c r="E7" s="582"/>
      <c r="F7" s="560"/>
      <c r="G7" s="560"/>
      <c r="H7" s="560"/>
      <c r="I7" s="560"/>
      <c r="J7" s="557"/>
      <c r="K7" s="557"/>
      <c r="L7" s="557"/>
      <c r="M7" s="557"/>
      <c r="N7" s="557"/>
      <c r="O7" s="560"/>
      <c r="P7" s="560"/>
      <c r="Q7" s="560"/>
      <c r="R7" s="560"/>
      <c r="S7" s="571"/>
      <c r="T7" s="570"/>
      <c r="U7" s="570"/>
      <c r="V7" s="571"/>
      <c r="W7" s="582"/>
      <c r="X7" s="582"/>
      <c r="Y7" s="582"/>
      <c r="Z7" s="560"/>
      <c r="AA7" s="560"/>
      <c r="AB7" s="560"/>
      <c r="AC7" s="560"/>
      <c r="AD7" s="557"/>
      <c r="AE7" s="557"/>
      <c r="AF7" s="557"/>
      <c r="AG7" s="557"/>
      <c r="AH7" s="557"/>
      <c r="AI7" s="560"/>
      <c r="AJ7" s="560"/>
      <c r="AK7" s="560"/>
      <c r="AL7" s="571"/>
      <c r="AM7" s="565"/>
      <c r="AN7" s="565"/>
      <c r="AO7" s="565"/>
    </row>
    <row r="8" spans="1:41" ht="15.6" hidden="1" outlineLevel="1">
      <c r="A8" s="596"/>
      <c r="B8" s="566"/>
      <c r="C8" s="566"/>
      <c r="D8" s="566"/>
      <c r="E8" s="566"/>
      <c r="F8" s="560"/>
      <c r="G8" s="560"/>
      <c r="H8" s="560"/>
      <c r="I8" s="560"/>
      <c r="J8" s="557"/>
      <c r="K8" s="557"/>
      <c r="L8" s="557"/>
      <c r="M8" s="557"/>
      <c r="N8" s="557"/>
      <c r="O8" s="560"/>
      <c r="P8" s="560"/>
      <c r="Q8" s="560"/>
      <c r="R8" s="560"/>
      <c r="S8" s="571"/>
      <c r="T8" s="570"/>
      <c r="U8" s="570"/>
      <c r="V8" s="571"/>
      <c r="W8" s="566"/>
      <c r="X8" s="566"/>
      <c r="Y8" s="566"/>
      <c r="Z8" s="560"/>
      <c r="AA8" s="560"/>
      <c r="AB8" s="560"/>
      <c r="AC8" s="560"/>
      <c r="AD8" s="557"/>
      <c r="AE8" s="557"/>
      <c r="AF8" s="557"/>
      <c r="AG8" s="557"/>
      <c r="AH8" s="557"/>
      <c r="AI8" s="560"/>
      <c r="AJ8" s="560"/>
      <c r="AK8" s="560"/>
      <c r="AL8" s="571"/>
      <c r="AM8" s="565"/>
      <c r="AN8" s="565"/>
      <c r="AO8" s="565"/>
    </row>
    <row r="9" spans="1:41" ht="15" hidden="1" outlineLevel="1">
      <c r="A9" s="498">
        <v>1</v>
      </c>
      <c r="B9" s="566" t="s">
        <v>394</v>
      </c>
      <c r="C9" s="566"/>
      <c r="D9" s="566"/>
      <c r="E9" s="566"/>
      <c r="F9" s="590" t="s">
        <v>676</v>
      </c>
      <c r="G9" s="590"/>
      <c r="H9" s="756">
        <v>4150928538.1234717</v>
      </c>
      <c r="I9" s="560"/>
      <c r="J9" s="557"/>
      <c r="K9" s="557"/>
      <c r="L9" s="557"/>
      <c r="M9" s="557"/>
      <c r="N9" s="557"/>
      <c r="O9" s="557"/>
      <c r="P9" s="560"/>
      <c r="Q9" s="560"/>
      <c r="R9" s="560"/>
      <c r="S9" s="571"/>
      <c r="T9" s="570"/>
      <c r="U9" s="570"/>
      <c r="V9" s="571"/>
      <c r="W9" s="566"/>
      <c r="X9" s="566"/>
      <c r="Y9" s="566"/>
      <c r="Z9" s="590" t="s">
        <v>676</v>
      </c>
      <c r="AA9" s="590"/>
      <c r="AB9" s="756">
        <v>4149327607.2907691</v>
      </c>
      <c r="AC9" s="560"/>
      <c r="AD9" s="557"/>
      <c r="AE9" s="557"/>
      <c r="AF9" s="557"/>
      <c r="AG9" s="557"/>
      <c r="AH9" s="557"/>
      <c r="AI9" s="557"/>
      <c r="AJ9" s="560"/>
      <c r="AK9" s="560"/>
      <c r="AL9" s="571"/>
      <c r="AM9" s="565"/>
      <c r="AN9" s="565"/>
      <c r="AO9" s="565"/>
    </row>
    <row r="10" spans="1:41" ht="15" hidden="1" outlineLevel="1">
      <c r="A10" s="498" t="s">
        <v>234</v>
      </c>
      <c r="B10" s="566" t="s">
        <v>450</v>
      </c>
      <c r="C10" s="566"/>
      <c r="D10" s="566"/>
      <c r="E10" s="566"/>
      <c r="F10" s="590" t="s">
        <v>732</v>
      </c>
      <c r="G10" s="590"/>
      <c r="H10" s="757">
        <v>995297715.50077271</v>
      </c>
      <c r="I10" s="612"/>
      <c r="J10" s="557"/>
      <c r="K10" s="557"/>
      <c r="L10" s="557"/>
      <c r="M10" s="557"/>
      <c r="N10" s="557"/>
      <c r="O10" s="557"/>
      <c r="P10" s="560"/>
      <c r="Q10" s="560"/>
      <c r="R10" s="560"/>
      <c r="S10" s="571"/>
      <c r="T10" s="570"/>
      <c r="U10" s="570"/>
      <c r="V10" s="571"/>
      <c r="W10" s="566"/>
      <c r="X10" s="566"/>
      <c r="Y10" s="566"/>
      <c r="Z10" s="590" t="s">
        <v>732</v>
      </c>
      <c r="AA10" s="590"/>
      <c r="AB10" s="757">
        <v>990179502.54485977</v>
      </c>
      <c r="AC10" s="612"/>
      <c r="AD10" s="557"/>
      <c r="AE10" s="557"/>
      <c r="AF10" s="557"/>
      <c r="AG10" s="557"/>
      <c r="AH10" s="557"/>
      <c r="AI10" s="557"/>
      <c r="AJ10" s="560"/>
      <c r="AK10" s="560"/>
      <c r="AL10" s="571"/>
      <c r="AM10" s="565"/>
      <c r="AN10" s="565"/>
      <c r="AO10" s="565"/>
    </row>
    <row r="11" spans="1:41" ht="15" hidden="1" outlineLevel="1">
      <c r="A11" s="498">
        <v>2</v>
      </c>
      <c r="B11" s="566" t="s">
        <v>393</v>
      </c>
      <c r="C11" s="566"/>
      <c r="D11" s="566"/>
      <c r="E11" s="566"/>
      <c r="F11" s="590" t="s">
        <v>449</v>
      </c>
      <c r="G11" s="590"/>
      <c r="H11" s="610">
        <v>3155630822.6226988</v>
      </c>
      <c r="I11" s="613"/>
      <c r="J11" s="557"/>
      <c r="K11" s="557"/>
      <c r="L11" s="557"/>
      <c r="M11" s="557"/>
      <c r="N11" s="557"/>
      <c r="O11" s="557"/>
      <c r="P11" s="560"/>
      <c r="Q11" s="560"/>
      <c r="R11" s="560"/>
      <c r="S11" s="571"/>
      <c r="T11" s="570"/>
      <c r="U11" s="570"/>
      <c r="V11" s="571"/>
      <c r="W11" s="566"/>
      <c r="X11" s="566"/>
      <c r="Y11" s="566"/>
      <c r="Z11" s="590" t="s">
        <v>449</v>
      </c>
      <c r="AA11" s="590"/>
      <c r="AB11" s="610">
        <v>3159148104.7459092</v>
      </c>
      <c r="AC11" s="613"/>
      <c r="AD11" s="557"/>
      <c r="AE11" s="557"/>
      <c r="AF11" s="557"/>
      <c r="AG11" s="557"/>
      <c r="AH11" s="557"/>
      <c r="AI11" s="557"/>
      <c r="AJ11" s="560"/>
      <c r="AK11" s="560"/>
      <c r="AL11" s="571"/>
      <c r="AM11" s="565"/>
      <c r="AN11" s="565"/>
      <c r="AO11" s="565"/>
    </row>
    <row r="12" spans="1:41" ht="15" hidden="1" outlineLevel="1">
      <c r="A12" s="498"/>
      <c r="B12" s="557"/>
      <c r="C12" s="557"/>
      <c r="D12" s="557"/>
      <c r="E12" s="557"/>
      <c r="F12" s="590"/>
      <c r="G12" s="590"/>
      <c r="H12" s="557"/>
      <c r="I12" s="557"/>
      <c r="J12" s="557"/>
      <c r="K12" s="557"/>
      <c r="L12" s="557"/>
      <c r="M12" s="557"/>
      <c r="N12" s="557"/>
      <c r="O12" s="557"/>
      <c r="P12" s="560"/>
      <c r="Q12" s="560"/>
      <c r="R12" s="560"/>
      <c r="S12" s="571"/>
      <c r="T12" s="570"/>
      <c r="U12" s="570"/>
      <c r="V12" s="571"/>
      <c r="W12" s="557"/>
      <c r="X12" s="557"/>
      <c r="Y12" s="557"/>
      <c r="Z12" s="590"/>
      <c r="AA12" s="590"/>
      <c r="AB12" s="557"/>
      <c r="AC12" s="557"/>
      <c r="AD12" s="557"/>
      <c r="AE12" s="557"/>
      <c r="AF12" s="557"/>
      <c r="AG12" s="557"/>
      <c r="AH12" s="557"/>
      <c r="AI12" s="557"/>
      <c r="AJ12" s="560"/>
      <c r="AK12" s="560"/>
      <c r="AL12" s="571"/>
      <c r="AM12" s="565"/>
      <c r="AN12" s="565"/>
      <c r="AO12" s="565"/>
    </row>
    <row r="13" spans="1:41" ht="15" hidden="1" outlineLevel="1">
      <c r="A13" s="498"/>
      <c r="B13" s="566" t="s">
        <v>448</v>
      </c>
      <c r="C13" s="566"/>
      <c r="D13" s="566"/>
      <c r="E13" s="566"/>
      <c r="F13" s="590"/>
      <c r="G13" s="590"/>
      <c r="H13" s="560"/>
      <c r="I13" s="560"/>
      <c r="J13" s="557"/>
      <c r="K13" s="557"/>
      <c r="L13" s="557"/>
      <c r="M13" s="557"/>
      <c r="N13" s="557"/>
      <c r="O13" s="560"/>
      <c r="P13" s="560"/>
      <c r="Q13" s="560"/>
      <c r="R13" s="560"/>
      <c r="S13" s="570"/>
      <c r="T13" s="570"/>
      <c r="U13" s="570"/>
      <c r="V13" s="570"/>
      <c r="W13" s="566"/>
      <c r="X13" s="566"/>
      <c r="Y13" s="566"/>
      <c r="Z13" s="590"/>
      <c r="AA13" s="590"/>
      <c r="AB13" s="560"/>
      <c r="AC13" s="560"/>
      <c r="AD13" s="557"/>
      <c r="AE13" s="557"/>
      <c r="AF13" s="557"/>
      <c r="AG13" s="557"/>
      <c r="AH13" s="557"/>
      <c r="AI13" s="560"/>
      <c r="AJ13" s="560"/>
      <c r="AK13" s="560"/>
      <c r="AL13" s="570"/>
      <c r="AM13" s="565"/>
      <c r="AN13" s="565"/>
      <c r="AO13" s="565"/>
    </row>
    <row r="14" spans="1:41" ht="15" hidden="1" outlineLevel="1">
      <c r="A14" s="498">
        <v>3</v>
      </c>
      <c r="B14" s="566" t="s">
        <v>391</v>
      </c>
      <c r="C14" s="566"/>
      <c r="D14" s="566"/>
      <c r="E14" s="566"/>
      <c r="F14" s="590" t="s">
        <v>680</v>
      </c>
      <c r="G14" s="590"/>
      <c r="H14" s="756">
        <v>159809923.32333401</v>
      </c>
      <c r="I14" s="560"/>
      <c r="J14" s="557"/>
      <c r="K14" s="557"/>
      <c r="L14" s="557"/>
      <c r="M14" s="557"/>
      <c r="N14" s="557"/>
      <c r="O14" s="557"/>
      <c r="P14" s="560"/>
      <c r="Q14" s="560"/>
      <c r="R14" s="560"/>
      <c r="S14" s="570"/>
      <c r="T14" s="570"/>
      <c r="U14" s="570"/>
      <c r="V14" s="570"/>
      <c r="W14" s="566"/>
      <c r="X14" s="566"/>
      <c r="Y14" s="566"/>
      <c r="Z14" s="590" t="s">
        <v>680</v>
      </c>
      <c r="AA14" s="590"/>
      <c r="AB14" s="756">
        <v>146218483.97076175</v>
      </c>
      <c r="AC14" s="560"/>
      <c r="AD14" s="557"/>
      <c r="AE14" s="557"/>
      <c r="AF14" s="557"/>
      <c r="AG14" s="557"/>
      <c r="AH14" s="557"/>
      <c r="AI14" s="557"/>
      <c r="AJ14" s="560"/>
      <c r="AK14" s="560"/>
      <c r="AL14" s="570"/>
      <c r="AM14" s="565"/>
      <c r="AN14" s="565"/>
      <c r="AO14" s="565"/>
    </row>
    <row r="15" spans="1:41" ht="15" hidden="1" outlineLevel="1">
      <c r="A15" s="498" t="s">
        <v>447</v>
      </c>
      <c r="B15" s="566" t="s">
        <v>446</v>
      </c>
      <c r="C15" s="566"/>
      <c r="D15" s="566"/>
      <c r="E15" s="566"/>
      <c r="F15" s="590" t="s">
        <v>733</v>
      </c>
      <c r="G15" s="590"/>
      <c r="H15" s="756">
        <v>103402774.52401197</v>
      </c>
      <c r="I15" s="560"/>
      <c r="J15" s="557"/>
      <c r="K15" s="557"/>
      <c r="L15" s="557"/>
      <c r="M15" s="557"/>
      <c r="N15" s="557"/>
      <c r="O15" s="557"/>
      <c r="P15" s="560"/>
      <c r="Q15" s="560"/>
      <c r="R15" s="560"/>
      <c r="S15" s="570"/>
      <c r="T15" s="570"/>
      <c r="U15" s="570"/>
      <c r="V15" s="570"/>
      <c r="W15" s="566"/>
      <c r="X15" s="566"/>
      <c r="Y15" s="566"/>
      <c r="Z15" s="590" t="s">
        <v>733</v>
      </c>
      <c r="AA15" s="590"/>
      <c r="AB15" s="756">
        <v>103968530.5</v>
      </c>
      <c r="AC15" s="560"/>
      <c r="AD15" s="557"/>
      <c r="AE15" s="557"/>
      <c r="AF15" s="557"/>
      <c r="AG15" s="557"/>
      <c r="AH15" s="557"/>
      <c r="AI15" s="557"/>
      <c r="AJ15" s="560"/>
      <c r="AK15" s="560"/>
      <c r="AL15" s="570"/>
      <c r="AM15" s="565"/>
      <c r="AN15" s="565"/>
      <c r="AO15" s="565"/>
    </row>
    <row r="16" spans="1:41" ht="15" hidden="1" outlineLevel="1">
      <c r="A16" s="498" t="s">
        <v>465</v>
      </c>
      <c r="B16" s="566" t="s">
        <v>734</v>
      </c>
      <c r="C16" s="566"/>
      <c r="D16" s="566"/>
      <c r="E16" s="566"/>
      <c r="F16" s="590" t="s">
        <v>733</v>
      </c>
      <c r="G16" s="590"/>
      <c r="H16" s="756">
        <v>19717656.27</v>
      </c>
      <c r="I16" s="560"/>
      <c r="J16" s="557"/>
      <c r="K16" s="557"/>
      <c r="L16" s="557"/>
      <c r="M16" s="557"/>
      <c r="N16" s="557"/>
      <c r="O16" s="557"/>
      <c r="P16" s="560"/>
      <c r="Q16" s="560"/>
      <c r="R16" s="560"/>
      <c r="S16" s="570"/>
      <c r="T16" s="570"/>
      <c r="U16" s="570"/>
      <c r="V16" s="570"/>
      <c r="W16" s="566"/>
      <c r="X16" s="566"/>
      <c r="Y16" s="566"/>
      <c r="Z16" s="590" t="s">
        <v>733</v>
      </c>
      <c r="AA16" s="590"/>
      <c r="AB16" s="756">
        <v>19012033.280000001</v>
      </c>
      <c r="AC16" s="560"/>
      <c r="AD16" s="557"/>
      <c r="AE16" s="557"/>
      <c r="AF16" s="557"/>
      <c r="AG16" s="557"/>
      <c r="AH16" s="557"/>
      <c r="AI16" s="557"/>
      <c r="AJ16" s="560"/>
      <c r="AK16" s="560"/>
      <c r="AL16" s="570"/>
      <c r="AM16" s="565"/>
      <c r="AN16" s="565"/>
      <c r="AO16" s="565"/>
    </row>
    <row r="17" spans="1:41" ht="15" hidden="1" outlineLevel="1">
      <c r="A17" s="498" t="s">
        <v>445</v>
      </c>
      <c r="B17" s="566" t="s">
        <v>444</v>
      </c>
      <c r="C17" s="566"/>
      <c r="D17" s="566"/>
      <c r="E17" s="566"/>
      <c r="F17" s="590" t="s">
        <v>735</v>
      </c>
      <c r="G17" s="590"/>
      <c r="H17" s="756">
        <v>0</v>
      </c>
      <c r="I17" s="560"/>
      <c r="J17" s="557"/>
      <c r="K17" s="557"/>
      <c r="L17" s="557"/>
      <c r="M17" s="557"/>
      <c r="N17" s="557"/>
      <c r="O17" s="557"/>
      <c r="P17" s="560"/>
      <c r="Q17" s="560"/>
      <c r="R17" s="560"/>
      <c r="S17" s="570"/>
      <c r="T17" s="570"/>
      <c r="U17" s="570"/>
      <c r="V17" s="570"/>
      <c r="W17" s="566"/>
      <c r="X17" s="566"/>
      <c r="Y17" s="566"/>
      <c r="Z17" s="590" t="s">
        <v>735</v>
      </c>
      <c r="AA17" s="590"/>
      <c r="AB17" s="756">
        <v>0</v>
      </c>
      <c r="AC17" s="560"/>
      <c r="AD17" s="557"/>
      <c r="AE17" s="557"/>
      <c r="AF17" s="557"/>
      <c r="AG17" s="557"/>
      <c r="AH17" s="557"/>
      <c r="AI17" s="557"/>
      <c r="AJ17" s="560"/>
      <c r="AK17" s="560"/>
      <c r="AL17" s="570"/>
      <c r="AM17" s="565"/>
      <c r="AN17" s="565"/>
      <c r="AO17" s="565"/>
    </row>
    <row r="18" spans="1:41" ht="15" hidden="1" outlineLevel="1">
      <c r="A18" s="498" t="s">
        <v>443</v>
      </c>
      <c r="B18" s="566" t="s">
        <v>442</v>
      </c>
      <c r="C18" s="566"/>
      <c r="D18" s="566"/>
      <c r="E18" s="566"/>
      <c r="F18" s="590" t="s">
        <v>736</v>
      </c>
      <c r="G18" s="590"/>
      <c r="H18" s="757">
        <v>0</v>
      </c>
      <c r="I18" s="612"/>
      <c r="J18" s="557"/>
      <c r="K18" s="557"/>
      <c r="L18" s="557"/>
      <c r="M18" s="557"/>
      <c r="N18" s="557"/>
      <c r="O18" s="557"/>
      <c r="P18" s="560"/>
      <c r="Q18" s="560"/>
      <c r="R18" s="560"/>
      <c r="S18" s="570"/>
      <c r="T18" s="570"/>
      <c r="U18" s="570"/>
      <c r="V18" s="570"/>
      <c r="W18" s="566"/>
      <c r="X18" s="566"/>
      <c r="Y18" s="566"/>
      <c r="Z18" s="590" t="s">
        <v>736</v>
      </c>
      <c r="AA18" s="590"/>
      <c r="AB18" s="757">
        <v>0</v>
      </c>
      <c r="AC18" s="612"/>
      <c r="AD18" s="557"/>
      <c r="AE18" s="557"/>
      <c r="AF18" s="557"/>
      <c r="AG18" s="557"/>
      <c r="AH18" s="557"/>
      <c r="AI18" s="557"/>
      <c r="AJ18" s="560"/>
      <c r="AK18" s="560"/>
      <c r="AL18" s="570"/>
      <c r="AM18" s="565"/>
      <c r="AN18" s="565"/>
      <c r="AO18" s="565"/>
    </row>
    <row r="19" spans="1:41" ht="15" hidden="1" outlineLevel="1">
      <c r="A19" s="498" t="s">
        <v>441</v>
      </c>
      <c r="B19" s="566" t="s">
        <v>440</v>
      </c>
      <c r="C19" s="566"/>
      <c r="D19" s="566"/>
      <c r="E19" s="566"/>
      <c r="F19" s="590" t="s">
        <v>737</v>
      </c>
      <c r="G19" s="590"/>
      <c r="H19" s="610">
        <v>83685118.254011974</v>
      </c>
      <c r="I19" s="560"/>
      <c r="J19" s="557"/>
      <c r="K19" s="557"/>
      <c r="L19" s="557"/>
      <c r="M19" s="557"/>
      <c r="N19" s="557"/>
      <c r="O19" s="557"/>
      <c r="P19" s="560"/>
      <c r="Q19" s="560"/>
      <c r="R19" s="560"/>
      <c r="S19" s="570"/>
      <c r="T19" s="570"/>
      <c r="U19" s="570"/>
      <c r="V19" s="570"/>
      <c r="W19" s="566"/>
      <c r="X19" s="566"/>
      <c r="Y19" s="566"/>
      <c r="Z19" s="590" t="s">
        <v>737</v>
      </c>
      <c r="AA19" s="590"/>
      <c r="AB19" s="610">
        <v>84956497.219999999</v>
      </c>
      <c r="AC19" s="560"/>
      <c r="AD19" s="557"/>
      <c r="AE19" s="557"/>
      <c r="AF19" s="557"/>
      <c r="AG19" s="557"/>
      <c r="AH19" s="557"/>
      <c r="AI19" s="557"/>
      <c r="AJ19" s="560"/>
      <c r="AK19" s="560"/>
      <c r="AL19" s="570"/>
      <c r="AM19" s="565"/>
      <c r="AN19" s="565"/>
      <c r="AO19" s="565"/>
    </row>
    <row r="20" spans="1:41" ht="15" hidden="1" outlineLevel="1">
      <c r="A20" s="498"/>
      <c r="B20" s="566"/>
      <c r="C20" s="566"/>
      <c r="D20" s="566"/>
      <c r="E20" s="566"/>
      <c r="F20" s="590"/>
      <c r="G20" s="590"/>
      <c r="H20" s="560"/>
      <c r="I20" s="560"/>
      <c r="J20" s="557"/>
      <c r="K20" s="557"/>
      <c r="L20" s="557"/>
      <c r="M20" s="557"/>
      <c r="N20" s="557"/>
      <c r="O20" s="557"/>
      <c r="P20" s="560"/>
      <c r="Q20" s="560"/>
      <c r="R20" s="560"/>
      <c r="S20" s="570"/>
      <c r="T20" s="570"/>
      <c r="U20" s="570"/>
      <c r="V20" s="570"/>
      <c r="W20" s="566"/>
      <c r="X20" s="566"/>
      <c r="Y20" s="566"/>
      <c r="Z20" s="590"/>
      <c r="AA20" s="590"/>
      <c r="AB20" s="560"/>
      <c r="AC20" s="560"/>
      <c r="AD20" s="557"/>
      <c r="AE20" s="557"/>
      <c r="AF20" s="557"/>
      <c r="AG20" s="557"/>
      <c r="AH20" s="557"/>
      <c r="AI20" s="557"/>
      <c r="AJ20" s="560"/>
      <c r="AK20" s="560"/>
      <c r="AL20" s="570"/>
      <c r="AM20" s="565"/>
      <c r="AN20" s="565"/>
      <c r="AO20" s="565"/>
    </row>
    <row r="21" spans="1:41" ht="15.6" hidden="1" outlineLevel="1">
      <c r="A21" s="498">
        <v>4</v>
      </c>
      <c r="B21" s="582" t="s">
        <v>439</v>
      </c>
      <c r="C21" s="582"/>
      <c r="D21" s="582"/>
      <c r="E21" s="566"/>
      <c r="F21" s="590" t="s">
        <v>438</v>
      </c>
      <c r="G21" s="590"/>
      <c r="H21" s="559">
        <v>8.4080488632395547E-2</v>
      </c>
      <c r="I21" s="559"/>
      <c r="J21" s="557"/>
      <c r="K21" s="557"/>
      <c r="L21" s="557"/>
      <c r="M21" s="557"/>
      <c r="N21" s="557"/>
      <c r="O21" s="611">
        <v>8.4080488632395547E-2</v>
      </c>
      <c r="P21" s="560"/>
      <c r="Q21" s="560"/>
      <c r="R21" s="560"/>
      <c r="S21" s="570"/>
      <c r="T21" s="570"/>
      <c r="U21" s="570"/>
      <c r="V21" s="570"/>
      <c r="W21" s="582"/>
      <c r="X21" s="582"/>
      <c r="Y21" s="566"/>
      <c r="Z21" s="590" t="s">
        <v>438</v>
      </c>
      <c r="AA21" s="590"/>
      <c r="AB21" s="559">
        <v>8.5799086934897517E-2</v>
      </c>
      <c r="AC21" s="559"/>
      <c r="AD21" s="557"/>
      <c r="AE21" s="557"/>
      <c r="AF21" s="557"/>
      <c r="AG21" s="557"/>
      <c r="AH21" s="557"/>
      <c r="AI21" s="611">
        <v>8.5799086934897517E-2</v>
      </c>
      <c r="AJ21" s="560"/>
      <c r="AK21" s="560"/>
      <c r="AL21" s="570"/>
      <c r="AM21" s="565"/>
      <c r="AN21" s="565"/>
      <c r="AO21" s="565"/>
    </row>
    <row r="22" spans="1:41" ht="15" hidden="1" outlineLevel="1">
      <c r="A22" s="498"/>
      <c r="B22" s="566"/>
      <c r="C22" s="566"/>
      <c r="D22" s="566"/>
      <c r="E22" s="566"/>
      <c r="F22" s="590"/>
      <c r="G22" s="590"/>
      <c r="H22" s="560"/>
      <c r="I22" s="560"/>
      <c r="J22" s="557"/>
      <c r="K22" s="557"/>
      <c r="L22" s="557"/>
      <c r="M22" s="557"/>
      <c r="N22" s="557"/>
      <c r="O22" s="557"/>
      <c r="P22" s="560"/>
      <c r="Q22" s="560"/>
      <c r="R22" s="560"/>
      <c r="S22" s="570"/>
      <c r="T22" s="570"/>
      <c r="U22" s="570"/>
      <c r="V22" s="570"/>
      <c r="W22" s="566"/>
      <c r="X22" s="566"/>
      <c r="Y22" s="566"/>
      <c r="Z22" s="590"/>
      <c r="AA22" s="590"/>
      <c r="AB22" s="560"/>
      <c r="AC22" s="560"/>
      <c r="AD22" s="557"/>
      <c r="AE22" s="557"/>
      <c r="AF22" s="557"/>
      <c r="AG22" s="557"/>
      <c r="AH22" s="557"/>
      <c r="AI22" s="557"/>
      <c r="AJ22" s="560"/>
      <c r="AK22" s="560"/>
      <c r="AL22" s="570"/>
      <c r="AM22" s="565"/>
      <c r="AN22" s="565"/>
      <c r="AO22" s="565"/>
    </row>
    <row r="23" spans="1:41" ht="15" hidden="1" outlineLevel="1">
      <c r="A23" s="498"/>
      <c r="B23" s="566"/>
      <c r="C23" s="566"/>
      <c r="D23" s="566"/>
      <c r="E23" s="566"/>
      <c r="F23" s="590"/>
      <c r="G23" s="590"/>
      <c r="H23" s="560"/>
      <c r="I23" s="560"/>
      <c r="J23" s="557"/>
      <c r="K23" s="557"/>
      <c r="L23" s="557"/>
      <c r="M23" s="557"/>
      <c r="N23" s="557"/>
      <c r="O23" s="557"/>
      <c r="P23" s="560"/>
      <c r="Q23" s="560"/>
      <c r="R23" s="560"/>
      <c r="S23" s="570"/>
      <c r="T23" s="570"/>
      <c r="U23" s="570"/>
      <c r="V23" s="570"/>
      <c r="W23" s="566"/>
      <c r="X23" s="566"/>
      <c r="Y23" s="566"/>
      <c r="Z23" s="590"/>
      <c r="AA23" s="590"/>
      <c r="AB23" s="560"/>
      <c r="AC23" s="560"/>
      <c r="AD23" s="557"/>
      <c r="AE23" s="557"/>
      <c r="AF23" s="557"/>
      <c r="AG23" s="557"/>
      <c r="AH23" s="557"/>
      <c r="AI23" s="557"/>
      <c r="AJ23" s="560"/>
      <c r="AK23" s="560"/>
      <c r="AL23" s="570"/>
      <c r="AM23" s="565"/>
      <c r="AN23" s="565"/>
      <c r="AO23" s="565"/>
    </row>
    <row r="24" spans="1:41" ht="15.6" hidden="1" outlineLevel="1">
      <c r="A24" s="498"/>
      <c r="B24" s="566" t="s">
        <v>437</v>
      </c>
      <c r="C24" s="566"/>
      <c r="D24" s="566"/>
      <c r="E24" s="566"/>
      <c r="F24" s="590"/>
      <c r="G24" s="590"/>
      <c r="H24" s="562"/>
      <c r="I24" s="562"/>
      <c r="J24" s="557"/>
      <c r="K24" s="557"/>
      <c r="L24" s="557"/>
      <c r="M24" s="557"/>
      <c r="N24" s="557"/>
      <c r="O24" s="152"/>
      <c r="P24" s="560"/>
      <c r="Q24" s="559"/>
      <c r="R24" s="559"/>
      <c r="S24" s="580"/>
      <c r="T24" s="594"/>
      <c r="U24" s="570"/>
      <c r="V24" s="580"/>
      <c r="W24" s="566"/>
      <c r="X24" s="566"/>
      <c r="Y24" s="566"/>
      <c r="Z24" s="590"/>
      <c r="AA24" s="590"/>
      <c r="AB24" s="562"/>
      <c r="AC24" s="562"/>
      <c r="AD24" s="557"/>
      <c r="AE24" s="557"/>
      <c r="AF24" s="557"/>
      <c r="AG24" s="557"/>
      <c r="AH24" s="557"/>
      <c r="AI24" s="152"/>
      <c r="AJ24" s="560"/>
      <c r="AK24" s="559"/>
      <c r="AL24" s="580"/>
      <c r="AM24" s="565"/>
      <c r="AN24" s="565"/>
      <c r="AO24" s="565"/>
    </row>
    <row r="25" spans="1:41" ht="15.6" hidden="1" outlineLevel="1">
      <c r="A25" s="498" t="s">
        <v>436</v>
      </c>
      <c r="B25" s="566" t="s">
        <v>435</v>
      </c>
      <c r="C25" s="566"/>
      <c r="D25" s="566"/>
      <c r="E25" s="566"/>
      <c r="F25" s="590" t="s">
        <v>738</v>
      </c>
      <c r="G25" s="590"/>
      <c r="H25" s="610">
        <v>56407148.799322039</v>
      </c>
      <c r="I25" s="562"/>
      <c r="J25" s="557"/>
      <c r="K25" s="557"/>
      <c r="L25" s="557"/>
      <c r="M25" s="557"/>
      <c r="N25" s="557"/>
      <c r="O25" s="152"/>
      <c r="P25" s="560"/>
      <c r="Q25" s="559"/>
      <c r="R25" s="559"/>
      <c r="S25" s="580"/>
      <c r="T25" s="594"/>
      <c r="U25" s="570"/>
      <c r="V25" s="580"/>
      <c r="W25" s="566"/>
      <c r="X25" s="566"/>
      <c r="Y25" s="566"/>
      <c r="Z25" s="590" t="s">
        <v>738</v>
      </c>
      <c r="AA25" s="590"/>
      <c r="AB25" s="610">
        <v>42249953.470761746</v>
      </c>
      <c r="AC25" s="562"/>
      <c r="AD25" s="557"/>
      <c r="AE25" s="557"/>
      <c r="AF25" s="557"/>
      <c r="AG25" s="557"/>
      <c r="AH25" s="557"/>
      <c r="AI25" s="152"/>
      <c r="AJ25" s="560"/>
      <c r="AK25" s="559"/>
      <c r="AL25" s="580"/>
      <c r="AM25" s="565"/>
      <c r="AN25" s="565"/>
      <c r="AO25" s="565"/>
    </row>
    <row r="26" spans="1:41" ht="15.6" hidden="1" outlineLevel="1">
      <c r="A26" s="498" t="s">
        <v>434</v>
      </c>
      <c r="B26" s="566" t="s">
        <v>433</v>
      </c>
      <c r="C26" s="566"/>
      <c r="D26" s="566"/>
      <c r="E26" s="566"/>
      <c r="F26" s="590" t="s">
        <v>432</v>
      </c>
      <c r="G26" s="590"/>
      <c r="H26" s="562">
        <v>1.3589043579348698E-2</v>
      </c>
      <c r="I26" s="562"/>
      <c r="J26" s="557"/>
      <c r="K26" s="557"/>
      <c r="L26" s="557"/>
      <c r="M26" s="557"/>
      <c r="N26" s="557"/>
      <c r="O26" s="152">
        <v>1.3589043579348698E-2</v>
      </c>
      <c r="P26" s="560"/>
      <c r="Q26" s="559"/>
      <c r="R26" s="559"/>
      <c r="S26" s="580"/>
      <c r="T26" s="594"/>
      <c r="U26" s="570"/>
      <c r="V26" s="580"/>
      <c r="W26" s="566"/>
      <c r="X26" s="566"/>
      <c r="Y26" s="566"/>
      <c r="Z26" s="590" t="s">
        <v>432</v>
      </c>
      <c r="AA26" s="590"/>
      <c r="AB26" s="562">
        <v>1.0182361449726096E-2</v>
      </c>
      <c r="AC26" s="562"/>
      <c r="AD26" s="557"/>
      <c r="AE26" s="557"/>
      <c r="AF26" s="557"/>
      <c r="AG26" s="557"/>
      <c r="AH26" s="557"/>
      <c r="AI26" s="152">
        <v>1.0182361449726096E-2</v>
      </c>
      <c r="AJ26" s="560"/>
      <c r="AK26" s="559"/>
      <c r="AL26" s="580"/>
      <c r="AM26" s="565"/>
      <c r="AN26" s="565"/>
      <c r="AO26" s="565"/>
    </row>
    <row r="27" spans="1:41" ht="15.6" hidden="1" outlineLevel="1">
      <c r="A27" s="498"/>
      <c r="B27" s="566"/>
      <c r="C27" s="566"/>
      <c r="D27" s="566"/>
      <c r="E27" s="566"/>
      <c r="F27" s="590"/>
      <c r="G27" s="590"/>
      <c r="H27" s="562"/>
      <c r="I27" s="562"/>
      <c r="J27" s="557"/>
      <c r="K27" s="557"/>
      <c r="L27" s="557"/>
      <c r="M27" s="557"/>
      <c r="N27" s="557"/>
      <c r="O27" s="152"/>
      <c r="P27" s="560"/>
      <c r="Q27" s="559"/>
      <c r="R27" s="559"/>
      <c r="S27" s="580"/>
      <c r="T27" s="594"/>
      <c r="U27" s="570"/>
      <c r="V27" s="580"/>
      <c r="W27" s="566"/>
      <c r="X27" s="566"/>
      <c r="Y27" s="566"/>
      <c r="Z27" s="590"/>
      <c r="AA27" s="590"/>
      <c r="AB27" s="562"/>
      <c r="AC27" s="562"/>
      <c r="AD27" s="557"/>
      <c r="AE27" s="557"/>
      <c r="AF27" s="557"/>
      <c r="AG27" s="557"/>
      <c r="AH27" s="557"/>
      <c r="AI27" s="152"/>
      <c r="AJ27" s="560"/>
      <c r="AK27" s="559"/>
      <c r="AL27" s="580"/>
      <c r="AM27" s="565"/>
      <c r="AN27" s="565"/>
      <c r="AO27" s="565"/>
    </row>
    <row r="28" spans="1:41" ht="15.6" hidden="1" outlineLevel="1">
      <c r="A28" s="564"/>
      <c r="B28" s="566" t="s">
        <v>389</v>
      </c>
      <c r="C28" s="566"/>
      <c r="D28" s="566"/>
      <c r="E28" s="566"/>
      <c r="F28" s="563"/>
      <c r="G28" s="563"/>
      <c r="H28" s="560"/>
      <c r="I28" s="560"/>
      <c r="J28" s="557"/>
      <c r="K28" s="557"/>
      <c r="L28" s="565"/>
      <c r="M28" s="565"/>
      <c r="N28" s="565"/>
      <c r="O28" s="560"/>
      <c r="P28" s="560"/>
      <c r="Q28" s="559"/>
      <c r="R28" s="559"/>
      <c r="S28" s="580"/>
      <c r="T28" s="594"/>
      <c r="U28" s="570"/>
      <c r="V28" s="580"/>
      <c r="W28" s="566"/>
      <c r="X28" s="566"/>
      <c r="Y28" s="566"/>
      <c r="Z28" s="563"/>
      <c r="AA28" s="563"/>
      <c r="AB28" s="560"/>
      <c r="AC28" s="560"/>
      <c r="AD28" s="557"/>
      <c r="AE28" s="557"/>
      <c r="AF28" s="565"/>
      <c r="AG28" s="565"/>
      <c r="AH28" s="565"/>
      <c r="AI28" s="560"/>
      <c r="AJ28" s="560"/>
      <c r="AK28" s="559"/>
      <c r="AL28" s="580"/>
      <c r="AM28" s="565"/>
      <c r="AN28" s="565"/>
      <c r="AO28" s="565"/>
    </row>
    <row r="29" spans="1:41" ht="15.6" hidden="1" outlineLevel="1">
      <c r="A29" s="564" t="s">
        <v>388</v>
      </c>
      <c r="B29" s="566" t="s">
        <v>387</v>
      </c>
      <c r="C29" s="566"/>
      <c r="D29" s="566"/>
      <c r="E29" s="566"/>
      <c r="F29" s="590" t="s">
        <v>686</v>
      </c>
      <c r="G29" s="590"/>
      <c r="H29" s="756">
        <v>5874067.4245338077</v>
      </c>
      <c r="I29" s="560"/>
      <c r="J29" s="557"/>
      <c r="K29" s="557"/>
      <c r="L29" s="565"/>
      <c r="M29" s="565"/>
      <c r="N29" s="565"/>
      <c r="O29" s="565"/>
      <c r="P29" s="560"/>
      <c r="Q29" s="559"/>
      <c r="R29" s="559"/>
      <c r="S29" s="580"/>
      <c r="T29" s="594"/>
      <c r="U29" s="570"/>
      <c r="V29" s="580"/>
      <c r="W29" s="566"/>
      <c r="X29" s="566"/>
      <c r="Y29" s="566"/>
      <c r="Z29" s="590" t="s">
        <v>686</v>
      </c>
      <c r="AA29" s="590"/>
      <c r="AB29" s="756">
        <v>7157102</v>
      </c>
      <c r="AC29" s="560"/>
      <c r="AD29" s="557"/>
      <c r="AE29" s="557"/>
      <c r="AF29" s="565"/>
      <c r="AG29" s="565"/>
      <c r="AH29" s="565"/>
      <c r="AI29" s="565"/>
      <c r="AJ29" s="560"/>
      <c r="AK29" s="559"/>
      <c r="AL29" s="580"/>
      <c r="AM29" s="565"/>
      <c r="AN29" s="565"/>
      <c r="AO29" s="565"/>
    </row>
    <row r="30" spans="1:41" ht="15.6" hidden="1" outlineLevel="1">
      <c r="A30" s="564" t="s">
        <v>386</v>
      </c>
      <c r="B30" s="566" t="s">
        <v>385</v>
      </c>
      <c r="C30" s="566"/>
      <c r="D30" s="566"/>
      <c r="E30" s="566"/>
      <c r="F30" s="590" t="s">
        <v>384</v>
      </c>
      <c r="G30" s="590"/>
      <c r="H30" s="562">
        <v>1.4151213085420455E-3</v>
      </c>
      <c r="I30" s="562"/>
      <c r="J30" s="557"/>
      <c r="K30" s="557"/>
      <c r="L30" s="565"/>
      <c r="M30" s="565"/>
      <c r="N30" s="565"/>
      <c r="O30" s="152">
        <v>1.4151213085420455E-3</v>
      </c>
      <c r="P30" s="560"/>
      <c r="Q30" s="559"/>
      <c r="R30" s="559"/>
      <c r="S30" s="580"/>
      <c r="T30" s="594"/>
      <c r="U30" s="570"/>
      <c r="V30" s="580"/>
      <c r="W30" s="566"/>
      <c r="X30" s="566"/>
      <c r="Y30" s="566"/>
      <c r="Z30" s="590" t="s">
        <v>384</v>
      </c>
      <c r="AA30" s="590"/>
      <c r="AB30" s="562">
        <v>1.7248823610418905E-3</v>
      </c>
      <c r="AC30" s="562"/>
      <c r="AD30" s="557"/>
      <c r="AE30" s="557"/>
      <c r="AF30" s="565"/>
      <c r="AG30" s="565"/>
      <c r="AH30" s="565"/>
      <c r="AI30" s="152">
        <v>1.7248823610418905E-3</v>
      </c>
      <c r="AJ30" s="560"/>
      <c r="AK30" s="559"/>
      <c r="AL30" s="580"/>
      <c r="AM30" s="565"/>
      <c r="AN30" s="565"/>
      <c r="AO30" s="565"/>
    </row>
    <row r="31" spans="1:41" ht="15.6" hidden="1" outlineLevel="1">
      <c r="A31" s="498"/>
      <c r="B31" s="566"/>
      <c r="C31" s="566"/>
      <c r="D31" s="566"/>
      <c r="E31" s="566"/>
      <c r="F31" s="590"/>
      <c r="G31" s="590"/>
      <c r="H31" s="562"/>
      <c r="I31" s="562"/>
      <c r="J31" s="557"/>
      <c r="K31" s="557"/>
      <c r="L31" s="557"/>
      <c r="M31" s="557"/>
      <c r="N31" s="557"/>
      <c r="O31" s="152"/>
      <c r="P31" s="560"/>
      <c r="Q31" s="559"/>
      <c r="R31" s="559"/>
      <c r="S31" s="580"/>
      <c r="T31" s="594"/>
      <c r="U31" s="570"/>
      <c r="V31" s="580"/>
      <c r="W31" s="566"/>
      <c r="X31" s="566"/>
      <c r="Y31" s="566"/>
      <c r="Z31" s="590"/>
      <c r="AA31" s="590"/>
      <c r="AB31" s="562"/>
      <c r="AC31" s="562"/>
      <c r="AD31" s="557"/>
      <c r="AE31" s="557"/>
      <c r="AF31" s="557"/>
      <c r="AG31" s="557"/>
      <c r="AH31" s="557"/>
      <c r="AI31" s="152"/>
      <c r="AJ31" s="560"/>
      <c r="AK31" s="559"/>
      <c r="AL31" s="580"/>
      <c r="AM31" s="565"/>
      <c r="AN31" s="565"/>
      <c r="AO31" s="565"/>
    </row>
    <row r="32" spans="1:41" ht="15" hidden="1" outlineLevel="1">
      <c r="A32" s="499"/>
      <c r="B32" s="566" t="s">
        <v>383</v>
      </c>
      <c r="C32" s="566"/>
      <c r="D32" s="566"/>
      <c r="E32" s="566"/>
      <c r="F32" s="563"/>
      <c r="G32" s="563"/>
      <c r="H32" s="560"/>
      <c r="I32" s="560"/>
      <c r="J32" s="557"/>
      <c r="K32" s="557"/>
      <c r="L32" s="557"/>
      <c r="M32" s="557"/>
      <c r="N32" s="557"/>
      <c r="O32" s="560"/>
      <c r="P32" s="560"/>
      <c r="Q32" s="560"/>
      <c r="R32" s="560"/>
      <c r="S32" s="570"/>
      <c r="T32" s="560"/>
      <c r="U32" s="570"/>
      <c r="V32" s="570"/>
      <c r="W32" s="566"/>
      <c r="X32" s="566"/>
      <c r="Y32" s="566"/>
      <c r="Z32" s="563"/>
      <c r="AA32" s="563"/>
      <c r="AB32" s="560"/>
      <c r="AC32" s="560"/>
      <c r="AD32" s="557"/>
      <c r="AE32" s="557"/>
      <c r="AF32" s="557"/>
      <c r="AG32" s="557"/>
      <c r="AH32" s="557"/>
      <c r="AI32" s="560"/>
      <c r="AJ32" s="560"/>
      <c r="AK32" s="560"/>
      <c r="AL32" s="570"/>
      <c r="AM32" s="565"/>
      <c r="AN32" s="565"/>
      <c r="AO32" s="565"/>
    </row>
    <row r="33" spans="1:41" ht="15.6" hidden="1" outlineLevel="1">
      <c r="A33" s="499" t="s">
        <v>382</v>
      </c>
      <c r="B33" s="566" t="s">
        <v>381</v>
      </c>
      <c r="C33" s="566"/>
      <c r="D33" s="566"/>
      <c r="E33" s="566"/>
      <c r="F33" s="590" t="s">
        <v>687</v>
      </c>
      <c r="G33" s="590"/>
      <c r="H33" s="756">
        <v>18179330.449999999</v>
      </c>
      <c r="I33" s="560"/>
      <c r="J33" s="557"/>
      <c r="K33" s="557"/>
      <c r="L33" s="557"/>
      <c r="M33" s="557"/>
      <c r="N33" s="557"/>
      <c r="O33" s="557"/>
      <c r="P33" s="560"/>
      <c r="Q33" s="595"/>
      <c r="R33" s="595"/>
      <c r="S33" s="570"/>
      <c r="T33" s="584"/>
      <c r="U33" s="583"/>
      <c r="V33" s="570"/>
      <c r="W33" s="566"/>
      <c r="X33" s="566"/>
      <c r="Y33" s="566"/>
      <c r="Z33" s="590" t="s">
        <v>687</v>
      </c>
      <c r="AA33" s="590"/>
      <c r="AB33" s="756">
        <v>19083646.300000001</v>
      </c>
      <c r="AC33" s="560"/>
      <c r="AD33" s="557"/>
      <c r="AE33" s="557"/>
      <c r="AF33" s="557"/>
      <c r="AG33" s="557"/>
      <c r="AH33" s="557"/>
      <c r="AI33" s="557"/>
      <c r="AJ33" s="560"/>
      <c r="AK33" s="595"/>
      <c r="AL33" s="570"/>
      <c r="AM33" s="565"/>
      <c r="AN33" s="565"/>
      <c r="AO33" s="565"/>
    </row>
    <row r="34" spans="1:41" ht="15.6" hidden="1" outlineLevel="1">
      <c r="A34" s="499" t="s">
        <v>380</v>
      </c>
      <c r="B34" s="566" t="s">
        <v>379</v>
      </c>
      <c r="C34" s="566"/>
      <c r="D34" s="566"/>
      <c r="E34" s="566"/>
      <c r="F34" s="590" t="s">
        <v>378</v>
      </c>
      <c r="G34" s="590"/>
      <c r="H34" s="562">
        <v>4.3795816485480638E-3</v>
      </c>
      <c r="I34" s="562"/>
      <c r="J34" s="557"/>
      <c r="K34" s="557"/>
      <c r="L34" s="557"/>
      <c r="M34" s="557"/>
      <c r="N34" s="557"/>
      <c r="O34" s="152">
        <v>4.3795816485480638E-3</v>
      </c>
      <c r="P34" s="560"/>
      <c r="Q34" s="559"/>
      <c r="R34" s="559"/>
      <c r="S34" s="570"/>
      <c r="T34" s="594"/>
      <c r="U34" s="583"/>
      <c r="V34" s="570"/>
      <c r="W34" s="566"/>
      <c r="X34" s="566"/>
      <c r="Y34" s="566"/>
      <c r="Z34" s="590" t="s">
        <v>378</v>
      </c>
      <c r="AA34" s="590"/>
      <c r="AB34" s="562">
        <v>4.5992141633907609E-3</v>
      </c>
      <c r="AC34" s="562"/>
      <c r="AD34" s="557"/>
      <c r="AE34" s="557"/>
      <c r="AF34" s="557"/>
      <c r="AG34" s="557"/>
      <c r="AH34" s="557"/>
      <c r="AI34" s="152">
        <v>4.5992141633907609E-3</v>
      </c>
      <c r="AJ34" s="560"/>
      <c r="AK34" s="559"/>
      <c r="AL34" s="570"/>
      <c r="AM34" s="565"/>
      <c r="AN34" s="565"/>
      <c r="AO34" s="565"/>
    </row>
    <row r="35" spans="1:41" ht="15" hidden="1" outlineLevel="1">
      <c r="A35" s="499"/>
      <c r="B35" s="566"/>
      <c r="C35" s="566"/>
      <c r="D35" s="566"/>
      <c r="E35" s="566"/>
      <c r="F35" s="590"/>
      <c r="G35" s="590"/>
      <c r="H35" s="560"/>
      <c r="I35" s="560"/>
      <c r="J35" s="557"/>
      <c r="K35" s="557"/>
      <c r="L35" s="557"/>
      <c r="M35" s="557"/>
      <c r="N35" s="557"/>
      <c r="O35" s="560"/>
      <c r="P35" s="560"/>
      <c r="Q35" s="557"/>
      <c r="R35" s="557"/>
      <c r="S35" s="557"/>
      <c r="T35" s="557"/>
      <c r="U35" s="570"/>
      <c r="V35" s="557"/>
      <c r="W35" s="566"/>
      <c r="X35" s="566"/>
      <c r="Y35" s="566"/>
      <c r="Z35" s="590"/>
      <c r="AA35" s="590"/>
      <c r="AB35" s="560"/>
      <c r="AC35" s="560"/>
      <c r="AD35" s="557"/>
      <c r="AE35" s="557"/>
      <c r="AF35" s="557"/>
      <c r="AG35" s="557"/>
      <c r="AH35" s="557"/>
      <c r="AI35" s="560"/>
      <c r="AJ35" s="560"/>
      <c r="AK35" s="557"/>
      <c r="AL35" s="557"/>
      <c r="AM35" s="565"/>
      <c r="AN35" s="565"/>
      <c r="AO35" s="565"/>
    </row>
    <row r="36" spans="1:41" ht="15.6" hidden="1" outlineLevel="1">
      <c r="A36" s="589" t="s">
        <v>377</v>
      </c>
      <c r="B36" s="582" t="s">
        <v>431</v>
      </c>
      <c r="C36" s="582"/>
      <c r="D36" s="582"/>
      <c r="E36" s="582"/>
      <c r="F36" s="588" t="s">
        <v>430</v>
      </c>
      <c r="G36" s="588"/>
      <c r="H36" s="586">
        <v>1.9383746536438807E-2</v>
      </c>
      <c r="I36" s="586"/>
      <c r="J36" s="557"/>
      <c r="K36" s="557"/>
      <c r="L36" s="557"/>
      <c r="M36" s="557"/>
      <c r="N36" s="557"/>
      <c r="O36" s="586">
        <v>1.9383746536438807E-2</v>
      </c>
      <c r="P36" s="560"/>
      <c r="Q36" s="557"/>
      <c r="R36" s="557"/>
      <c r="S36" s="557"/>
      <c r="T36" s="557"/>
      <c r="U36" s="570"/>
      <c r="V36" s="557"/>
      <c r="W36" s="582"/>
      <c r="X36" s="582"/>
      <c r="Y36" s="582"/>
      <c r="Z36" s="588" t="s">
        <v>430</v>
      </c>
      <c r="AA36" s="588"/>
      <c r="AB36" s="586">
        <v>1.6506457974158745E-2</v>
      </c>
      <c r="AC36" s="586"/>
      <c r="AD36" s="557"/>
      <c r="AE36" s="557"/>
      <c r="AF36" s="557"/>
      <c r="AG36" s="557"/>
      <c r="AH36" s="557"/>
      <c r="AI36" s="586">
        <v>1.6506457974158745E-2</v>
      </c>
      <c r="AJ36" s="560"/>
      <c r="AK36" s="557"/>
      <c r="AL36" s="557"/>
      <c r="AM36" s="565"/>
      <c r="AN36" s="565"/>
      <c r="AO36" s="565"/>
    </row>
    <row r="37" spans="1:41" ht="15" hidden="1" outlineLevel="1">
      <c r="A37" s="499"/>
      <c r="B37" s="566"/>
      <c r="C37" s="566"/>
      <c r="D37" s="566"/>
      <c r="E37" s="566"/>
      <c r="F37" s="590"/>
      <c r="G37" s="590"/>
      <c r="H37" s="560"/>
      <c r="I37" s="560"/>
      <c r="J37" s="557"/>
      <c r="K37" s="557"/>
      <c r="L37" s="557"/>
      <c r="M37" s="557"/>
      <c r="N37" s="557"/>
      <c r="O37" s="560"/>
      <c r="P37" s="560"/>
      <c r="Q37" s="560"/>
      <c r="R37" s="560"/>
      <c r="S37" s="570"/>
      <c r="T37" s="593"/>
      <c r="U37" s="570"/>
      <c r="V37" s="570"/>
      <c r="W37" s="566"/>
      <c r="X37" s="566"/>
      <c r="Y37" s="566"/>
      <c r="Z37" s="590"/>
      <c r="AA37" s="590"/>
      <c r="AB37" s="560"/>
      <c r="AC37" s="560"/>
      <c r="AD37" s="557"/>
      <c r="AE37" s="557"/>
      <c r="AF37" s="557"/>
      <c r="AG37" s="557"/>
      <c r="AH37" s="557"/>
      <c r="AI37" s="560"/>
      <c r="AJ37" s="560"/>
      <c r="AK37" s="560"/>
      <c r="AL37" s="570"/>
      <c r="AM37" s="565"/>
      <c r="AN37" s="565"/>
      <c r="AO37" s="565"/>
    </row>
    <row r="38" spans="1:41" ht="15" hidden="1" outlineLevel="1">
      <c r="A38" s="564"/>
      <c r="B38" s="560" t="s">
        <v>375</v>
      </c>
      <c r="C38" s="560"/>
      <c r="D38" s="560"/>
      <c r="E38" s="560"/>
      <c r="F38" s="590"/>
      <c r="G38" s="590"/>
      <c r="H38" s="560"/>
      <c r="I38" s="560"/>
      <c r="J38" s="557"/>
      <c r="K38" s="557"/>
      <c r="L38" s="557"/>
      <c r="M38" s="557"/>
      <c r="N38" s="557"/>
      <c r="O38" s="560"/>
      <c r="P38" s="592"/>
      <c r="Q38" s="567"/>
      <c r="R38" s="567"/>
      <c r="S38" s="557"/>
      <c r="T38" s="557"/>
      <c r="U38" s="583"/>
      <c r="V38" s="557"/>
      <c r="W38" s="560"/>
      <c r="X38" s="560"/>
      <c r="Y38" s="560"/>
      <c r="Z38" s="590"/>
      <c r="AA38" s="590"/>
      <c r="AB38" s="560"/>
      <c r="AC38" s="560"/>
      <c r="AD38" s="557"/>
      <c r="AE38" s="557"/>
      <c r="AF38" s="557"/>
      <c r="AG38" s="557"/>
      <c r="AH38" s="557"/>
      <c r="AI38" s="560"/>
      <c r="AJ38" s="592"/>
      <c r="AK38" s="567"/>
      <c r="AL38" s="557"/>
      <c r="AM38" s="565"/>
      <c r="AN38" s="565"/>
      <c r="AO38" s="565"/>
    </row>
    <row r="39" spans="1:41" ht="15" hidden="1" outlineLevel="1">
      <c r="A39" s="499" t="s">
        <v>374</v>
      </c>
      <c r="B39" s="560" t="s">
        <v>13</v>
      </c>
      <c r="C39" s="560"/>
      <c r="D39" s="560"/>
      <c r="E39" s="560"/>
      <c r="F39" s="590" t="s">
        <v>689</v>
      </c>
      <c r="G39" s="590"/>
      <c r="H39" s="756">
        <v>100390059.57100353</v>
      </c>
      <c r="I39" s="560"/>
      <c r="J39" s="557"/>
      <c r="K39" s="557"/>
      <c r="L39" s="557"/>
      <c r="M39" s="557"/>
      <c r="N39" s="557"/>
      <c r="O39" s="560"/>
      <c r="P39" s="592"/>
      <c r="Q39" s="567"/>
      <c r="R39" s="567"/>
      <c r="S39" s="557"/>
      <c r="T39" s="557"/>
      <c r="U39" s="583"/>
      <c r="V39" s="557"/>
      <c r="W39" s="560"/>
      <c r="X39" s="560"/>
      <c r="Y39" s="560"/>
      <c r="Z39" s="590" t="s">
        <v>689</v>
      </c>
      <c r="AA39" s="590"/>
      <c r="AB39" s="756">
        <v>98921602.21656163</v>
      </c>
      <c r="AC39" s="560"/>
      <c r="AD39" s="557"/>
      <c r="AE39" s="557"/>
      <c r="AF39" s="557"/>
      <c r="AG39" s="557"/>
      <c r="AH39" s="557"/>
      <c r="AI39" s="560"/>
      <c r="AJ39" s="592"/>
      <c r="AK39" s="567"/>
      <c r="AL39" s="557"/>
      <c r="AM39" s="565"/>
      <c r="AN39" s="565"/>
      <c r="AO39" s="565"/>
    </row>
    <row r="40" spans="1:41" ht="15" hidden="1" outlineLevel="1">
      <c r="A40" s="499" t="s">
        <v>373</v>
      </c>
      <c r="B40" s="560" t="s">
        <v>372</v>
      </c>
      <c r="C40" s="560"/>
      <c r="D40" s="560"/>
      <c r="E40" s="560"/>
      <c r="F40" s="590" t="s">
        <v>371</v>
      </c>
      <c r="G40" s="590"/>
      <c r="H40" s="562">
        <v>3.181299246138293E-2</v>
      </c>
      <c r="I40" s="562"/>
      <c r="J40" s="557"/>
      <c r="K40" s="557"/>
      <c r="L40" s="557"/>
      <c r="M40" s="557"/>
      <c r="N40" s="557"/>
      <c r="O40" s="152">
        <v>3.181299246138293E-2</v>
      </c>
      <c r="P40" s="592"/>
      <c r="Q40" s="567"/>
      <c r="R40" s="567"/>
      <c r="S40" s="570"/>
      <c r="T40" s="570"/>
      <c r="U40" s="583"/>
      <c r="V40" s="570"/>
      <c r="W40" s="560"/>
      <c r="X40" s="560"/>
      <c r="Y40" s="560"/>
      <c r="Z40" s="590" t="s">
        <v>371</v>
      </c>
      <c r="AA40" s="590"/>
      <c r="AB40" s="562">
        <v>3.1312746011481443E-2</v>
      </c>
      <c r="AC40" s="562"/>
      <c r="AD40" s="557"/>
      <c r="AE40" s="557"/>
      <c r="AF40" s="557"/>
      <c r="AG40" s="557"/>
      <c r="AH40" s="557"/>
      <c r="AI40" s="152">
        <v>3.1312746011481443E-2</v>
      </c>
      <c r="AJ40" s="592"/>
      <c r="AK40" s="567"/>
      <c r="AL40" s="570"/>
      <c r="AM40" s="565"/>
      <c r="AN40" s="565"/>
      <c r="AO40" s="565"/>
    </row>
    <row r="41" spans="1:41" ht="15" hidden="1" outlineLevel="1">
      <c r="A41" s="499"/>
      <c r="B41" s="560"/>
      <c r="C41" s="560"/>
      <c r="D41" s="560"/>
      <c r="E41" s="560"/>
      <c r="F41" s="590"/>
      <c r="G41" s="590"/>
      <c r="H41" s="560"/>
      <c r="I41" s="560"/>
      <c r="J41" s="557"/>
      <c r="K41" s="557"/>
      <c r="L41" s="557"/>
      <c r="M41" s="557"/>
      <c r="N41" s="557"/>
      <c r="O41" s="560"/>
      <c r="P41" s="560"/>
      <c r="Q41" s="557"/>
      <c r="R41" s="557"/>
      <c r="S41" s="571"/>
      <c r="T41" s="570"/>
      <c r="U41" s="571"/>
      <c r="V41" s="571"/>
      <c r="W41" s="560"/>
      <c r="X41" s="560"/>
      <c r="Y41" s="560"/>
      <c r="Z41" s="590"/>
      <c r="AA41" s="590"/>
      <c r="AB41" s="560"/>
      <c r="AC41" s="560"/>
      <c r="AD41" s="557"/>
      <c r="AE41" s="557"/>
      <c r="AF41" s="557"/>
      <c r="AG41" s="557"/>
      <c r="AH41" s="557"/>
      <c r="AI41" s="560"/>
      <c r="AJ41" s="560"/>
      <c r="AK41" s="557"/>
      <c r="AL41" s="571"/>
      <c r="AM41" s="565"/>
      <c r="AN41" s="565"/>
      <c r="AO41" s="565"/>
    </row>
    <row r="42" spans="1:41" ht="15" hidden="1" outlineLevel="1">
      <c r="A42" s="499"/>
      <c r="B42" s="566" t="s">
        <v>189</v>
      </c>
      <c r="C42" s="566"/>
      <c r="D42" s="566"/>
      <c r="E42" s="566"/>
      <c r="F42" s="585"/>
      <c r="G42" s="585"/>
      <c r="H42" s="557"/>
      <c r="I42" s="557"/>
      <c r="J42" s="557"/>
      <c r="K42" s="557"/>
      <c r="L42" s="557"/>
      <c r="M42" s="557"/>
      <c r="N42" s="557"/>
      <c r="O42" s="557"/>
      <c r="P42" s="560"/>
      <c r="Q42" s="557"/>
      <c r="R42" s="557"/>
      <c r="S42" s="570"/>
      <c r="T42" s="570"/>
      <c r="U42" s="570"/>
      <c r="V42" s="570"/>
      <c r="W42" s="566"/>
      <c r="X42" s="566"/>
      <c r="Y42" s="566"/>
      <c r="Z42" s="585"/>
      <c r="AA42" s="585"/>
      <c r="AB42" s="557"/>
      <c r="AC42" s="557"/>
      <c r="AD42" s="557"/>
      <c r="AE42" s="557"/>
      <c r="AF42" s="557"/>
      <c r="AG42" s="557"/>
      <c r="AH42" s="557"/>
      <c r="AI42" s="557"/>
      <c r="AJ42" s="560"/>
      <c r="AK42" s="557"/>
      <c r="AL42" s="570"/>
      <c r="AM42" s="565"/>
      <c r="AN42" s="565"/>
      <c r="AO42" s="565"/>
    </row>
    <row r="43" spans="1:41" ht="15" hidden="1" outlineLevel="1">
      <c r="A43" s="499" t="s">
        <v>370</v>
      </c>
      <c r="B43" s="566" t="s">
        <v>369</v>
      </c>
      <c r="C43" s="566"/>
      <c r="D43" s="566"/>
      <c r="E43" s="566"/>
      <c r="F43" s="590" t="s">
        <v>691</v>
      </c>
      <c r="G43" s="590"/>
      <c r="H43" s="756">
        <v>238960682.14668423</v>
      </c>
      <c r="I43" s="560"/>
      <c r="J43" s="557"/>
      <c r="K43" s="557"/>
      <c r="L43" s="557"/>
      <c r="M43" s="557"/>
      <c r="N43" s="557"/>
      <c r="O43" s="560"/>
      <c r="P43" s="560"/>
      <c r="Q43" s="557"/>
      <c r="R43" s="557"/>
      <c r="S43" s="570"/>
      <c r="T43" s="570"/>
      <c r="U43" s="570"/>
      <c r="V43" s="570"/>
      <c r="W43" s="566"/>
      <c r="X43" s="566"/>
      <c r="Y43" s="566"/>
      <c r="Z43" s="590" t="s">
        <v>691</v>
      </c>
      <c r="AA43" s="590"/>
      <c r="AB43" s="756">
        <v>235586448.71995243</v>
      </c>
      <c r="AC43" s="560"/>
      <c r="AD43" s="557"/>
      <c r="AE43" s="557"/>
      <c r="AF43" s="557"/>
      <c r="AG43" s="557"/>
      <c r="AH43" s="557"/>
      <c r="AI43" s="560"/>
      <c r="AJ43" s="560"/>
      <c r="AK43" s="557"/>
      <c r="AL43" s="570"/>
      <c r="AM43" s="565"/>
      <c r="AN43" s="565"/>
      <c r="AO43" s="565"/>
    </row>
    <row r="44" spans="1:41" ht="15" hidden="1" outlineLevel="1">
      <c r="A44" s="499" t="s">
        <v>368</v>
      </c>
      <c r="B44" s="560" t="s">
        <v>367</v>
      </c>
      <c r="C44" s="560"/>
      <c r="D44" s="560"/>
      <c r="E44" s="560"/>
      <c r="F44" s="590" t="s">
        <v>366</v>
      </c>
      <c r="G44" s="590"/>
      <c r="H44" s="569">
        <v>7.5725170521715179E-2</v>
      </c>
      <c r="I44" s="569"/>
      <c r="J44" s="557"/>
      <c r="K44" s="557"/>
      <c r="L44" s="557"/>
      <c r="M44" s="557"/>
      <c r="N44" s="557"/>
      <c r="O44" s="152">
        <v>7.5725170521715179E-2</v>
      </c>
      <c r="P44" s="560"/>
      <c r="Q44" s="557"/>
      <c r="R44" s="557"/>
      <c r="S44" s="557"/>
      <c r="T44" s="591"/>
      <c r="U44" s="583"/>
      <c r="V44" s="557"/>
      <c r="W44" s="560"/>
      <c r="X44" s="560"/>
      <c r="Y44" s="560"/>
      <c r="Z44" s="590" t="s">
        <v>366</v>
      </c>
      <c r="AA44" s="590"/>
      <c r="AB44" s="569">
        <v>7.4572777504807952E-2</v>
      </c>
      <c r="AC44" s="569"/>
      <c r="AD44" s="557"/>
      <c r="AE44" s="557"/>
      <c r="AF44" s="557"/>
      <c r="AG44" s="557"/>
      <c r="AH44" s="557"/>
      <c r="AI44" s="152">
        <v>7.4572777504807952E-2</v>
      </c>
      <c r="AJ44" s="560"/>
      <c r="AK44" s="557"/>
      <c r="AL44" s="557"/>
      <c r="AM44" s="565"/>
      <c r="AN44" s="565"/>
      <c r="AO44" s="708"/>
    </row>
    <row r="45" spans="1:41" ht="15" hidden="1" outlineLevel="1">
      <c r="A45" s="499"/>
      <c r="B45" s="566"/>
      <c r="C45" s="566"/>
      <c r="D45" s="566"/>
      <c r="E45" s="566"/>
      <c r="F45" s="590"/>
      <c r="G45" s="590"/>
      <c r="H45" s="560"/>
      <c r="I45" s="560"/>
      <c r="J45" s="557"/>
      <c r="K45" s="557"/>
      <c r="L45" s="557"/>
      <c r="M45" s="557"/>
      <c r="N45" s="557"/>
      <c r="O45" s="560"/>
      <c r="P45" s="560"/>
      <c r="Q45" s="585"/>
      <c r="R45" s="585"/>
      <c r="S45" s="570"/>
      <c r="T45" s="570"/>
      <c r="U45" s="570"/>
      <c r="V45" s="570"/>
      <c r="W45" s="566"/>
      <c r="X45" s="566"/>
      <c r="Y45" s="566"/>
      <c r="Z45" s="590"/>
      <c r="AA45" s="590"/>
      <c r="AB45" s="560"/>
      <c r="AC45" s="560"/>
      <c r="AD45" s="557"/>
      <c r="AE45" s="557"/>
      <c r="AF45" s="557"/>
      <c r="AG45" s="557"/>
      <c r="AH45" s="557"/>
      <c r="AI45" s="560"/>
      <c r="AJ45" s="560"/>
      <c r="AK45" s="585"/>
      <c r="AL45" s="570"/>
      <c r="AM45" s="565"/>
      <c r="AN45" s="565"/>
      <c r="AO45" s="645"/>
    </row>
    <row r="46" spans="1:41" ht="15.6" hidden="1" outlineLevel="1">
      <c r="A46" s="589" t="s">
        <v>365</v>
      </c>
      <c r="B46" s="582" t="s">
        <v>9</v>
      </c>
      <c r="C46" s="582"/>
      <c r="D46" s="582"/>
      <c r="E46" s="582"/>
      <c r="F46" s="588" t="s">
        <v>364</v>
      </c>
      <c r="G46" s="588"/>
      <c r="H46" s="587"/>
      <c r="I46" s="587"/>
      <c r="J46" s="557"/>
      <c r="K46" s="557"/>
      <c r="L46" s="557"/>
      <c r="M46" s="557"/>
      <c r="N46" s="557"/>
      <c r="O46" s="586">
        <v>0.10753816298309811</v>
      </c>
      <c r="P46" s="560"/>
      <c r="Q46" s="585"/>
      <c r="R46" s="585"/>
      <c r="S46" s="570"/>
      <c r="T46" s="570"/>
      <c r="U46" s="570"/>
      <c r="V46" s="570"/>
      <c r="W46" s="582"/>
      <c r="X46" s="582"/>
      <c r="Y46" s="582"/>
      <c r="Z46" s="588" t="s">
        <v>364</v>
      </c>
      <c r="AA46" s="588"/>
      <c r="AB46" s="587"/>
      <c r="AC46" s="587"/>
      <c r="AD46" s="557"/>
      <c r="AE46" s="557"/>
      <c r="AF46" s="557"/>
      <c r="AG46" s="557"/>
      <c r="AH46" s="557"/>
      <c r="AI46" s="586">
        <v>0.1058855235162894</v>
      </c>
      <c r="AJ46" s="560"/>
      <c r="AK46" s="585"/>
      <c r="AL46" s="570"/>
      <c r="AM46" s="565"/>
      <c r="AN46" s="565"/>
      <c r="AO46" s="708"/>
    </row>
    <row r="47" spans="1:41" ht="15" collapsed="1">
      <c r="A47" s="557"/>
      <c r="B47" s="557"/>
      <c r="C47" s="557"/>
      <c r="D47" s="557"/>
      <c r="E47" s="557"/>
      <c r="F47" s="566"/>
      <c r="G47" s="566"/>
      <c r="H47" s="566"/>
      <c r="I47" s="566"/>
      <c r="J47" s="566"/>
      <c r="K47" s="566"/>
      <c r="L47" s="566"/>
      <c r="M47" s="566"/>
      <c r="N47" s="566"/>
      <c r="O47" s="566"/>
      <c r="P47" s="566"/>
      <c r="Q47" s="566"/>
      <c r="R47" s="566"/>
      <c r="S47" s="570"/>
      <c r="T47" s="571"/>
      <c r="U47" s="570"/>
      <c r="V47" s="570"/>
      <c r="W47" s="557"/>
      <c r="X47" s="557"/>
      <c r="Y47" s="557"/>
      <c r="Z47" s="566"/>
      <c r="AA47" s="566"/>
      <c r="AB47" s="566"/>
      <c r="AC47" s="566"/>
      <c r="AD47" s="566"/>
      <c r="AE47" s="566"/>
      <c r="AF47" s="566"/>
      <c r="AG47" s="566"/>
      <c r="AH47" s="566"/>
      <c r="AI47" s="566"/>
      <c r="AJ47" s="566"/>
      <c r="AK47" s="566"/>
      <c r="AL47" s="570"/>
      <c r="AM47" s="565"/>
      <c r="AN47" s="565"/>
      <c r="AO47" s="565"/>
    </row>
    <row r="48" spans="1:41" ht="15.6">
      <c r="A48" s="755" t="s">
        <v>693</v>
      </c>
      <c r="B48" s="755"/>
      <c r="C48" s="1032" t="s">
        <v>778</v>
      </c>
      <c r="D48" s="1032"/>
      <c r="E48" s="1032"/>
      <c r="F48" s="1032"/>
      <c r="G48" s="1032"/>
      <c r="H48" s="1032"/>
      <c r="I48" s="1032"/>
      <c r="J48" s="1032"/>
      <c r="K48" s="1032"/>
      <c r="L48" s="1032"/>
      <c r="M48" s="1032"/>
      <c r="N48" s="1032"/>
      <c r="O48" s="1032"/>
      <c r="P48" s="1032"/>
      <c r="Q48" s="1032"/>
      <c r="R48" s="1032"/>
      <c r="S48" s="570"/>
      <c r="T48" s="1033" t="s">
        <v>694</v>
      </c>
      <c r="U48" s="1033"/>
      <c r="V48" s="570"/>
      <c r="W48" s="1032" t="s">
        <v>779</v>
      </c>
      <c r="X48" s="1032"/>
      <c r="Y48" s="1032"/>
      <c r="Z48" s="1032"/>
      <c r="AA48" s="1032"/>
      <c r="AB48" s="1032"/>
      <c r="AC48" s="1032"/>
      <c r="AD48" s="1032"/>
      <c r="AE48" s="1032"/>
      <c r="AF48" s="1032"/>
      <c r="AG48" s="1032"/>
      <c r="AH48" s="1032"/>
      <c r="AI48" s="1032"/>
      <c r="AJ48" s="1032"/>
      <c r="AK48" s="1032"/>
      <c r="AL48" s="570"/>
      <c r="AM48" s="1033" t="s">
        <v>780</v>
      </c>
      <c r="AN48" s="1033"/>
      <c r="AO48" s="1033"/>
    </row>
    <row r="49" spans="1:41" ht="15">
      <c r="A49" s="655">
        <v>2013</v>
      </c>
      <c r="B49" s="561"/>
      <c r="C49" s="561"/>
      <c r="D49" s="561"/>
      <c r="E49" s="754">
        <v>8.4080488632395547E-2</v>
      </c>
      <c r="F49" s="566"/>
      <c r="G49" s="754">
        <v>1.9383746536438807E-2</v>
      </c>
      <c r="H49" s="565"/>
      <c r="I49" s="565"/>
      <c r="J49" s="574"/>
      <c r="K49" s="754">
        <v>0.10753816298309811</v>
      </c>
      <c r="L49" s="574"/>
      <c r="M49" s="574"/>
      <c r="N49" s="574"/>
      <c r="O49" s="574"/>
      <c r="P49" s="560"/>
      <c r="Q49" s="560"/>
      <c r="R49" s="560"/>
      <c r="S49" s="570"/>
      <c r="T49" s="659">
        <v>9237875.8100000005</v>
      </c>
      <c r="U49" s="618" t="s">
        <v>695</v>
      </c>
      <c r="V49" s="570"/>
      <c r="W49" s="561"/>
      <c r="X49" s="561"/>
      <c r="Y49" s="754">
        <v>8.5799086934897517E-2</v>
      </c>
      <c r="Z49" s="566"/>
      <c r="AA49" s="754">
        <v>1.6506457974158745E-2</v>
      </c>
      <c r="AB49" s="565"/>
      <c r="AC49" s="565"/>
      <c r="AD49" s="574"/>
      <c r="AE49" s="754">
        <v>0.1058855235162894</v>
      </c>
      <c r="AF49" s="574"/>
      <c r="AG49" s="574"/>
      <c r="AH49" s="574"/>
      <c r="AI49" s="574"/>
      <c r="AJ49" s="560"/>
      <c r="AK49" s="560"/>
      <c r="AL49" s="570"/>
      <c r="AM49" s="618"/>
      <c r="AN49" s="618"/>
      <c r="AO49" s="618"/>
    </row>
    <row r="50" spans="1:41" ht="15">
      <c r="A50" s="561"/>
      <c r="B50" s="561"/>
      <c r="C50" s="561"/>
      <c r="D50" s="561"/>
      <c r="E50" s="561"/>
      <c r="F50" s="561"/>
      <c r="G50" s="561"/>
      <c r="H50" s="561"/>
      <c r="I50" s="561"/>
      <c r="J50" s="561"/>
      <c r="K50" s="561"/>
      <c r="L50" s="561"/>
      <c r="M50" s="561"/>
      <c r="N50" s="561"/>
      <c r="O50" s="561"/>
      <c r="P50" s="561"/>
      <c r="Q50" s="561"/>
      <c r="R50" s="561"/>
      <c r="S50" s="570"/>
      <c r="T50" s="716">
        <v>0</v>
      </c>
      <c r="U50" s="618" t="s">
        <v>640</v>
      </c>
      <c r="V50" s="570"/>
      <c r="W50" s="561"/>
      <c r="X50" s="561"/>
      <c r="Y50" s="561"/>
      <c r="Z50" s="561"/>
      <c r="AA50" s="561"/>
      <c r="AB50" s="561"/>
      <c r="AC50" s="561"/>
      <c r="AD50" s="561"/>
      <c r="AE50" s="561"/>
      <c r="AF50" s="574"/>
      <c r="AG50" s="574"/>
      <c r="AH50" s="574"/>
      <c r="AI50" s="574"/>
      <c r="AJ50" s="560"/>
      <c r="AK50" s="560"/>
      <c r="AL50" s="570"/>
      <c r="AM50" s="618"/>
      <c r="AN50" s="657">
        <v>3.2400000000000005E-2</v>
      </c>
      <c r="AO50" s="565" t="s">
        <v>739</v>
      </c>
    </row>
    <row r="51" spans="1:41" ht="15">
      <c r="A51" s="561"/>
      <c r="B51" s="561"/>
      <c r="C51" s="561"/>
      <c r="D51" s="561"/>
      <c r="E51" s="561"/>
      <c r="F51" s="561"/>
      <c r="G51" s="561"/>
      <c r="H51" s="561"/>
      <c r="I51" s="561"/>
      <c r="J51" s="561"/>
      <c r="K51" s="561"/>
      <c r="L51" s="561"/>
      <c r="M51" s="561"/>
      <c r="N51" s="561"/>
      <c r="O51" s="561"/>
      <c r="P51" s="561"/>
      <c r="Q51" s="561"/>
      <c r="R51" s="561"/>
      <c r="S51" s="570"/>
      <c r="T51" s="715">
        <v>9237875.8100000005</v>
      </c>
      <c r="U51" s="619"/>
      <c r="V51" s="570"/>
      <c r="W51" s="561"/>
      <c r="X51" s="561"/>
      <c r="Y51" s="561"/>
      <c r="Z51" s="561"/>
      <c r="AA51" s="561"/>
      <c r="AB51" s="561"/>
      <c r="AC51" s="561"/>
      <c r="AD51" s="561"/>
      <c r="AE51" s="561"/>
      <c r="AF51" s="574"/>
      <c r="AG51" s="574"/>
      <c r="AH51" s="574"/>
      <c r="AI51" s="574"/>
      <c r="AJ51" s="560"/>
      <c r="AK51" s="560"/>
      <c r="AL51" s="570"/>
      <c r="AM51" s="618"/>
      <c r="AN51" s="708">
        <v>-276166.08</v>
      </c>
      <c r="AO51" s="565" t="s">
        <v>740</v>
      </c>
    </row>
    <row r="52" spans="1:41" ht="15">
      <c r="A52" s="660" t="s">
        <v>87</v>
      </c>
      <c r="B52" s="751" t="s">
        <v>85</v>
      </c>
      <c r="C52" s="752" t="s">
        <v>699</v>
      </c>
      <c r="D52" s="752" t="s">
        <v>700</v>
      </c>
      <c r="E52" s="752" t="s">
        <v>701</v>
      </c>
      <c r="F52" s="752" t="s">
        <v>702</v>
      </c>
      <c r="G52" s="752" t="s">
        <v>703</v>
      </c>
      <c r="H52" s="752" t="s">
        <v>704</v>
      </c>
      <c r="I52" s="752" t="s">
        <v>705</v>
      </c>
      <c r="J52" s="752" t="s">
        <v>741</v>
      </c>
      <c r="K52" s="752" t="s">
        <v>742</v>
      </c>
      <c r="L52" s="752" t="s">
        <v>743</v>
      </c>
      <c r="M52" s="752" t="s">
        <v>744</v>
      </c>
      <c r="N52" s="752" t="s">
        <v>745</v>
      </c>
      <c r="O52" s="751" t="s">
        <v>83</v>
      </c>
      <c r="P52" s="751" t="s">
        <v>82</v>
      </c>
      <c r="Q52" s="751" t="s">
        <v>80</v>
      </c>
      <c r="R52" s="751" t="s">
        <v>78</v>
      </c>
      <c r="S52" s="570"/>
      <c r="T52" s="662" t="s">
        <v>76</v>
      </c>
      <c r="U52" s="663" t="s">
        <v>74</v>
      </c>
      <c r="V52" s="570"/>
      <c r="W52" s="753" t="s">
        <v>706</v>
      </c>
      <c r="X52" s="753" t="s">
        <v>707</v>
      </c>
      <c r="Y52" s="753" t="s">
        <v>708</v>
      </c>
      <c r="Z52" s="753" t="s">
        <v>709</v>
      </c>
      <c r="AA52" s="753" t="s">
        <v>710</v>
      </c>
      <c r="AB52" s="753" t="s">
        <v>711</v>
      </c>
      <c r="AC52" s="753" t="s">
        <v>712</v>
      </c>
      <c r="AD52" s="752" t="s">
        <v>746</v>
      </c>
      <c r="AE52" s="752" t="s">
        <v>747</v>
      </c>
      <c r="AF52" s="752" t="s">
        <v>748</v>
      </c>
      <c r="AG52" s="752" t="s">
        <v>749</v>
      </c>
      <c r="AH52" s="752" t="s">
        <v>750</v>
      </c>
      <c r="AI52" s="751" t="s">
        <v>72</v>
      </c>
      <c r="AJ52" s="751" t="s">
        <v>70</v>
      </c>
      <c r="AK52" s="751" t="s">
        <v>68</v>
      </c>
      <c r="AL52" s="570"/>
      <c r="AM52" s="662" t="s">
        <v>61</v>
      </c>
      <c r="AN52" s="662" t="s">
        <v>60</v>
      </c>
      <c r="AO52" s="662" t="s">
        <v>58</v>
      </c>
    </row>
    <row r="53" spans="1:41" ht="105">
      <c r="A53" s="750" t="s">
        <v>359</v>
      </c>
      <c r="B53" s="750" t="s">
        <v>360</v>
      </c>
      <c r="C53" s="750" t="s">
        <v>713</v>
      </c>
      <c r="D53" s="750" t="s">
        <v>417</v>
      </c>
      <c r="E53" s="750" t="s">
        <v>416</v>
      </c>
      <c r="F53" s="709" t="s">
        <v>415</v>
      </c>
      <c r="G53" s="709" t="s">
        <v>414</v>
      </c>
      <c r="H53" s="749" t="s">
        <v>413</v>
      </c>
      <c r="I53" s="748" t="s">
        <v>357</v>
      </c>
      <c r="J53" s="709" t="s">
        <v>356</v>
      </c>
      <c r="K53" s="709" t="s">
        <v>9</v>
      </c>
      <c r="L53" s="748" t="s">
        <v>355</v>
      </c>
      <c r="M53" s="709" t="s">
        <v>2</v>
      </c>
      <c r="N53" s="709" t="s">
        <v>466</v>
      </c>
      <c r="O53" s="711" t="s">
        <v>354</v>
      </c>
      <c r="P53" s="710" t="s">
        <v>714</v>
      </c>
      <c r="Q53" s="711" t="s">
        <v>400</v>
      </c>
      <c r="R53" s="669" t="s">
        <v>715</v>
      </c>
      <c r="S53" s="747"/>
      <c r="T53" s="669" t="s">
        <v>716</v>
      </c>
      <c r="U53" s="669" t="s">
        <v>717</v>
      </c>
      <c r="V53" s="747"/>
      <c r="W53" s="750" t="s">
        <v>718</v>
      </c>
      <c r="X53" s="750" t="s">
        <v>417</v>
      </c>
      <c r="Y53" s="750" t="s">
        <v>416</v>
      </c>
      <c r="Z53" s="709" t="s">
        <v>415</v>
      </c>
      <c r="AA53" s="709" t="s">
        <v>414</v>
      </c>
      <c r="AB53" s="749" t="s">
        <v>413</v>
      </c>
      <c r="AC53" s="748" t="s">
        <v>357</v>
      </c>
      <c r="AD53" s="709" t="s">
        <v>356</v>
      </c>
      <c r="AE53" s="709" t="s">
        <v>9</v>
      </c>
      <c r="AF53" s="748" t="s">
        <v>355</v>
      </c>
      <c r="AG53" s="709" t="s">
        <v>2</v>
      </c>
      <c r="AH53" s="709" t="s">
        <v>466</v>
      </c>
      <c r="AI53" s="711" t="s">
        <v>354</v>
      </c>
      <c r="AJ53" s="710" t="s">
        <v>714</v>
      </c>
      <c r="AK53" s="711" t="s">
        <v>400</v>
      </c>
      <c r="AL53" s="747"/>
      <c r="AM53" s="669" t="s">
        <v>719</v>
      </c>
      <c r="AN53" s="669" t="s">
        <v>720</v>
      </c>
      <c r="AO53" s="669" t="s">
        <v>751</v>
      </c>
    </row>
    <row r="54" spans="1:41" ht="15">
      <c r="A54" s="579"/>
      <c r="B54" s="579"/>
      <c r="C54" s="609"/>
      <c r="D54" s="579"/>
      <c r="E54" s="579"/>
      <c r="F54" s="609"/>
      <c r="G54" s="578"/>
      <c r="H54" s="609"/>
      <c r="I54" s="746"/>
      <c r="J54" s="609"/>
      <c r="K54" s="578"/>
      <c r="L54" s="577"/>
      <c r="M54" s="578"/>
      <c r="N54" s="578"/>
      <c r="O54" s="577"/>
      <c r="P54" s="576"/>
      <c r="Q54" s="575"/>
      <c r="R54" s="575"/>
      <c r="S54" s="570"/>
      <c r="T54" s="679"/>
      <c r="U54" s="679"/>
      <c r="V54" s="570"/>
      <c r="W54" s="609"/>
      <c r="X54" s="579"/>
      <c r="Y54" s="579"/>
      <c r="Z54" s="609"/>
      <c r="AA54" s="578"/>
      <c r="AB54" s="609"/>
      <c r="AC54" s="746"/>
      <c r="AD54" s="609"/>
      <c r="AE54" s="578"/>
      <c r="AF54" s="577"/>
      <c r="AG54" s="578"/>
      <c r="AH54" s="578"/>
      <c r="AI54" s="577"/>
      <c r="AJ54" s="576"/>
      <c r="AK54" s="575"/>
      <c r="AL54" s="570"/>
      <c r="AM54" s="679"/>
      <c r="AN54" s="679"/>
      <c r="AO54" s="679"/>
    </row>
    <row r="55" spans="1:41" ht="15">
      <c r="A55" s="574"/>
      <c r="B55" s="574"/>
      <c r="C55" s="574"/>
      <c r="D55" s="574"/>
      <c r="E55" s="574"/>
      <c r="F55" s="574"/>
      <c r="G55" s="574"/>
      <c r="H55" s="574"/>
      <c r="I55" s="573"/>
      <c r="J55" s="574"/>
      <c r="K55" s="574"/>
      <c r="L55" s="573"/>
      <c r="M55" s="574"/>
      <c r="N55" s="574"/>
      <c r="O55" s="573"/>
      <c r="P55" s="560"/>
      <c r="Q55" s="572"/>
      <c r="R55" s="572"/>
      <c r="S55" s="570"/>
      <c r="T55" s="745"/>
      <c r="U55" s="744"/>
      <c r="V55" s="570"/>
      <c r="W55" s="574"/>
      <c r="X55" s="574"/>
      <c r="Y55" s="574"/>
      <c r="Z55" s="574"/>
      <c r="AA55" s="574"/>
      <c r="AB55" s="574"/>
      <c r="AC55" s="573"/>
      <c r="AD55" s="574"/>
      <c r="AE55" s="574"/>
      <c r="AF55" s="573"/>
      <c r="AG55" s="574"/>
      <c r="AH55" s="574"/>
      <c r="AI55" s="573"/>
      <c r="AJ55" s="560"/>
      <c r="AK55" s="572"/>
      <c r="AL55" s="570"/>
      <c r="AM55" s="743"/>
      <c r="AN55" s="767"/>
      <c r="AO55" s="743"/>
    </row>
    <row r="56" spans="1:41" ht="15">
      <c r="A56" s="742">
        <v>2844</v>
      </c>
      <c r="B56" s="500" t="s">
        <v>730</v>
      </c>
      <c r="C56" s="738">
        <v>1040307.6923076924</v>
      </c>
      <c r="D56" s="738">
        <v>90046.145110525191</v>
      </c>
      <c r="E56" s="569">
        <v>8.4080488632395547E-2</v>
      </c>
      <c r="F56" s="708">
        <v>7571.1238803565529</v>
      </c>
      <c r="G56" s="569">
        <v>1.9383746536438807E-2</v>
      </c>
      <c r="H56" s="769">
        <v>20165.06062759988</v>
      </c>
      <c r="I56" s="608">
        <v>27736.184507956434</v>
      </c>
      <c r="J56" s="738">
        <v>23398492.353351012</v>
      </c>
      <c r="K56" s="569">
        <v>0.10753816298309811</v>
      </c>
      <c r="L56" s="608">
        <v>2516230.8842534358</v>
      </c>
      <c r="M56" s="738">
        <v>316291.99309934</v>
      </c>
      <c r="N56" s="738">
        <v>0</v>
      </c>
      <c r="O56" s="608">
        <v>2860259.0618607318</v>
      </c>
      <c r="P56" s="738">
        <v>0</v>
      </c>
      <c r="Q56" s="608">
        <v>2860259.0618607318</v>
      </c>
      <c r="R56" s="739">
        <v>0.28529922347840336</v>
      </c>
      <c r="S56" s="558"/>
      <c r="T56" s="767">
        <v>2635558.7951829266</v>
      </c>
      <c r="U56" s="739">
        <v>0.28529922347840342</v>
      </c>
      <c r="V56" s="558"/>
      <c r="W56" s="738">
        <v>23015619.745384615</v>
      </c>
      <c r="X56" s="738">
        <v>12868.280769232661</v>
      </c>
      <c r="Y56" s="569">
        <v>8.5799086934897517E-2</v>
      </c>
      <c r="Z56" s="708">
        <v>1104.086740422063</v>
      </c>
      <c r="AA56" s="569">
        <v>1.6506457974158745E-2</v>
      </c>
      <c r="AB56" s="769">
        <v>379906.36007640936</v>
      </c>
      <c r="AC56" s="608">
        <v>381010.44681683142</v>
      </c>
      <c r="AD56" s="738">
        <v>23002751.464615382</v>
      </c>
      <c r="AE56" s="569">
        <v>0.1058855235162894</v>
      </c>
      <c r="AF56" s="608">
        <v>2435658.3811458922</v>
      </c>
      <c r="AG56" s="738">
        <v>42478.049999999996</v>
      </c>
      <c r="AH56" s="738">
        <v>782.27</v>
      </c>
      <c r="AI56" s="608">
        <v>2859929.1479627234</v>
      </c>
      <c r="AJ56" s="738">
        <v>0</v>
      </c>
      <c r="AK56" s="608">
        <v>2859929.1479627234</v>
      </c>
      <c r="AL56" s="558"/>
      <c r="AM56" s="608">
        <v>224370.35277979681</v>
      </c>
      <c r="AN56" s="608">
        <v>14539.196950323038</v>
      </c>
      <c r="AO56" s="608">
        <v>238909.54973011985</v>
      </c>
    </row>
    <row r="57" spans="1:41" ht="15">
      <c r="A57" s="742">
        <v>3127</v>
      </c>
      <c r="B57" s="500" t="s">
        <v>731</v>
      </c>
      <c r="C57" s="738">
        <v>23488538.498461537</v>
      </c>
      <c r="D57" s="738">
        <v>0</v>
      </c>
      <c r="E57" s="569">
        <v>8.4080488632395547E-2</v>
      </c>
      <c r="F57" s="708">
        <v>0</v>
      </c>
      <c r="G57" s="569">
        <v>1.9383746536438807E-2</v>
      </c>
      <c r="H57" s="769">
        <v>455295.87676556339</v>
      </c>
      <c r="I57" s="608">
        <v>455295.87676556339</v>
      </c>
      <c r="J57" s="738">
        <v>1040307.6923076924</v>
      </c>
      <c r="K57" s="569">
        <v>0.10753816298309811</v>
      </c>
      <c r="L57" s="608">
        <v>111872.7781679553</v>
      </c>
      <c r="M57" s="738">
        <v>0</v>
      </c>
      <c r="N57" s="738">
        <v>6598043.1799999997</v>
      </c>
      <c r="O57" s="608">
        <v>7165211.8349335184</v>
      </c>
      <c r="P57" s="738">
        <v>0</v>
      </c>
      <c r="Q57" s="608">
        <v>7165211.8349335184</v>
      </c>
      <c r="R57" s="739">
        <v>0.71470077652159658</v>
      </c>
      <c r="S57" s="558"/>
      <c r="T57" s="767">
        <v>6602317.014817073</v>
      </c>
      <c r="U57" s="739">
        <v>0.71470077652159669</v>
      </c>
      <c r="V57" s="558"/>
      <c r="W57" s="738">
        <v>0</v>
      </c>
      <c r="X57" s="738">
        <v>0</v>
      </c>
      <c r="Y57" s="569">
        <v>8.5799086934897517E-2</v>
      </c>
      <c r="Z57" s="708">
        <v>0</v>
      </c>
      <c r="AA57" s="569">
        <v>1.6506457974158745E-2</v>
      </c>
      <c r="AB57" s="769">
        <v>0</v>
      </c>
      <c r="AC57" s="608">
        <v>0</v>
      </c>
      <c r="AD57" s="738">
        <v>0</v>
      </c>
      <c r="AE57" s="569">
        <v>0.1058855235162894</v>
      </c>
      <c r="AF57" s="608">
        <v>0</v>
      </c>
      <c r="AG57" s="738">
        <v>0</v>
      </c>
      <c r="AH57" s="738">
        <v>2116123.8800000018</v>
      </c>
      <c r="AI57" s="608">
        <v>2116123.8800000018</v>
      </c>
      <c r="AJ57" s="738">
        <v>0</v>
      </c>
      <c r="AK57" s="608">
        <v>2116123.8800000018</v>
      </c>
      <c r="AL57" s="558"/>
      <c r="AM57" s="608">
        <v>-4486193.1348170713</v>
      </c>
      <c r="AN57" s="608">
        <v>-290705.27695032302</v>
      </c>
      <c r="AO57" s="608">
        <v>-4776898.4117673943</v>
      </c>
    </row>
    <row r="58" spans="1:41" ht="15">
      <c r="A58" s="741"/>
      <c r="B58" s="500"/>
      <c r="C58" s="738">
        <v>0</v>
      </c>
      <c r="D58" s="738">
        <v>0</v>
      </c>
      <c r="E58" s="569">
        <v>8.4080488632395547E-2</v>
      </c>
      <c r="F58" s="708">
        <v>0</v>
      </c>
      <c r="G58" s="569">
        <v>1.9383746536438807E-2</v>
      </c>
      <c r="H58" s="769">
        <v>0</v>
      </c>
      <c r="I58" s="608">
        <v>0</v>
      </c>
      <c r="J58" s="738">
        <v>0</v>
      </c>
      <c r="K58" s="569">
        <v>0.10753816298309811</v>
      </c>
      <c r="L58" s="608">
        <v>0</v>
      </c>
      <c r="M58" s="738">
        <v>0</v>
      </c>
      <c r="N58" s="738">
        <v>0</v>
      </c>
      <c r="O58" s="608">
        <v>0</v>
      </c>
      <c r="P58" s="738">
        <v>0</v>
      </c>
      <c r="Q58" s="608">
        <v>0</v>
      </c>
      <c r="R58" s="739">
        <v>0</v>
      </c>
      <c r="S58" s="558"/>
      <c r="T58" s="767">
        <v>0</v>
      </c>
      <c r="U58" s="739">
        <v>0</v>
      </c>
      <c r="V58" s="558"/>
      <c r="W58" s="738">
        <v>0</v>
      </c>
      <c r="X58" s="738">
        <v>0</v>
      </c>
      <c r="Y58" s="569">
        <v>8.5799086934897517E-2</v>
      </c>
      <c r="Z58" s="708">
        <v>0</v>
      </c>
      <c r="AA58" s="569">
        <v>1.6506457974158745E-2</v>
      </c>
      <c r="AB58" s="769">
        <v>0</v>
      </c>
      <c r="AC58" s="608">
        <v>0</v>
      </c>
      <c r="AD58" s="738">
        <v>0</v>
      </c>
      <c r="AE58" s="569">
        <v>0.1058855235162894</v>
      </c>
      <c r="AF58" s="608">
        <v>0</v>
      </c>
      <c r="AG58" s="738">
        <v>0</v>
      </c>
      <c r="AH58" s="738">
        <v>0</v>
      </c>
      <c r="AI58" s="608">
        <v>0</v>
      </c>
      <c r="AJ58" s="738">
        <v>0</v>
      </c>
      <c r="AK58" s="608">
        <v>0</v>
      </c>
      <c r="AL58" s="558"/>
      <c r="AM58" s="608">
        <v>0</v>
      </c>
      <c r="AN58" s="767">
        <v>0</v>
      </c>
      <c r="AO58" s="608">
        <v>0</v>
      </c>
    </row>
    <row r="59" spans="1:41" ht="15">
      <c r="A59" s="741"/>
      <c r="B59" s="500"/>
      <c r="C59" s="738">
        <v>0</v>
      </c>
      <c r="D59" s="738">
        <v>0</v>
      </c>
      <c r="E59" s="569">
        <v>8.4080488632395547E-2</v>
      </c>
      <c r="F59" s="708">
        <v>0</v>
      </c>
      <c r="G59" s="569">
        <v>1.9383746536438807E-2</v>
      </c>
      <c r="H59" s="769">
        <v>0</v>
      </c>
      <c r="I59" s="608">
        <v>0</v>
      </c>
      <c r="J59" s="738">
        <v>0</v>
      </c>
      <c r="K59" s="569">
        <v>0.10753816298309811</v>
      </c>
      <c r="L59" s="608">
        <v>0</v>
      </c>
      <c r="M59" s="738">
        <v>0</v>
      </c>
      <c r="N59" s="738">
        <v>0</v>
      </c>
      <c r="O59" s="608">
        <v>0</v>
      </c>
      <c r="P59" s="738">
        <v>0</v>
      </c>
      <c r="Q59" s="608">
        <v>0</v>
      </c>
      <c r="R59" s="739">
        <v>0</v>
      </c>
      <c r="S59" s="558"/>
      <c r="T59" s="767">
        <v>0</v>
      </c>
      <c r="U59" s="739">
        <v>0</v>
      </c>
      <c r="V59" s="558"/>
      <c r="W59" s="738">
        <v>0</v>
      </c>
      <c r="X59" s="738">
        <v>0</v>
      </c>
      <c r="Y59" s="569">
        <v>8.5799086934897517E-2</v>
      </c>
      <c r="Z59" s="708">
        <v>0</v>
      </c>
      <c r="AA59" s="569">
        <v>1.6506457974158745E-2</v>
      </c>
      <c r="AB59" s="769">
        <v>0</v>
      </c>
      <c r="AC59" s="608">
        <v>0</v>
      </c>
      <c r="AD59" s="738">
        <v>0</v>
      </c>
      <c r="AE59" s="569">
        <v>0.1058855235162894</v>
      </c>
      <c r="AF59" s="608">
        <v>0</v>
      </c>
      <c r="AG59" s="738">
        <v>0</v>
      </c>
      <c r="AH59" s="738">
        <v>0</v>
      </c>
      <c r="AI59" s="608">
        <v>0</v>
      </c>
      <c r="AJ59" s="738">
        <v>0</v>
      </c>
      <c r="AK59" s="608">
        <v>0</v>
      </c>
      <c r="AL59" s="558"/>
      <c r="AM59" s="608">
        <v>0</v>
      </c>
      <c r="AN59" s="767">
        <v>0</v>
      </c>
      <c r="AO59" s="608">
        <v>0</v>
      </c>
    </row>
    <row r="60" spans="1:41" ht="15">
      <c r="A60" s="741"/>
      <c r="B60" s="500"/>
      <c r="C60" s="738">
        <v>0</v>
      </c>
      <c r="D60" s="738">
        <v>0</v>
      </c>
      <c r="E60" s="569">
        <v>8.4080488632395547E-2</v>
      </c>
      <c r="F60" s="708">
        <v>0</v>
      </c>
      <c r="G60" s="569">
        <v>1.9383746536438807E-2</v>
      </c>
      <c r="H60" s="769">
        <v>0</v>
      </c>
      <c r="I60" s="608">
        <v>0</v>
      </c>
      <c r="J60" s="738">
        <v>0</v>
      </c>
      <c r="K60" s="569">
        <v>0.10753816298309811</v>
      </c>
      <c r="L60" s="608">
        <v>0</v>
      </c>
      <c r="M60" s="738">
        <v>0</v>
      </c>
      <c r="N60" s="738">
        <v>0</v>
      </c>
      <c r="O60" s="608">
        <v>0</v>
      </c>
      <c r="P60" s="738">
        <v>0</v>
      </c>
      <c r="Q60" s="608">
        <v>0</v>
      </c>
      <c r="R60" s="739">
        <v>0</v>
      </c>
      <c r="S60" s="558"/>
      <c r="T60" s="767">
        <v>0</v>
      </c>
      <c r="U60" s="739">
        <v>0</v>
      </c>
      <c r="V60" s="558"/>
      <c r="W60" s="738">
        <v>0</v>
      </c>
      <c r="X60" s="738">
        <v>0</v>
      </c>
      <c r="Y60" s="569">
        <v>8.5799086934897517E-2</v>
      </c>
      <c r="Z60" s="708">
        <v>0</v>
      </c>
      <c r="AA60" s="569">
        <v>1.6506457974158745E-2</v>
      </c>
      <c r="AB60" s="769">
        <v>0</v>
      </c>
      <c r="AC60" s="608">
        <v>0</v>
      </c>
      <c r="AD60" s="738">
        <v>0</v>
      </c>
      <c r="AE60" s="569">
        <v>0.1058855235162894</v>
      </c>
      <c r="AF60" s="608">
        <v>0</v>
      </c>
      <c r="AG60" s="738">
        <v>0</v>
      </c>
      <c r="AH60" s="738">
        <v>0</v>
      </c>
      <c r="AI60" s="608">
        <v>0</v>
      </c>
      <c r="AJ60" s="738">
        <v>0</v>
      </c>
      <c r="AK60" s="608">
        <v>0</v>
      </c>
      <c r="AL60" s="558"/>
      <c r="AM60" s="608">
        <v>0</v>
      </c>
      <c r="AN60" s="767">
        <v>0</v>
      </c>
      <c r="AO60" s="608">
        <v>0</v>
      </c>
    </row>
    <row r="61" spans="1:41" ht="15">
      <c r="A61" s="741"/>
      <c r="B61" s="500"/>
      <c r="C61" s="738">
        <v>0</v>
      </c>
      <c r="D61" s="738">
        <v>0</v>
      </c>
      <c r="E61" s="569">
        <v>8.4080488632395547E-2</v>
      </c>
      <c r="F61" s="708">
        <v>0</v>
      </c>
      <c r="G61" s="569">
        <v>1.9383746536438807E-2</v>
      </c>
      <c r="H61" s="769">
        <v>0</v>
      </c>
      <c r="I61" s="608">
        <v>0</v>
      </c>
      <c r="J61" s="738">
        <v>0</v>
      </c>
      <c r="K61" s="569">
        <v>0.10753816298309811</v>
      </c>
      <c r="L61" s="608">
        <v>0</v>
      </c>
      <c r="M61" s="738">
        <v>0</v>
      </c>
      <c r="N61" s="738">
        <v>0</v>
      </c>
      <c r="O61" s="608">
        <v>0</v>
      </c>
      <c r="P61" s="738">
        <v>0</v>
      </c>
      <c r="Q61" s="608">
        <v>0</v>
      </c>
      <c r="R61" s="739">
        <v>0</v>
      </c>
      <c r="S61" s="558"/>
      <c r="T61" s="767">
        <v>0</v>
      </c>
      <c r="U61" s="739">
        <v>0</v>
      </c>
      <c r="V61" s="558"/>
      <c r="W61" s="738">
        <v>0</v>
      </c>
      <c r="X61" s="738">
        <v>0</v>
      </c>
      <c r="Y61" s="569">
        <v>8.5799086934897517E-2</v>
      </c>
      <c r="Z61" s="708">
        <v>0</v>
      </c>
      <c r="AA61" s="569">
        <v>1.6506457974158745E-2</v>
      </c>
      <c r="AB61" s="769">
        <v>0</v>
      </c>
      <c r="AC61" s="608">
        <v>0</v>
      </c>
      <c r="AD61" s="738">
        <v>0</v>
      </c>
      <c r="AE61" s="569">
        <v>0.1058855235162894</v>
      </c>
      <c r="AF61" s="608">
        <v>0</v>
      </c>
      <c r="AG61" s="738">
        <v>0</v>
      </c>
      <c r="AH61" s="738">
        <v>0</v>
      </c>
      <c r="AI61" s="608">
        <v>0</v>
      </c>
      <c r="AJ61" s="738">
        <v>0</v>
      </c>
      <c r="AK61" s="608">
        <v>0</v>
      </c>
      <c r="AL61" s="558"/>
      <c r="AM61" s="608">
        <v>0</v>
      </c>
      <c r="AN61" s="767">
        <v>0</v>
      </c>
      <c r="AO61" s="608">
        <v>0</v>
      </c>
    </row>
    <row r="62" spans="1:41" ht="15">
      <c r="A62" s="741"/>
      <c r="B62" s="500"/>
      <c r="C62" s="738">
        <v>0</v>
      </c>
      <c r="D62" s="738">
        <v>0</v>
      </c>
      <c r="E62" s="569">
        <v>8.4080488632395547E-2</v>
      </c>
      <c r="F62" s="708">
        <v>0</v>
      </c>
      <c r="G62" s="569">
        <v>1.9383746536438807E-2</v>
      </c>
      <c r="H62" s="769">
        <v>0</v>
      </c>
      <c r="I62" s="608">
        <v>0</v>
      </c>
      <c r="J62" s="738">
        <v>0</v>
      </c>
      <c r="K62" s="569">
        <v>0.10753816298309811</v>
      </c>
      <c r="L62" s="608">
        <v>0</v>
      </c>
      <c r="M62" s="738">
        <v>0</v>
      </c>
      <c r="N62" s="738">
        <v>0</v>
      </c>
      <c r="O62" s="608">
        <v>0</v>
      </c>
      <c r="P62" s="738">
        <v>0</v>
      </c>
      <c r="Q62" s="608">
        <v>0</v>
      </c>
      <c r="R62" s="739">
        <v>0</v>
      </c>
      <c r="S62" s="558"/>
      <c r="T62" s="767">
        <v>0</v>
      </c>
      <c r="U62" s="739">
        <v>0</v>
      </c>
      <c r="V62" s="558"/>
      <c r="W62" s="738">
        <v>0</v>
      </c>
      <c r="X62" s="738">
        <v>0</v>
      </c>
      <c r="Y62" s="569">
        <v>8.5799086934897517E-2</v>
      </c>
      <c r="Z62" s="708">
        <v>0</v>
      </c>
      <c r="AA62" s="569">
        <v>1.6506457974158745E-2</v>
      </c>
      <c r="AB62" s="769">
        <v>0</v>
      </c>
      <c r="AC62" s="608">
        <v>0</v>
      </c>
      <c r="AD62" s="738">
        <v>0</v>
      </c>
      <c r="AE62" s="569">
        <v>0.1058855235162894</v>
      </c>
      <c r="AF62" s="608">
        <v>0</v>
      </c>
      <c r="AG62" s="738">
        <v>0</v>
      </c>
      <c r="AH62" s="738">
        <v>0</v>
      </c>
      <c r="AI62" s="608">
        <v>0</v>
      </c>
      <c r="AJ62" s="738">
        <v>0</v>
      </c>
      <c r="AK62" s="608">
        <v>0</v>
      </c>
      <c r="AL62" s="558"/>
      <c r="AM62" s="608">
        <v>0</v>
      </c>
      <c r="AN62" s="767">
        <v>0</v>
      </c>
      <c r="AO62" s="608">
        <v>0</v>
      </c>
    </row>
    <row r="63" spans="1:41" ht="15">
      <c r="A63" s="741"/>
      <c r="B63" s="500"/>
      <c r="C63" s="738">
        <v>0</v>
      </c>
      <c r="D63" s="738">
        <v>0</v>
      </c>
      <c r="E63" s="569">
        <v>8.4080488632395547E-2</v>
      </c>
      <c r="F63" s="708">
        <v>0</v>
      </c>
      <c r="G63" s="569">
        <v>1.9383746536438807E-2</v>
      </c>
      <c r="H63" s="769">
        <v>0</v>
      </c>
      <c r="I63" s="608">
        <v>0</v>
      </c>
      <c r="J63" s="738">
        <v>0</v>
      </c>
      <c r="K63" s="569">
        <v>0.10753816298309811</v>
      </c>
      <c r="L63" s="608">
        <v>0</v>
      </c>
      <c r="M63" s="738">
        <v>0</v>
      </c>
      <c r="N63" s="738">
        <v>0</v>
      </c>
      <c r="O63" s="608">
        <v>0</v>
      </c>
      <c r="P63" s="738">
        <v>0</v>
      </c>
      <c r="Q63" s="608">
        <v>0</v>
      </c>
      <c r="R63" s="739">
        <v>0</v>
      </c>
      <c r="S63" s="558"/>
      <c r="T63" s="767">
        <v>0</v>
      </c>
      <c r="U63" s="739">
        <v>0</v>
      </c>
      <c r="V63" s="558"/>
      <c r="W63" s="738">
        <v>0</v>
      </c>
      <c r="X63" s="738">
        <v>0</v>
      </c>
      <c r="Y63" s="569">
        <v>8.5799086934897517E-2</v>
      </c>
      <c r="Z63" s="708">
        <v>0</v>
      </c>
      <c r="AA63" s="569">
        <v>1.6506457974158745E-2</v>
      </c>
      <c r="AB63" s="769">
        <v>0</v>
      </c>
      <c r="AC63" s="608">
        <v>0</v>
      </c>
      <c r="AD63" s="738">
        <v>0</v>
      </c>
      <c r="AE63" s="569">
        <v>0.1058855235162894</v>
      </c>
      <c r="AF63" s="608">
        <v>0</v>
      </c>
      <c r="AG63" s="738">
        <v>0</v>
      </c>
      <c r="AH63" s="738">
        <v>0</v>
      </c>
      <c r="AI63" s="608">
        <v>0</v>
      </c>
      <c r="AJ63" s="738">
        <v>0</v>
      </c>
      <c r="AK63" s="608">
        <v>0</v>
      </c>
      <c r="AL63" s="558"/>
      <c r="AM63" s="608">
        <v>0</v>
      </c>
      <c r="AN63" s="767">
        <v>0</v>
      </c>
      <c r="AO63" s="608">
        <v>0</v>
      </c>
    </row>
    <row r="64" spans="1:41" ht="15">
      <c r="A64" s="741"/>
      <c r="B64" s="740"/>
      <c r="C64" s="738">
        <v>0</v>
      </c>
      <c r="D64" s="738">
        <v>0</v>
      </c>
      <c r="E64" s="569">
        <v>8.4080488632395547E-2</v>
      </c>
      <c r="F64" s="708">
        <v>0</v>
      </c>
      <c r="G64" s="569">
        <v>1.9383746536438807E-2</v>
      </c>
      <c r="H64" s="769">
        <v>0</v>
      </c>
      <c r="I64" s="608">
        <v>0</v>
      </c>
      <c r="J64" s="738">
        <v>0</v>
      </c>
      <c r="K64" s="569">
        <v>0.10753816298309811</v>
      </c>
      <c r="L64" s="608">
        <v>0</v>
      </c>
      <c r="M64" s="738">
        <v>0</v>
      </c>
      <c r="N64" s="738">
        <v>0</v>
      </c>
      <c r="O64" s="608">
        <v>0</v>
      </c>
      <c r="P64" s="738">
        <v>0</v>
      </c>
      <c r="Q64" s="608">
        <v>0</v>
      </c>
      <c r="R64" s="739">
        <v>0</v>
      </c>
      <c r="S64" s="558"/>
      <c r="T64" s="767">
        <v>0</v>
      </c>
      <c r="U64" s="739">
        <v>0</v>
      </c>
      <c r="V64" s="558"/>
      <c r="W64" s="738">
        <v>0</v>
      </c>
      <c r="X64" s="738">
        <v>0</v>
      </c>
      <c r="Y64" s="569">
        <v>8.5799086934897517E-2</v>
      </c>
      <c r="Z64" s="708">
        <v>0</v>
      </c>
      <c r="AA64" s="569">
        <v>1.6506457974158745E-2</v>
      </c>
      <c r="AB64" s="769">
        <v>0</v>
      </c>
      <c r="AC64" s="608">
        <v>0</v>
      </c>
      <c r="AD64" s="738">
        <v>0</v>
      </c>
      <c r="AE64" s="569">
        <v>0.1058855235162894</v>
      </c>
      <c r="AF64" s="608">
        <v>0</v>
      </c>
      <c r="AG64" s="738">
        <v>0</v>
      </c>
      <c r="AH64" s="738">
        <v>0</v>
      </c>
      <c r="AI64" s="608">
        <v>0</v>
      </c>
      <c r="AJ64" s="738">
        <v>0</v>
      </c>
      <c r="AK64" s="608">
        <v>0</v>
      </c>
      <c r="AL64" s="558"/>
      <c r="AM64" s="608">
        <v>0</v>
      </c>
      <c r="AN64" s="767">
        <v>0</v>
      </c>
      <c r="AO64" s="608">
        <v>0</v>
      </c>
    </row>
    <row r="65" spans="1:41" ht="15">
      <c r="A65" s="741"/>
      <c r="B65" s="740"/>
      <c r="C65" s="738">
        <v>0</v>
      </c>
      <c r="D65" s="738">
        <v>0</v>
      </c>
      <c r="E65" s="569">
        <v>8.4080488632395547E-2</v>
      </c>
      <c r="F65" s="708">
        <v>0</v>
      </c>
      <c r="G65" s="569">
        <v>1.9383746536438807E-2</v>
      </c>
      <c r="H65" s="769">
        <v>0</v>
      </c>
      <c r="I65" s="608">
        <v>0</v>
      </c>
      <c r="J65" s="738">
        <v>0</v>
      </c>
      <c r="K65" s="569">
        <v>0.10753816298309811</v>
      </c>
      <c r="L65" s="608">
        <v>0</v>
      </c>
      <c r="M65" s="738">
        <v>0</v>
      </c>
      <c r="N65" s="738">
        <v>0</v>
      </c>
      <c r="O65" s="608">
        <v>0</v>
      </c>
      <c r="P65" s="738">
        <v>0</v>
      </c>
      <c r="Q65" s="608">
        <v>0</v>
      </c>
      <c r="R65" s="739">
        <v>0</v>
      </c>
      <c r="S65" s="558"/>
      <c r="T65" s="767">
        <v>0</v>
      </c>
      <c r="U65" s="739">
        <v>0</v>
      </c>
      <c r="V65" s="558"/>
      <c r="W65" s="738">
        <v>0</v>
      </c>
      <c r="X65" s="738">
        <v>0</v>
      </c>
      <c r="Y65" s="569">
        <v>8.5799086934897517E-2</v>
      </c>
      <c r="Z65" s="708">
        <v>0</v>
      </c>
      <c r="AA65" s="569">
        <v>1.6506457974158745E-2</v>
      </c>
      <c r="AB65" s="769">
        <v>0</v>
      </c>
      <c r="AC65" s="608">
        <v>0</v>
      </c>
      <c r="AD65" s="738">
        <v>0</v>
      </c>
      <c r="AE65" s="569">
        <v>0.1058855235162894</v>
      </c>
      <c r="AF65" s="608">
        <v>0</v>
      </c>
      <c r="AG65" s="738">
        <v>0</v>
      </c>
      <c r="AH65" s="738">
        <v>0</v>
      </c>
      <c r="AI65" s="608">
        <v>0</v>
      </c>
      <c r="AJ65" s="738">
        <v>0</v>
      </c>
      <c r="AK65" s="608">
        <v>0</v>
      </c>
      <c r="AL65" s="558"/>
      <c r="AM65" s="608">
        <v>0</v>
      </c>
      <c r="AN65" s="767">
        <v>0</v>
      </c>
      <c r="AO65" s="608">
        <v>0</v>
      </c>
    </row>
    <row r="66" spans="1:41" ht="15">
      <c r="A66" s="741"/>
      <c r="B66" s="740"/>
      <c r="C66" s="738">
        <v>0</v>
      </c>
      <c r="D66" s="738">
        <v>0</v>
      </c>
      <c r="E66" s="569">
        <v>8.4080488632395547E-2</v>
      </c>
      <c r="F66" s="708">
        <v>0</v>
      </c>
      <c r="G66" s="569">
        <v>1.9383746536438807E-2</v>
      </c>
      <c r="H66" s="769">
        <v>0</v>
      </c>
      <c r="I66" s="608">
        <v>0</v>
      </c>
      <c r="J66" s="738">
        <v>0</v>
      </c>
      <c r="K66" s="569">
        <v>0.10753816298309811</v>
      </c>
      <c r="L66" s="608">
        <v>0</v>
      </c>
      <c r="M66" s="738">
        <v>0</v>
      </c>
      <c r="N66" s="738">
        <v>0</v>
      </c>
      <c r="O66" s="608">
        <v>0</v>
      </c>
      <c r="P66" s="738">
        <v>0</v>
      </c>
      <c r="Q66" s="608">
        <v>0</v>
      </c>
      <c r="R66" s="739">
        <v>0</v>
      </c>
      <c r="S66" s="558"/>
      <c r="T66" s="767">
        <v>0</v>
      </c>
      <c r="U66" s="739">
        <v>0</v>
      </c>
      <c r="V66" s="558"/>
      <c r="W66" s="738">
        <v>0</v>
      </c>
      <c r="X66" s="738">
        <v>0</v>
      </c>
      <c r="Y66" s="569">
        <v>8.5799086934897517E-2</v>
      </c>
      <c r="Z66" s="708">
        <v>0</v>
      </c>
      <c r="AA66" s="569">
        <v>1.6506457974158745E-2</v>
      </c>
      <c r="AB66" s="769">
        <v>0</v>
      </c>
      <c r="AC66" s="608">
        <v>0</v>
      </c>
      <c r="AD66" s="738">
        <v>0</v>
      </c>
      <c r="AE66" s="569">
        <v>0.1058855235162894</v>
      </c>
      <c r="AF66" s="608">
        <v>0</v>
      </c>
      <c r="AG66" s="738">
        <v>0</v>
      </c>
      <c r="AH66" s="738">
        <v>0</v>
      </c>
      <c r="AI66" s="608">
        <v>0</v>
      </c>
      <c r="AJ66" s="738">
        <v>0</v>
      </c>
      <c r="AK66" s="608">
        <v>0</v>
      </c>
      <c r="AL66" s="558"/>
      <c r="AM66" s="608">
        <v>0</v>
      </c>
      <c r="AN66" s="767">
        <v>0</v>
      </c>
      <c r="AO66" s="608">
        <v>0</v>
      </c>
    </row>
    <row r="67" spans="1:41" ht="15">
      <c r="A67" s="741"/>
      <c r="B67" s="740"/>
      <c r="C67" s="738">
        <v>0</v>
      </c>
      <c r="D67" s="738">
        <v>0</v>
      </c>
      <c r="E67" s="569">
        <v>8.4080488632395547E-2</v>
      </c>
      <c r="F67" s="708">
        <v>0</v>
      </c>
      <c r="G67" s="569">
        <v>1.9383746536438807E-2</v>
      </c>
      <c r="H67" s="769">
        <v>0</v>
      </c>
      <c r="I67" s="608">
        <v>0</v>
      </c>
      <c r="J67" s="738">
        <v>0</v>
      </c>
      <c r="K67" s="569">
        <v>0.10753816298309811</v>
      </c>
      <c r="L67" s="608">
        <v>0</v>
      </c>
      <c r="M67" s="738">
        <v>0</v>
      </c>
      <c r="N67" s="738">
        <v>0</v>
      </c>
      <c r="O67" s="608">
        <v>0</v>
      </c>
      <c r="P67" s="738">
        <v>0</v>
      </c>
      <c r="Q67" s="608">
        <v>0</v>
      </c>
      <c r="R67" s="739">
        <v>0</v>
      </c>
      <c r="S67" s="558"/>
      <c r="T67" s="767">
        <v>0</v>
      </c>
      <c r="U67" s="739">
        <v>0</v>
      </c>
      <c r="V67" s="558"/>
      <c r="W67" s="738">
        <v>0</v>
      </c>
      <c r="X67" s="738">
        <v>0</v>
      </c>
      <c r="Y67" s="569">
        <v>8.5799086934897517E-2</v>
      </c>
      <c r="Z67" s="708">
        <v>0</v>
      </c>
      <c r="AA67" s="569">
        <v>1.6506457974158745E-2</v>
      </c>
      <c r="AB67" s="769">
        <v>0</v>
      </c>
      <c r="AC67" s="608">
        <v>0</v>
      </c>
      <c r="AD67" s="738">
        <v>0</v>
      </c>
      <c r="AE67" s="569">
        <v>0.1058855235162894</v>
      </c>
      <c r="AF67" s="608">
        <v>0</v>
      </c>
      <c r="AG67" s="738">
        <v>0</v>
      </c>
      <c r="AH67" s="738">
        <v>0</v>
      </c>
      <c r="AI67" s="608">
        <v>0</v>
      </c>
      <c r="AJ67" s="738">
        <v>0</v>
      </c>
      <c r="AK67" s="608">
        <v>0</v>
      </c>
      <c r="AL67" s="558"/>
      <c r="AM67" s="608">
        <v>0</v>
      </c>
      <c r="AN67" s="767">
        <v>0</v>
      </c>
      <c r="AO67" s="608">
        <v>0</v>
      </c>
    </row>
    <row r="68" spans="1:41" ht="15">
      <c r="A68" s="741"/>
      <c r="B68" s="740"/>
      <c r="C68" s="738">
        <v>0</v>
      </c>
      <c r="D68" s="738">
        <v>0</v>
      </c>
      <c r="E68" s="569">
        <v>8.4080488632395547E-2</v>
      </c>
      <c r="F68" s="708">
        <v>0</v>
      </c>
      <c r="G68" s="569">
        <v>1.9383746536438807E-2</v>
      </c>
      <c r="H68" s="769">
        <v>0</v>
      </c>
      <c r="I68" s="608">
        <v>0</v>
      </c>
      <c r="J68" s="738">
        <v>0</v>
      </c>
      <c r="K68" s="569">
        <v>0.10753816298309811</v>
      </c>
      <c r="L68" s="608">
        <v>0</v>
      </c>
      <c r="M68" s="738">
        <v>0</v>
      </c>
      <c r="N68" s="738">
        <v>0</v>
      </c>
      <c r="O68" s="608">
        <v>0</v>
      </c>
      <c r="P68" s="738">
        <v>0</v>
      </c>
      <c r="Q68" s="608">
        <v>0</v>
      </c>
      <c r="R68" s="739">
        <v>0</v>
      </c>
      <c r="S68" s="558"/>
      <c r="T68" s="767">
        <v>0</v>
      </c>
      <c r="U68" s="739">
        <v>0</v>
      </c>
      <c r="V68" s="558"/>
      <c r="W68" s="738">
        <v>0</v>
      </c>
      <c r="X68" s="738">
        <v>0</v>
      </c>
      <c r="Y68" s="569">
        <v>8.5799086934897517E-2</v>
      </c>
      <c r="Z68" s="708">
        <v>0</v>
      </c>
      <c r="AA68" s="569">
        <v>1.6506457974158745E-2</v>
      </c>
      <c r="AB68" s="769">
        <v>0</v>
      </c>
      <c r="AC68" s="608">
        <v>0</v>
      </c>
      <c r="AD68" s="738">
        <v>0</v>
      </c>
      <c r="AE68" s="569">
        <v>0.1058855235162894</v>
      </c>
      <c r="AF68" s="608">
        <v>0</v>
      </c>
      <c r="AG68" s="738">
        <v>0</v>
      </c>
      <c r="AH68" s="738">
        <v>0</v>
      </c>
      <c r="AI68" s="608">
        <v>0</v>
      </c>
      <c r="AJ68" s="738">
        <v>0</v>
      </c>
      <c r="AK68" s="608">
        <v>0</v>
      </c>
      <c r="AL68" s="558"/>
      <c r="AM68" s="608">
        <v>0</v>
      </c>
      <c r="AN68" s="767">
        <v>0</v>
      </c>
      <c r="AO68" s="608">
        <v>0</v>
      </c>
    </row>
    <row r="69" spans="1:41" ht="15">
      <c r="A69" s="741"/>
      <c r="B69" s="740"/>
      <c r="C69" s="738">
        <v>0</v>
      </c>
      <c r="D69" s="738">
        <v>0</v>
      </c>
      <c r="E69" s="569">
        <v>8.4080488632395547E-2</v>
      </c>
      <c r="F69" s="708">
        <v>0</v>
      </c>
      <c r="G69" s="569">
        <v>1.9383746536438807E-2</v>
      </c>
      <c r="H69" s="769">
        <v>0</v>
      </c>
      <c r="I69" s="608">
        <v>0</v>
      </c>
      <c r="J69" s="738">
        <v>0</v>
      </c>
      <c r="K69" s="569">
        <v>0.10753816298309811</v>
      </c>
      <c r="L69" s="608">
        <v>0</v>
      </c>
      <c r="M69" s="738">
        <v>0</v>
      </c>
      <c r="N69" s="738">
        <v>0</v>
      </c>
      <c r="O69" s="608">
        <v>0</v>
      </c>
      <c r="P69" s="738">
        <v>0</v>
      </c>
      <c r="Q69" s="608">
        <v>0</v>
      </c>
      <c r="R69" s="739">
        <v>0</v>
      </c>
      <c r="S69" s="558"/>
      <c r="T69" s="767">
        <v>0</v>
      </c>
      <c r="U69" s="739">
        <v>0</v>
      </c>
      <c r="V69" s="558"/>
      <c r="W69" s="738">
        <v>0</v>
      </c>
      <c r="X69" s="738">
        <v>0</v>
      </c>
      <c r="Y69" s="569">
        <v>8.5799086934897517E-2</v>
      </c>
      <c r="Z69" s="708">
        <v>0</v>
      </c>
      <c r="AA69" s="569">
        <v>1.6506457974158745E-2</v>
      </c>
      <c r="AB69" s="769">
        <v>0</v>
      </c>
      <c r="AC69" s="608">
        <v>0</v>
      </c>
      <c r="AD69" s="738">
        <v>0</v>
      </c>
      <c r="AE69" s="569">
        <v>0.1058855235162894</v>
      </c>
      <c r="AF69" s="608">
        <v>0</v>
      </c>
      <c r="AG69" s="738">
        <v>0</v>
      </c>
      <c r="AH69" s="738">
        <v>0</v>
      </c>
      <c r="AI69" s="608">
        <v>0</v>
      </c>
      <c r="AJ69" s="738">
        <v>0</v>
      </c>
      <c r="AK69" s="608">
        <v>0</v>
      </c>
      <c r="AL69" s="558"/>
      <c r="AM69" s="608">
        <v>0</v>
      </c>
      <c r="AN69" s="767">
        <v>0</v>
      </c>
      <c r="AO69" s="608">
        <v>0</v>
      </c>
    </row>
    <row r="70" spans="1:41" ht="15">
      <c r="A70" s="741"/>
      <c r="B70" s="740"/>
      <c r="C70" s="738">
        <v>0</v>
      </c>
      <c r="D70" s="738">
        <v>0</v>
      </c>
      <c r="E70" s="569">
        <v>8.4080488632395547E-2</v>
      </c>
      <c r="F70" s="708">
        <v>0</v>
      </c>
      <c r="G70" s="569">
        <v>1.9383746536438807E-2</v>
      </c>
      <c r="H70" s="769">
        <v>0</v>
      </c>
      <c r="I70" s="608">
        <v>0</v>
      </c>
      <c r="J70" s="738">
        <v>0</v>
      </c>
      <c r="K70" s="569">
        <v>0.10753816298309811</v>
      </c>
      <c r="L70" s="608">
        <v>0</v>
      </c>
      <c r="M70" s="738">
        <v>0</v>
      </c>
      <c r="N70" s="738">
        <v>0</v>
      </c>
      <c r="O70" s="608">
        <v>0</v>
      </c>
      <c r="P70" s="738">
        <v>0</v>
      </c>
      <c r="Q70" s="608">
        <v>0</v>
      </c>
      <c r="R70" s="739">
        <v>0</v>
      </c>
      <c r="S70" s="558"/>
      <c r="T70" s="767">
        <v>0</v>
      </c>
      <c r="U70" s="739">
        <v>0</v>
      </c>
      <c r="V70" s="558"/>
      <c r="W70" s="738">
        <v>0</v>
      </c>
      <c r="X70" s="738">
        <v>0</v>
      </c>
      <c r="Y70" s="569">
        <v>8.5799086934897517E-2</v>
      </c>
      <c r="Z70" s="708">
        <v>0</v>
      </c>
      <c r="AA70" s="569">
        <v>1.6506457974158745E-2</v>
      </c>
      <c r="AB70" s="769">
        <v>0</v>
      </c>
      <c r="AC70" s="608">
        <v>0</v>
      </c>
      <c r="AD70" s="738">
        <v>0</v>
      </c>
      <c r="AE70" s="569">
        <v>0.1058855235162894</v>
      </c>
      <c r="AF70" s="608">
        <v>0</v>
      </c>
      <c r="AG70" s="738">
        <v>0</v>
      </c>
      <c r="AH70" s="738">
        <v>0</v>
      </c>
      <c r="AI70" s="608">
        <v>0</v>
      </c>
      <c r="AJ70" s="738">
        <v>0</v>
      </c>
      <c r="AK70" s="608">
        <v>0</v>
      </c>
      <c r="AL70" s="558"/>
      <c r="AM70" s="608">
        <v>0</v>
      </c>
      <c r="AN70" s="767">
        <v>0</v>
      </c>
      <c r="AO70" s="608">
        <v>0</v>
      </c>
    </row>
    <row r="71" spans="1:41" ht="15">
      <c r="A71" s="741"/>
      <c r="B71" s="740"/>
      <c r="C71" s="738">
        <v>0</v>
      </c>
      <c r="D71" s="738">
        <v>0</v>
      </c>
      <c r="E71" s="569">
        <v>8.4080488632395547E-2</v>
      </c>
      <c r="F71" s="708">
        <v>0</v>
      </c>
      <c r="G71" s="569">
        <v>1.9383746536438807E-2</v>
      </c>
      <c r="H71" s="769">
        <v>0</v>
      </c>
      <c r="I71" s="608">
        <v>0</v>
      </c>
      <c r="J71" s="738">
        <v>0</v>
      </c>
      <c r="K71" s="569">
        <v>0.10753816298309811</v>
      </c>
      <c r="L71" s="608">
        <v>0</v>
      </c>
      <c r="M71" s="738">
        <v>0</v>
      </c>
      <c r="N71" s="738">
        <v>0</v>
      </c>
      <c r="O71" s="608">
        <v>0</v>
      </c>
      <c r="P71" s="738">
        <v>0</v>
      </c>
      <c r="Q71" s="608">
        <v>0</v>
      </c>
      <c r="R71" s="739">
        <v>0</v>
      </c>
      <c r="S71" s="558"/>
      <c r="T71" s="767">
        <v>0</v>
      </c>
      <c r="U71" s="739">
        <v>0</v>
      </c>
      <c r="V71" s="558"/>
      <c r="W71" s="738">
        <v>0</v>
      </c>
      <c r="X71" s="738">
        <v>0</v>
      </c>
      <c r="Y71" s="569">
        <v>8.5799086934897517E-2</v>
      </c>
      <c r="Z71" s="708">
        <v>0</v>
      </c>
      <c r="AA71" s="569">
        <v>1.6506457974158745E-2</v>
      </c>
      <c r="AB71" s="769">
        <v>0</v>
      </c>
      <c r="AC71" s="608">
        <v>0</v>
      </c>
      <c r="AD71" s="738">
        <v>0</v>
      </c>
      <c r="AE71" s="569">
        <v>0.1058855235162894</v>
      </c>
      <c r="AF71" s="608">
        <v>0</v>
      </c>
      <c r="AG71" s="738">
        <v>0</v>
      </c>
      <c r="AH71" s="738">
        <v>0</v>
      </c>
      <c r="AI71" s="608">
        <v>0</v>
      </c>
      <c r="AJ71" s="738">
        <v>0</v>
      </c>
      <c r="AK71" s="608">
        <v>0</v>
      </c>
      <c r="AL71" s="558"/>
      <c r="AM71" s="608">
        <v>0</v>
      </c>
      <c r="AN71" s="767">
        <v>0</v>
      </c>
      <c r="AO71" s="608">
        <v>0</v>
      </c>
    </row>
    <row r="72" spans="1:41" ht="15">
      <c r="A72" s="741"/>
      <c r="B72" s="740"/>
      <c r="C72" s="738">
        <v>0</v>
      </c>
      <c r="D72" s="738">
        <v>0</v>
      </c>
      <c r="E72" s="569">
        <v>8.4080488632395547E-2</v>
      </c>
      <c r="F72" s="708">
        <v>0</v>
      </c>
      <c r="G72" s="569">
        <v>1.9383746536438807E-2</v>
      </c>
      <c r="H72" s="769">
        <v>0</v>
      </c>
      <c r="I72" s="608">
        <v>0</v>
      </c>
      <c r="J72" s="738">
        <v>0</v>
      </c>
      <c r="K72" s="569">
        <v>0.10753816298309811</v>
      </c>
      <c r="L72" s="608">
        <v>0</v>
      </c>
      <c r="M72" s="738">
        <v>0</v>
      </c>
      <c r="N72" s="738">
        <v>0</v>
      </c>
      <c r="O72" s="608">
        <v>0</v>
      </c>
      <c r="P72" s="738">
        <v>0</v>
      </c>
      <c r="Q72" s="608">
        <v>0</v>
      </c>
      <c r="R72" s="739">
        <v>0</v>
      </c>
      <c r="S72" s="558"/>
      <c r="T72" s="767">
        <v>0</v>
      </c>
      <c r="U72" s="739">
        <v>0</v>
      </c>
      <c r="V72" s="558"/>
      <c r="W72" s="738">
        <v>0</v>
      </c>
      <c r="X72" s="738">
        <v>0</v>
      </c>
      <c r="Y72" s="569">
        <v>8.5799086934897517E-2</v>
      </c>
      <c r="Z72" s="708">
        <v>0</v>
      </c>
      <c r="AA72" s="569">
        <v>1.6506457974158745E-2</v>
      </c>
      <c r="AB72" s="769">
        <v>0</v>
      </c>
      <c r="AC72" s="608">
        <v>0</v>
      </c>
      <c r="AD72" s="738">
        <v>0</v>
      </c>
      <c r="AE72" s="569">
        <v>0.1058855235162894</v>
      </c>
      <c r="AF72" s="608">
        <v>0</v>
      </c>
      <c r="AG72" s="738">
        <v>0</v>
      </c>
      <c r="AH72" s="738">
        <v>0</v>
      </c>
      <c r="AI72" s="608">
        <v>0</v>
      </c>
      <c r="AJ72" s="738">
        <v>0</v>
      </c>
      <c r="AK72" s="608">
        <v>0</v>
      </c>
      <c r="AL72" s="558"/>
      <c r="AM72" s="608">
        <v>0</v>
      </c>
      <c r="AN72" s="767">
        <v>0</v>
      </c>
      <c r="AO72" s="608">
        <v>0</v>
      </c>
    </row>
    <row r="73" spans="1:41" ht="15">
      <c r="A73" s="741"/>
      <c r="B73" s="740"/>
      <c r="C73" s="738">
        <v>0</v>
      </c>
      <c r="D73" s="738">
        <v>0</v>
      </c>
      <c r="E73" s="569">
        <v>8.4080488632395547E-2</v>
      </c>
      <c r="F73" s="708">
        <v>0</v>
      </c>
      <c r="G73" s="569">
        <v>1.9383746536438807E-2</v>
      </c>
      <c r="H73" s="769">
        <v>0</v>
      </c>
      <c r="I73" s="608">
        <v>0</v>
      </c>
      <c r="J73" s="738">
        <v>0</v>
      </c>
      <c r="K73" s="569">
        <v>0.10753816298309811</v>
      </c>
      <c r="L73" s="608">
        <v>0</v>
      </c>
      <c r="M73" s="738">
        <v>0</v>
      </c>
      <c r="N73" s="738">
        <v>0</v>
      </c>
      <c r="O73" s="608">
        <v>0</v>
      </c>
      <c r="P73" s="738">
        <v>0</v>
      </c>
      <c r="Q73" s="608">
        <v>0</v>
      </c>
      <c r="R73" s="739">
        <v>0</v>
      </c>
      <c r="S73" s="558"/>
      <c r="T73" s="767">
        <v>0</v>
      </c>
      <c r="U73" s="739">
        <v>0</v>
      </c>
      <c r="V73" s="558"/>
      <c r="W73" s="738">
        <v>0</v>
      </c>
      <c r="X73" s="738">
        <v>0</v>
      </c>
      <c r="Y73" s="569">
        <v>8.5799086934897517E-2</v>
      </c>
      <c r="Z73" s="708">
        <v>0</v>
      </c>
      <c r="AA73" s="569">
        <v>1.6506457974158745E-2</v>
      </c>
      <c r="AB73" s="769">
        <v>0</v>
      </c>
      <c r="AC73" s="608">
        <v>0</v>
      </c>
      <c r="AD73" s="738">
        <v>0</v>
      </c>
      <c r="AE73" s="569">
        <v>0.1058855235162894</v>
      </c>
      <c r="AF73" s="608">
        <v>0</v>
      </c>
      <c r="AG73" s="738">
        <v>0</v>
      </c>
      <c r="AH73" s="738">
        <v>0</v>
      </c>
      <c r="AI73" s="608">
        <v>0</v>
      </c>
      <c r="AJ73" s="738">
        <v>0</v>
      </c>
      <c r="AK73" s="608">
        <v>0</v>
      </c>
      <c r="AL73" s="558"/>
      <c r="AM73" s="608">
        <v>0</v>
      </c>
      <c r="AN73" s="767">
        <v>0</v>
      </c>
      <c r="AO73" s="608">
        <v>0</v>
      </c>
    </row>
    <row r="74" spans="1:41" ht="15">
      <c r="A74" s="741"/>
      <c r="B74" s="740"/>
      <c r="C74" s="738">
        <v>0</v>
      </c>
      <c r="D74" s="738">
        <v>0</v>
      </c>
      <c r="E74" s="569">
        <v>8.4080488632395547E-2</v>
      </c>
      <c r="F74" s="708">
        <v>0</v>
      </c>
      <c r="G74" s="569">
        <v>1.9383746536438807E-2</v>
      </c>
      <c r="H74" s="769">
        <v>0</v>
      </c>
      <c r="I74" s="608">
        <v>0</v>
      </c>
      <c r="J74" s="738">
        <v>0</v>
      </c>
      <c r="K74" s="569">
        <v>0.10753816298309811</v>
      </c>
      <c r="L74" s="608">
        <v>0</v>
      </c>
      <c r="M74" s="738">
        <v>0</v>
      </c>
      <c r="N74" s="738">
        <v>0</v>
      </c>
      <c r="O74" s="608">
        <v>0</v>
      </c>
      <c r="P74" s="738">
        <v>0</v>
      </c>
      <c r="Q74" s="608">
        <v>0</v>
      </c>
      <c r="R74" s="739">
        <v>0</v>
      </c>
      <c r="S74" s="558"/>
      <c r="T74" s="767">
        <v>0</v>
      </c>
      <c r="U74" s="739">
        <v>0</v>
      </c>
      <c r="V74" s="558"/>
      <c r="W74" s="738">
        <v>0</v>
      </c>
      <c r="X74" s="738">
        <v>0</v>
      </c>
      <c r="Y74" s="569">
        <v>8.5799086934897517E-2</v>
      </c>
      <c r="Z74" s="708">
        <v>0</v>
      </c>
      <c r="AA74" s="569">
        <v>1.6506457974158745E-2</v>
      </c>
      <c r="AB74" s="769">
        <v>0</v>
      </c>
      <c r="AC74" s="608">
        <v>0</v>
      </c>
      <c r="AD74" s="738">
        <v>0</v>
      </c>
      <c r="AE74" s="569">
        <v>0.1058855235162894</v>
      </c>
      <c r="AF74" s="608">
        <v>0</v>
      </c>
      <c r="AG74" s="738">
        <v>0</v>
      </c>
      <c r="AH74" s="738">
        <v>0</v>
      </c>
      <c r="AI74" s="608">
        <v>0</v>
      </c>
      <c r="AJ74" s="738">
        <v>0</v>
      </c>
      <c r="AK74" s="608">
        <v>0</v>
      </c>
      <c r="AL74" s="558"/>
      <c r="AM74" s="608">
        <v>0</v>
      </c>
      <c r="AN74" s="767">
        <v>0</v>
      </c>
      <c r="AO74" s="608">
        <v>0</v>
      </c>
    </row>
    <row r="75" spans="1:41" ht="15">
      <c r="A75" s="565"/>
      <c r="B75" s="558"/>
      <c r="C75" s="565"/>
      <c r="D75" s="565"/>
      <c r="E75" s="569"/>
      <c r="F75" s="565"/>
      <c r="G75" s="569"/>
      <c r="H75" s="558"/>
      <c r="I75" s="736"/>
      <c r="J75" s="565"/>
      <c r="K75" s="569"/>
      <c r="L75" s="737"/>
      <c r="M75" s="565"/>
      <c r="N75" s="565"/>
      <c r="O75" s="737"/>
      <c r="P75" s="565"/>
      <c r="Q75" s="736"/>
      <c r="R75" s="736"/>
      <c r="S75" s="558"/>
      <c r="T75" s="608"/>
      <c r="U75" s="717"/>
      <c r="V75" s="558"/>
      <c r="W75" s="565"/>
      <c r="X75" s="565"/>
      <c r="Y75" s="569"/>
      <c r="Z75" s="565"/>
      <c r="AA75" s="569"/>
      <c r="AB75" s="558"/>
      <c r="AC75" s="736"/>
      <c r="AD75" s="565"/>
      <c r="AE75" s="569"/>
      <c r="AF75" s="737"/>
      <c r="AG75" s="565"/>
      <c r="AH75" s="565"/>
      <c r="AI75" s="737"/>
      <c r="AJ75" s="565"/>
      <c r="AK75" s="736"/>
      <c r="AL75" s="558"/>
      <c r="AM75" s="608"/>
      <c r="AN75" s="608"/>
      <c r="AO75" s="608"/>
    </row>
    <row r="76" spans="1:41" ht="15">
      <c r="A76" s="778"/>
      <c r="B76" s="778" t="s">
        <v>398</v>
      </c>
      <c r="C76" s="779">
        <v>24528846.190769229</v>
      </c>
      <c r="D76" s="779">
        <v>90046.145110525191</v>
      </c>
      <c r="E76" s="779"/>
      <c r="F76" s="779">
        <v>7571.1238803565529</v>
      </c>
      <c r="G76" s="779"/>
      <c r="H76" s="779">
        <v>475460.93739316327</v>
      </c>
      <c r="I76" s="779">
        <v>483032.06127351982</v>
      </c>
      <c r="J76" s="779">
        <v>24438800.045658704</v>
      </c>
      <c r="K76" s="779"/>
      <c r="L76" s="779">
        <v>2628103.6624213909</v>
      </c>
      <c r="M76" s="779">
        <v>316291.99309934</v>
      </c>
      <c r="N76" s="779">
        <v>6598043.1799999997</v>
      </c>
      <c r="O76" s="779">
        <v>10025470.89679425</v>
      </c>
      <c r="P76" s="779">
        <v>0</v>
      </c>
      <c r="Q76" s="779">
        <v>10025470.89679425</v>
      </c>
      <c r="R76" s="780">
        <v>1</v>
      </c>
      <c r="S76" s="558"/>
      <c r="T76" s="779">
        <v>9237875.8099999987</v>
      </c>
      <c r="U76" s="780">
        <v>1</v>
      </c>
      <c r="V76" s="558"/>
      <c r="W76" s="779">
        <v>23015619.745384615</v>
      </c>
      <c r="X76" s="779">
        <v>12868.280769232661</v>
      </c>
      <c r="Y76" s="779"/>
      <c r="Z76" s="779">
        <v>1104.086740422063</v>
      </c>
      <c r="AA76" s="779"/>
      <c r="AB76" s="779">
        <v>379906.36007640936</v>
      </c>
      <c r="AC76" s="779">
        <v>381010.44681683142</v>
      </c>
      <c r="AD76" s="779">
        <v>23002751.464615382</v>
      </c>
      <c r="AE76" s="779"/>
      <c r="AF76" s="779">
        <v>2435658.3811458922</v>
      </c>
      <c r="AG76" s="779">
        <v>42478.049999999996</v>
      </c>
      <c r="AH76" s="779">
        <v>2116906.1500000018</v>
      </c>
      <c r="AI76" s="779">
        <v>4976053.0279627256</v>
      </c>
      <c r="AJ76" s="779">
        <v>0</v>
      </c>
      <c r="AK76" s="779">
        <v>4976053.0279627256</v>
      </c>
      <c r="AL76" s="558"/>
      <c r="AM76" s="779">
        <v>-4261822.7820372749</v>
      </c>
      <c r="AN76" s="779">
        <v>-276166.07999999996</v>
      </c>
      <c r="AO76" s="779">
        <v>-4537988.8620372741</v>
      </c>
    </row>
    <row r="77" spans="1:41" ht="15">
      <c r="A77" s="558"/>
      <c r="B77" s="558"/>
      <c r="C77" s="558"/>
      <c r="D77" s="558"/>
      <c r="E77" s="558"/>
      <c r="F77" s="558"/>
      <c r="G77" s="558"/>
      <c r="H77" s="558"/>
      <c r="I77" s="558"/>
      <c r="J77" s="558"/>
      <c r="K77" s="558"/>
      <c r="L77" s="558"/>
      <c r="M77" s="558"/>
      <c r="N77" s="558"/>
      <c r="O77" s="558"/>
      <c r="P77" s="558"/>
      <c r="Q77" s="558"/>
      <c r="R77" s="558"/>
      <c r="S77" s="558"/>
      <c r="T77" s="558"/>
      <c r="U77" s="558"/>
      <c r="V77" s="558"/>
      <c r="W77" s="558"/>
      <c r="X77" s="558"/>
      <c r="Y77" s="557"/>
      <c r="Z77" s="557"/>
      <c r="AA77" s="557"/>
      <c r="AB77" s="557"/>
      <c r="AC77" s="557"/>
      <c r="AD77" s="557"/>
      <c r="AE77" s="557"/>
      <c r="AF77" s="557"/>
      <c r="AG77" s="557"/>
      <c r="AH77" s="557"/>
      <c r="AI77" s="557"/>
      <c r="AJ77" s="557"/>
      <c r="AK77" s="557"/>
      <c r="AL77" s="558"/>
      <c r="AM77" s="557"/>
      <c r="AN77" s="557"/>
      <c r="AO77" s="557"/>
    </row>
    <row r="78" spans="1:41" ht="15.6">
      <c r="A78" s="519" t="s">
        <v>592</v>
      </c>
      <c r="B78" s="558"/>
      <c r="C78" s="558"/>
      <c r="D78" s="558"/>
      <c r="E78" s="558"/>
      <c r="F78" s="558"/>
      <c r="G78" s="558"/>
      <c r="H78" s="558"/>
      <c r="I78" s="558"/>
      <c r="J78" s="558"/>
      <c r="K78" s="558"/>
      <c r="L78" s="558"/>
      <c r="M78" s="558"/>
      <c r="N78" s="558"/>
      <c r="O78" s="558"/>
      <c r="P78" s="558"/>
      <c r="Q78" s="558"/>
      <c r="R78" s="558"/>
      <c r="S78" s="558"/>
      <c r="T78" s="558"/>
      <c r="U78" s="558"/>
      <c r="V78" s="558"/>
      <c r="W78" s="558"/>
      <c r="X78" s="558"/>
      <c r="Y78" s="557"/>
      <c r="Z78" s="557"/>
      <c r="AA78" s="557"/>
      <c r="AB78" s="557"/>
      <c r="AC78" s="557"/>
      <c r="AD78" s="557"/>
      <c r="AE78" s="557"/>
      <c r="AF78" s="557"/>
      <c r="AG78" s="557"/>
      <c r="AH78" s="557"/>
      <c r="AI78" s="557"/>
      <c r="AJ78" s="557"/>
      <c r="AK78" s="557"/>
      <c r="AL78" s="558"/>
      <c r="AM78" s="557"/>
      <c r="AN78" s="557"/>
      <c r="AO78" s="557"/>
    </row>
    <row r="79" spans="1:41" ht="15.6">
      <c r="A79" s="517" t="s">
        <v>724</v>
      </c>
      <c r="B79" s="557"/>
      <c r="C79" s="501"/>
      <c r="D79" s="501"/>
      <c r="E79" s="735"/>
      <c r="F79" s="735"/>
      <c r="G79" s="735"/>
      <c r="H79" s="735"/>
      <c r="I79" s="735"/>
      <c r="J79" s="735"/>
      <c r="K79" s="735"/>
      <c r="L79" s="735"/>
      <c r="M79" s="735"/>
      <c r="N79" s="735"/>
      <c r="O79" s="735"/>
      <c r="P79" s="735"/>
      <c r="Q79" s="735"/>
      <c r="R79" s="735"/>
      <c r="S79" s="558"/>
      <c r="T79" s="558"/>
      <c r="U79" s="558"/>
      <c r="V79" s="558"/>
      <c r="W79" s="558"/>
      <c r="X79" s="558"/>
      <c r="Y79" s="557"/>
      <c r="Z79" s="557"/>
      <c r="AA79" s="557"/>
      <c r="AB79" s="557"/>
      <c r="AC79" s="557"/>
      <c r="AD79" s="557"/>
      <c r="AE79" s="557"/>
      <c r="AF79" s="557"/>
      <c r="AG79" s="557"/>
      <c r="AH79" s="557"/>
      <c r="AI79" s="557"/>
      <c r="AJ79" s="557"/>
      <c r="AK79" s="557"/>
      <c r="AL79" s="558"/>
      <c r="AM79" s="557"/>
      <c r="AN79" s="557"/>
      <c r="AO79" s="557"/>
    </row>
    <row r="80" spans="1:41" ht="15.6">
      <c r="A80" s="517" t="s">
        <v>725</v>
      </c>
      <c r="B80" s="557"/>
      <c r="C80" s="773"/>
      <c r="D80" s="773"/>
      <c r="E80" s="774"/>
      <c r="F80" s="774"/>
      <c r="G80" s="774"/>
      <c r="H80" s="774"/>
      <c r="I80" s="774"/>
      <c r="J80" s="774"/>
      <c r="K80" s="774"/>
      <c r="L80" s="774"/>
      <c r="M80" s="774"/>
      <c r="N80" s="774"/>
      <c r="O80" s="774"/>
      <c r="P80" s="774"/>
      <c r="Q80" s="774"/>
      <c r="R80" s="774"/>
      <c r="S80" s="558"/>
      <c r="T80" s="558"/>
      <c r="U80" s="558"/>
      <c r="V80" s="558"/>
      <c r="W80" s="558"/>
      <c r="X80" s="558"/>
      <c r="Y80" s="557"/>
      <c r="Z80" s="557"/>
      <c r="AA80" s="557"/>
      <c r="AB80" s="557"/>
      <c r="AC80" s="557"/>
      <c r="AD80" s="557"/>
      <c r="AE80" s="557"/>
      <c r="AF80" s="557"/>
      <c r="AG80" s="557"/>
      <c r="AH80" s="557"/>
      <c r="AI80" s="557"/>
      <c r="AJ80" s="557"/>
      <c r="AK80" s="734"/>
      <c r="AL80" s="558"/>
      <c r="AM80" s="591"/>
      <c r="AN80" s="591"/>
      <c r="AO80" s="591"/>
    </row>
    <row r="81" spans="1:41" ht="15.6">
      <c r="A81" s="517" t="s">
        <v>726</v>
      </c>
      <c r="B81" s="557"/>
      <c r="C81" s="501"/>
      <c r="D81" s="501"/>
      <c r="E81" s="735"/>
      <c r="F81" s="735"/>
      <c r="G81" s="735"/>
      <c r="H81" s="735"/>
      <c r="I81" s="735"/>
      <c r="J81" s="735"/>
      <c r="K81" s="735"/>
      <c r="L81" s="735"/>
      <c r="M81" s="735"/>
      <c r="N81" s="735"/>
      <c r="O81" s="735"/>
      <c r="P81" s="735"/>
      <c r="Q81" s="735"/>
      <c r="R81" s="735"/>
      <c r="S81" s="558"/>
      <c r="T81" s="558"/>
      <c r="U81" s="558"/>
      <c r="V81" s="558"/>
      <c r="W81" s="558"/>
      <c r="X81" s="558"/>
      <c r="Y81" s="557"/>
      <c r="Z81" s="557"/>
      <c r="AA81" s="557"/>
      <c r="AB81" s="557"/>
      <c r="AC81" s="557"/>
      <c r="AD81" s="557"/>
      <c r="AE81" s="557"/>
      <c r="AF81" s="557"/>
      <c r="AG81" s="557"/>
      <c r="AH81" s="557"/>
      <c r="AI81" s="557"/>
      <c r="AJ81" s="557"/>
      <c r="AK81" s="734"/>
      <c r="AL81" s="558"/>
      <c r="AM81" s="591"/>
      <c r="AN81" s="591"/>
      <c r="AO81" s="591"/>
    </row>
    <row r="82" spans="1:41" ht="15.6">
      <c r="A82" s="517" t="s">
        <v>727</v>
      </c>
      <c r="B82" s="557"/>
      <c r="C82" s="733"/>
      <c r="D82" s="733"/>
      <c r="E82" s="733"/>
      <c r="F82" s="733"/>
      <c r="G82" s="733"/>
      <c r="H82" s="733"/>
      <c r="I82" s="733"/>
      <c r="J82" s="733"/>
      <c r="K82" s="733"/>
      <c r="L82" s="733"/>
      <c r="M82" s="733"/>
      <c r="N82" s="733"/>
      <c r="O82" s="733"/>
      <c r="P82" s="733"/>
      <c r="Q82" s="733"/>
      <c r="R82" s="733"/>
      <c r="S82" s="558"/>
      <c r="T82" s="558"/>
      <c r="U82" s="558"/>
      <c r="V82" s="558"/>
      <c r="W82" s="558"/>
      <c r="X82" s="558"/>
      <c r="Y82" s="557"/>
      <c r="Z82" s="557"/>
      <c r="AA82" s="557"/>
      <c r="AB82" s="557"/>
      <c r="AC82" s="557"/>
      <c r="AD82" s="557"/>
      <c r="AE82" s="557"/>
      <c r="AF82" s="557"/>
      <c r="AG82" s="557"/>
      <c r="AH82" s="557"/>
      <c r="AI82" s="557"/>
      <c r="AJ82" s="557"/>
      <c r="AK82" s="734"/>
      <c r="AL82" s="558"/>
      <c r="AM82" s="591"/>
      <c r="AN82" s="591"/>
      <c r="AO82" s="591"/>
    </row>
    <row r="83" spans="1:41" ht="15.6">
      <c r="A83" s="517" t="s">
        <v>728</v>
      </c>
      <c r="B83" s="557"/>
      <c r="C83" s="772"/>
      <c r="D83" s="772"/>
      <c r="E83" s="772"/>
      <c r="F83" s="772"/>
      <c r="G83" s="772"/>
      <c r="H83" s="772"/>
      <c r="I83" s="772"/>
      <c r="J83" s="772"/>
      <c r="K83" s="772"/>
      <c r="L83" s="772"/>
      <c r="M83" s="772"/>
      <c r="N83" s="772"/>
      <c r="O83" s="772"/>
      <c r="P83" s="772"/>
      <c r="Q83" s="772"/>
      <c r="R83" s="772"/>
      <c r="S83" s="558"/>
      <c r="T83" s="558"/>
      <c r="U83" s="558"/>
      <c r="V83" s="558"/>
      <c r="W83" s="558"/>
      <c r="X83" s="558"/>
      <c r="Y83" s="557"/>
      <c r="Z83" s="557"/>
      <c r="AA83" s="557"/>
      <c r="AB83" s="557"/>
      <c r="AC83" s="557"/>
      <c r="AD83" s="557"/>
      <c r="AE83" s="557"/>
      <c r="AF83" s="557"/>
      <c r="AG83" s="557"/>
      <c r="AH83" s="557"/>
      <c r="AI83" s="557"/>
      <c r="AJ83" s="557"/>
      <c r="AK83" s="557"/>
      <c r="AL83" s="558"/>
      <c r="AM83" s="557"/>
      <c r="AN83" s="557"/>
      <c r="AO83" s="557"/>
    </row>
    <row r="84" spans="1:41" ht="15.6">
      <c r="A84" s="518" t="s">
        <v>729</v>
      </c>
      <c r="B84" s="557"/>
      <c r="C84" s="733"/>
      <c r="D84" s="733"/>
      <c r="E84" s="733"/>
      <c r="F84" s="733"/>
      <c r="G84" s="733"/>
      <c r="H84" s="733"/>
      <c r="I84" s="733"/>
      <c r="J84" s="733"/>
      <c r="K84" s="733"/>
      <c r="L84" s="733"/>
      <c r="M84" s="733"/>
      <c r="N84" s="733"/>
      <c r="O84" s="733"/>
      <c r="P84" s="733"/>
      <c r="Q84" s="733"/>
      <c r="R84" s="733"/>
      <c r="S84" s="558"/>
      <c r="T84" s="558"/>
      <c r="U84" s="558"/>
      <c r="V84" s="558"/>
      <c r="W84" s="558"/>
      <c r="X84" s="558"/>
      <c r="Y84" s="557"/>
      <c r="Z84" s="557"/>
      <c r="AA84" s="557"/>
      <c r="AB84" s="557"/>
      <c r="AC84" s="557"/>
      <c r="AD84" s="557"/>
      <c r="AE84" s="557"/>
      <c r="AF84" s="557"/>
      <c r="AG84" s="557"/>
      <c r="AH84" s="557"/>
      <c r="AI84" s="557"/>
      <c r="AJ84" s="557"/>
      <c r="AK84" s="557"/>
      <c r="AL84" s="558"/>
      <c r="AM84" s="557"/>
      <c r="AN84" s="557"/>
      <c r="AO84" s="557"/>
    </row>
    <row r="85" spans="1:41" ht="15.6" thickBot="1">
      <c r="A85" s="770"/>
      <c r="B85" s="502"/>
      <c r="C85" s="770"/>
      <c r="D85" s="770"/>
      <c r="E85" s="770"/>
      <c r="F85" s="770"/>
      <c r="G85" s="770"/>
      <c r="H85" s="770"/>
      <c r="I85" s="770"/>
      <c r="J85" s="770"/>
      <c r="K85" s="770"/>
      <c r="L85" s="770"/>
      <c r="M85" s="770"/>
      <c r="N85" s="770"/>
      <c r="O85" s="770"/>
      <c r="P85" s="770"/>
      <c r="Q85" s="770"/>
      <c r="R85" s="770"/>
      <c r="S85" s="771"/>
      <c r="T85" s="771"/>
      <c r="U85" s="771"/>
      <c r="V85" s="771"/>
      <c r="W85" s="771"/>
      <c r="X85" s="771"/>
      <c r="Y85" s="502"/>
      <c r="Z85" s="502"/>
      <c r="AA85" s="502"/>
      <c r="AB85" s="502"/>
      <c r="AC85" s="502"/>
      <c r="AD85" s="502"/>
      <c r="AE85" s="502"/>
      <c r="AF85" s="502"/>
      <c r="AG85" s="502"/>
      <c r="AH85" s="502"/>
      <c r="AI85" s="502"/>
      <c r="AJ85" s="502"/>
      <c r="AK85" s="502"/>
      <c r="AL85" s="771"/>
      <c r="AM85" s="502"/>
      <c r="AN85" s="502"/>
      <c r="AO85" s="502"/>
    </row>
  </sheetData>
  <mergeCells count="4">
    <mergeCell ref="C48:R48"/>
    <mergeCell ref="T48:U48"/>
    <mergeCell ref="W48:AK48"/>
    <mergeCell ref="AM48:AO48"/>
  </mergeCells>
  <pageMargins left="0.7" right="0.7" top="0.75" bottom="0.75" header="0.3" footer="0.3"/>
  <pageSetup paperSize="5" scale="26"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showGridLines="0" tabSelected="1" workbookViewId="0">
      <selection activeCell="D12" sqref="D12"/>
    </sheetView>
  </sheetViews>
  <sheetFormatPr defaultColWidth="9.109375" defaultRowHeight="13.2"/>
  <cols>
    <col min="1" max="1" width="4.109375" style="427" customWidth="1"/>
    <col min="2" max="2" width="65.5546875" style="427" customWidth="1"/>
    <col min="3" max="3" width="13.44140625" style="427" bestFit="1" customWidth="1"/>
    <col min="4" max="4" width="71.44140625" style="427" bestFit="1" customWidth="1"/>
    <col min="5" max="5" width="20.6640625" style="427" customWidth="1"/>
    <col min="6" max="7" width="9.109375" style="427"/>
    <col min="8" max="8" width="15.5546875" style="431" bestFit="1" customWidth="1"/>
    <col min="9" max="16384" width="9.109375" style="427"/>
  </cols>
  <sheetData>
    <row r="1" spans="1:8" ht="15.6">
      <c r="A1" s="504" t="s">
        <v>341</v>
      </c>
    </row>
    <row r="2" spans="1:8" ht="15.6">
      <c r="A2" s="504" t="s">
        <v>799</v>
      </c>
    </row>
    <row r="3" spans="1:8" ht="15.6">
      <c r="A3" s="506" t="s">
        <v>759</v>
      </c>
    </row>
    <row r="6" spans="1:8" s="860" customFormat="1">
      <c r="A6" s="857"/>
      <c r="B6" s="858"/>
      <c r="C6" s="858"/>
      <c r="D6" s="858"/>
      <c r="E6" s="858"/>
      <c r="F6" s="859"/>
      <c r="H6" s="861"/>
    </row>
    <row r="7" spans="1:8" s="860" customFormat="1">
      <c r="A7" s="862" t="s">
        <v>800</v>
      </c>
      <c r="C7" s="614"/>
      <c r="D7" s="614"/>
      <c r="E7" s="614"/>
      <c r="F7" s="863"/>
      <c r="H7" s="861"/>
    </row>
    <row r="8" spans="1:8" s="860" customFormat="1">
      <c r="A8" s="864">
        <v>-1</v>
      </c>
      <c r="B8" s="865" t="s">
        <v>801</v>
      </c>
      <c r="C8" s="866">
        <v>1558720</v>
      </c>
      <c r="D8" s="867" t="s">
        <v>802</v>
      </c>
      <c r="E8" s="868"/>
      <c r="F8" s="863"/>
      <c r="H8" s="861"/>
    </row>
    <row r="9" spans="1:8" s="860" customFormat="1">
      <c r="A9" s="864"/>
      <c r="B9" s="869"/>
      <c r="C9" s="870"/>
      <c r="D9" s="614"/>
      <c r="E9" s="614"/>
      <c r="F9" s="863"/>
      <c r="H9" s="861"/>
    </row>
    <row r="10" spans="1:8" s="860" customFormat="1">
      <c r="A10" s="864">
        <f>A8-1</f>
        <v>-2</v>
      </c>
      <c r="B10" s="871" t="s">
        <v>803</v>
      </c>
      <c r="C10" s="866">
        <v>74107</v>
      </c>
      <c r="D10" s="867" t="s">
        <v>804</v>
      </c>
      <c r="E10" s="614"/>
      <c r="F10" s="863"/>
      <c r="H10" s="861"/>
    </row>
    <row r="11" spans="1:8" s="861" customFormat="1">
      <c r="A11" s="864"/>
      <c r="B11" s="872"/>
      <c r="C11" s="458"/>
      <c r="D11" s="873"/>
      <c r="E11" s="870"/>
      <c r="F11" s="874"/>
    </row>
    <row r="12" spans="1:8" s="860" customFormat="1">
      <c r="A12" s="864">
        <f>A10-1</f>
        <v>-3</v>
      </c>
      <c r="B12" s="875" t="s">
        <v>805</v>
      </c>
      <c r="C12" s="866">
        <v>555124391.03999996</v>
      </c>
      <c r="D12" s="871" t="s">
        <v>936</v>
      </c>
      <c r="E12" s="614"/>
      <c r="F12" s="863"/>
      <c r="H12" s="891"/>
    </row>
    <row r="13" spans="1:8" s="860" customFormat="1">
      <c r="A13" s="864">
        <f t="shared" ref="A13:A19" si="0">A12-1</f>
        <v>-4</v>
      </c>
      <c r="B13" s="875" t="s">
        <v>806</v>
      </c>
      <c r="C13" s="458">
        <v>-862941.89</v>
      </c>
      <c r="D13" s="871" t="s">
        <v>807</v>
      </c>
      <c r="E13" s="614"/>
      <c r="F13" s="863"/>
      <c r="H13" s="891"/>
    </row>
    <row r="14" spans="1:8" s="860" customFormat="1">
      <c r="A14" s="864">
        <f t="shared" si="0"/>
        <v>-5</v>
      </c>
      <c r="B14" s="875" t="s">
        <v>808</v>
      </c>
      <c r="C14" s="458">
        <v>8167835</v>
      </c>
      <c r="D14" s="614" t="s">
        <v>809</v>
      </c>
      <c r="E14" s="614"/>
      <c r="F14" s="863"/>
      <c r="G14" s="892"/>
      <c r="H14" s="891"/>
    </row>
    <row r="15" spans="1:8" s="860" customFormat="1">
      <c r="A15" s="864">
        <f t="shared" si="0"/>
        <v>-6</v>
      </c>
      <c r="B15" s="875" t="s">
        <v>810</v>
      </c>
      <c r="C15" s="458">
        <v>95066152</v>
      </c>
      <c r="D15" s="871" t="s">
        <v>811</v>
      </c>
      <c r="E15" s="614"/>
      <c r="F15" s="863"/>
      <c r="H15" s="891"/>
    </row>
    <row r="16" spans="1:8" s="860" customFormat="1">
      <c r="A16" s="864">
        <f t="shared" si="0"/>
        <v>-7</v>
      </c>
      <c r="B16" s="875" t="s">
        <v>812</v>
      </c>
      <c r="C16" s="458">
        <v>-2782848</v>
      </c>
      <c r="D16" s="871" t="s">
        <v>813</v>
      </c>
      <c r="E16" s="614"/>
      <c r="F16" s="863"/>
      <c r="H16" s="891"/>
    </row>
    <row r="17" spans="1:8" s="860" customFormat="1">
      <c r="A17" s="864">
        <f t="shared" si="0"/>
        <v>-8</v>
      </c>
      <c r="B17" s="875" t="s">
        <v>814</v>
      </c>
      <c r="C17" s="458">
        <v>10076804</v>
      </c>
      <c r="D17" s="871" t="s">
        <v>815</v>
      </c>
      <c r="E17" s="614"/>
      <c r="F17" s="863"/>
      <c r="H17" s="891"/>
    </row>
    <row r="18" spans="1:8" s="860" customFormat="1">
      <c r="A18" s="864">
        <f t="shared" si="0"/>
        <v>-9</v>
      </c>
      <c r="B18" s="875" t="s">
        <v>816</v>
      </c>
      <c r="C18" s="876">
        <v>-2829746.55</v>
      </c>
      <c r="D18" s="871" t="s">
        <v>817</v>
      </c>
      <c r="E18" s="614"/>
      <c r="F18" s="863"/>
      <c r="H18" s="891"/>
    </row>
    <row r="19" spans="1:8" s="860" customFormat="1">
      <c r="A19" s="864">
        <f t="shared" si="0"/>
        <v>-10</v>
      </c>
      <c r="B19" s="230" t="s">
        <v>818</v>
      </c>
      <c r="C19" s="866">
        <f>SUM(C12:C18)</f>
        <v>661959645.60000002</v>
      </c>
      <c r="D19" s="877" t="s">
        <v>819</v>
      </c>
      <c r="E19" s="614"/>
      <c r="F19" s="863"/>
      <c r="H19" s="891"/>
    </row>
    <row r="20" spans="1:8" s="860" customFormat="1">
      <c r="A20" s="864"/>
      <c r="B20" s="871"/>
      <c r="C20" s="878"/>
      <c r="D20" s="877"/>
      <c r="E20" s="614"/>
      <c r="F20" s="863"/>
      <c r="H20" s="891"/>
    </row>
    <row r="21" spans="1:8" s="860" customFormat="1">
      <c r="A21" s="864">
        <f>A19-1</f>
        <v>-11</v>
      </c>
      <c r="B21" s="871" t="s">
        <v>820</v>
      </c>
      <c r="C21" s="866">
        <f>C8</f>
        <v>1558720</v>
      </c>
      <c r="D21" s="877"/>
      <c r="E21" s="614"/>
      <c r="F21" s="863"/>
      <c r="H21" s="891"/>
    </row>
    <row r="22" spans="1:8" s="860" customFormat="1">
      <c r="A22" s="879">
        <f>A21-1</f>
        <v>-12</v>
      </c>
      <c r="B22" s="880" t="s">
        <v>832</v>
      </c>
      <c r="C22" s="881">
        <f>SUM(C10,C19)</f>
        <v>662033752.60000002</v>
      </c>
      <c r="D22" s="882" t="s">
        <v>821</v>
      </c>
      <c r="E22" s="883"/>
      <c r="F22" s="863"/>
      <c r="H22" s="861"/>
    </row>
    <row r="23" spans="1:8" s="860" customFormat="1">
      <c r="A23" s="864">
        <f>A22-1</f>
        <v>-13</v>
      </c>
      <c r="B23" s="871" t="s">
        <v>822</v>
      </c>
      <c r="C23" s="866">
        <f>SUM(C12:C13)</f>
        <v>554261449.14999998</v>
      </c>
      <c r="D23" s="230"/>
      <c r="E23" s="614"/>
      <c r="F23" s="863"/>
      <c r="H23" s="861"/>
    </row>
    <row r="24" spans="1:8" s="860" customFormat="1">
      <c r="A24" s="864">
        <f>A23-1</f>
        <v>-14</v>
      </c>
      <c r="B24" s="871" t="s">
        <v>823</v>
      </c>
      <c r="C24" s="866">
        <f>SUM(C15:C16)</f>
        <v>92283304</v>
      </c>
      <c r="D24" s="865" t="s">
        <v>824</v>
      </c>
      <c r="E24" s="614"/>
      <c r="F24" s="863"/>
      <c r="H24" s="861"/>
    </row>
    <row r="25" spans="1:8" s="860" customFormat="1">
      <c r="A25" s="864">
        <f>A24-1</f>
        <v>-15</v>
      </c>
      <c r="B25" s="871" t="s">
        <v>825</v>
      </c>
      <c r="C25" s="866">
        <f>SUM(C17:C18)</f>
        <v>7247057.4500000002</v>
      </c>
      <c r="D25" s="865" t="s">
        <v>826</v>
      </c>
      <c r="E25" s="614"/>
      <c r="F25" s="863"/>
      <c r="H25" s="861"/>
    </row>
    <row r="26" spans="1:8" s="860" customFormat="1">
      <c r="A26" s="864">
        <f>A25-1</f>
        <v>-16</v>
      </c>
      <c r="B26" s="871" t="s">
        <v>827</v>
      </c>
      <c r="C26" s="866">
        <f>SUM(C10,C14)</f>
        <v>8241942</v>
      </c>
      <c r="D26" s="865"/>
      <c r="E26" s="614"/>
      <c r="F26" s="863"/>
      <c r="H26" s="861"/>
    </row>
    <row r="27" spans="1:8" s="860" customFormat="1">
      <c r="A27" s="884"/>
      <c r="B27" s="885"/>
      <c r="C27" s="885"/>
      <c r="D27" s="409"/>
      <c r="E27" s="885"/>
      <c r="F27" s="886"/>
      <c r="H27" s="861"/>
    </row>
    <row r="28" spans="1:8" s="860" customFormat="1">
      <c r="A28" s="868"/>
      <c r="B28" s="868"/>
      <c r="C28" s="868"/>
      <c r="D28" s="868"/>
      <c r="E28" s="868"/>
      <c r="F28" s="868"/>
      <c r="H28" s="861"/>
    </row>
    <row r="29" spans="1:8" s="860" customFormat="1">
      <c r="A29" s="887"/>
      <c r="B29" s="858"/>
      <c r="C29" s="858"/>
      <c r="D29" s="858"/>
      <c r="E29" s="858"/>
      <c r="F29" s="859"/>
      <c r="H29" s="861"/>
    </row>
    <row r="30" spans="1:8" s="860" customFormat="1">
      <c r="A30" s="888"/>
      <c r="B30" s="869" t="s">
        <v>828</v>
      </c>
      <c r="C30" s="614"/>
      <c r="D30" s="614"/>
      <c r="E30" s="614"/>
      <c r="F30" s="863"/>
      <c r="H30" s="861"/>
    </row>
    <row r="31" spans="1:8" s="860" customFormat="1">
      <c r="A31" s="888"/>
      <c r="B31" s="871" t="s">
        <v>829</v>
      </c>
      <c r="C31" s="889">
        <f>'Network True-up'!G6</f>
        <v>554261448.72795475</v>
      </c>
      <c r="D31" s="868"/>
      <c r="E31" s="614"/>
      <c r="F31" s="863"/>
      <c r="H31" s="861"/>
    </row>
    <row r="32" spans="1:8" s="860" customFormat="1">
      <c r="A32" s="888"/>
      <c r="B32" s="614"/>
      <c r="C32" s="614"/>
      <c r="D32" s="868"/>
      <c r="E32" s="614"/>
      <c r="F32" s="863"/>
      <c r="H32" s="861"/>
    </row>
    <row r="33" spans="1:8" s="860" customFormat="1">
      <c r="A33" s="888"/>
      <c r="B33" s="875" t="s">
        <v>830</v>
      </c>
      <c r="C33" s="883">
        <f>'Network True-up'!G8</f>
        <v>555124391.03999996</v>
      </c>
      <c r="D33" s="868"/>
      <c r="E33" s="614"/>
      <c r="F33" s="863"/>
      <c r="H33" s="861"/>
    </row>
    <row r="34" spans="1:8" s="860" customFormat="1">
      <c r="A34" s="888"/>
      <c r="B34" s="614"/>
      <c r="C34" s="614"/>
      <c r="D34" s="868"/>
      <c r="E34" s="614"/>
      <c r="F34" s="863"/>
      <c r="H34" s="861"/>
    </row>
    <row r="35" spans="1:8" s="860" customFormat="1" ht="13.8" thickBot="1">
      <c r="A35" s="888"/>
      <c r="B35" s="871" t="s">
        <v>831</v>
      </c>
      <c r="C35" s="890">
        <f>C31-C33</f>
        <v>-862942.31204521656</v>
      </c>
      <c r="D35" s="868"/>
      <c r="E35" s="614"/>
      <c r="F35" s="863"/>
      <c r="H35" s="861"/>
    </row>
    <row r="36" spans="1:8" s="860" customFormat="1" ht="13.8" thickTop="1">
      <c r="A36" s="884"/>
      <c r="B36" s="885"/>
      <c r="C36" s="885"/>
      <c r="D36" s="885"/>
      <c r="E36" s="885"/>
      <c r="F36" s="886"/>
      <c r="H36" s="861"/>
    </row>
    <row r="37" spans="1:8" s="860" customFormat="1">
      <c r="A37" s="868"/>
      <c r="B37" s="868"/>
      <c r="C37" s="868"/>
      <c r="D37" s="868"/>
      <c r="E37" s="868"/>
      <c r="F37" s="868"/>
      <c r="H37" s="861"/>
    </row>
  </sheetData>
  <pageMargins left="0.7" right="0.7" top="0.75" bottom="0.75" header="0.3" footer="0.3"/>
  <pageSetup scale="67" orientation="landscape" verticalDpi="0" r:id="rId1"/>
  <ignoredErrors>
    <ignoredError sqref="C23:C2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BN149"/>
  <sheetViews>
    <sheetView zoomScale="70" zoomScaleNormal="70" zoomScaleSheetLayoutView="70" workbookViewId="0">
      <selection activeCell="G121" sqref="G121"/>
    </sheetView>
  </sheetViews>
  <sheetFormatPr defaultColWidth="9.109375" defaultRowHeight="15"/>
  <cols>
    <col min="1" max="1" width="7.6640625" style="256" customWidth="1"/>
    <col min="2" max="2" width="1.88671875" style="256" customWidth="1"/>
    <col min="3" max="3" width="69.44140625" style="256" bestFit="1" customWidth="1"/>
    <col min="4" max="4" width="18.109375" style="256" customWidth="1"/>
    <col min="5" max="5" width="21.6640625" style="256" customWidth="1"/>
    <col min="6" max="7" width="18.109375" style="256" customWidth="1"/>
    <col min="8" max="8" width="17.88671875" style="256" customWidth="1"/>
    <col min="9" max="10" width="16.44140625" style="256" customWidth="1"/>
    <col min="11" max="12" width="17.44140625" style="256" customWidth="1"/>
    <col min="13" max="13" width="20.5546875" style="256" customWidth="1"/>
    <col min="14" max="14" width="16.44140625" style="256" customWidth="1"/>
    <col min="15" max="15" width="17.88671875" style="256" customWidth="1"/>
    <col min="16" max="16" width="3.109375" style="256" customWidth="1"/>
    <col min="17" max="17" width="16.6640625" style="338" customWidth="1"/>
    <col min="18" max="19" width="11.6640625" style="256" bestFit="1" customWidth="1"/>
    <col min="20" max="20" width="12" style="256" bestFit="1" customWidth="1"/>
    <col min="21" max="21" width="11.6640625" style="256" bestFit="1" customWidth="1"/>
    <col min="22" max="16384" width="9.109375" style="256"/>
  </cols>
  <sheetData>
    <row r="1" spans="1:19">
      <c r="O1" s="343"/>
    </row>
    <row r="2" spans="1:19">
      <c r="O2" s="343"/>
    </row>
    <row r="4" spans="1:19">
      <c r="O4" s="343" t="s">
        <v>520</v>
      </c>
    </row>
    <row r="5" spans="1:19" ht="15.6">
      <c r="C5" s="304" t="s">
        <v>397</v>
      </c>
      <c r="D5" s="304"/>
      <c r="E5" s="304"/>
      <c r="F5" s="304"/>
      <c r="G5" s="305" t="s">
        <v>396</v>
      </c>
      <c r="H5" s="304"/>
      <c r="I5" s="304"/>
      <c r="J5" s="304"/>
      <c r="K5" s="303"/>
      <c r="L5" s="303"/>
      <c r="M5" s="347"/>
      <c r="N5" s="307"/>
      <c r="O5" s="169" t="s">
        <v>762</v>
      </c>
      <c r="P5" s="267"/>
      <c r="Q5" s="348"/>
      <c r="R5" s="267"/>
      <c r="S5" s="267"/>
    </row>
    <row r="6" spans="1:19">
      <c r="C6" s="304"/>
      <c r="D6" s="304"/>
      <c r="E6" s="247" t="s">
        <v>67</v>
      </c>
      <c r="F6" s="247"/>
      <c r="G6" s="247" t="s">
        <v>497</v>
      </c>
      <c r="H6" s="247"/>
      <c r="I6" s="247"/>
      <c r="J6" s="247"/>
      <c r="K6" s="303"/>
      <c r="L6" s="303"/>
      <c r="N6" s="269"/>
      <c r="O6" s="303"/>
      <c r="P6" s="267"/>
      <c r="Q6" s="349"/>
      <c r="R6" s="267"/>
      <c r="S6" s="267"/>
    </row>
    <row r="7" spans="1:19">
      <c r="C7" s="269"/>
      <c r="D7" s="269"/>
      <c r="E7" s="269"/>
      <c r="F7" s="269"/>
      <c r="G7" s="269"/>
      <c r="H7" s="269"/>
      <c r="I7" s="269"/>
      <c r="J7" s="269"/>
      <c r="K7" s="269"/>
      <c r="L7" s="269"/>
      <c r="N7" s="269"/>
      <c r="O7" s="269" t="s">
        <v>395</v>
      </c>
      <c r="P7" s="267"/>
      <c r="Q7" s="348"/>
      <c r="R7" s="267"/>
      <c r="S7" s="267"/>
    </row>
    <row r="8" spans="1:19">
      <c r="A8" s="341"/>
      <c r="C8" s="269"/>
      <c r="D8" s="269"/>
      <c r="E8" s="269"/>
      <c r="F8" s="307"/>
      <c r="G8" s="308" t="s">
        <v>341</v>
      </c>
      <c r="H8" s="307"/>
      <c r="I8" s="269"/>
      <c r="J8" s="269"/>
      <c r="K8" s="269"/>
      <c r="L8" s="269"/>
      <c r="M8" s="269"/>
      <c r="N8" s="269"/>
      <c r="O8" s="269"/>
      <c r="P8" s="267"/>
      <c r="Q8" s="348"/>
      <c r="R8" s="267"/>
      <c r="S8" s="267"/>
    </row>
    <row r="9" spans="1:19">
      <c r="A9" s="341"/>
      <c r="C9" s="269"/>
      <c r="D9" s="269"/>
      <c r="E9" s="269"/>
      <c r="F9" s="269"/>
      <c r="G9" s="302"/>
      <c r="H9" s="269"/>
      <c r="I9" s="269"/>
      <c r="J9" s="269"/>
      <c r="K9" s="269"/>
      <c r="L9" s="269"/>
      <c r="M9" s="269"/>
      <c r="N9" s="269"/>
      <c r="O9" s="269"/>
      <c r="P9" s="267"/>
      <c r="Q9" s="348"/>
      <c r="R9" s="267"/>
      <c r="S9" s="267"/>
    </row>
    <row r="10" spans="1:19">
      <c r="A10" s="341"/>
      <c r="C10" s="269" t="s">
        <v>511</v>
      </c>
      <c r="D10" s="269"/>
      <c r="E10" s="269"/>
      <c r="F10" s="269"/>
      <c r="G10" s="302"/>
      <c r="H10" s="269"/>
      <c r="I10" s="269"/>
      <c r="J10" s="269"/>
      <c r="K10" s="269"/>
      <c r="L10" s="269"/>
      <c r="M10" s="269"/>
      <c r="N10" s="269"/>
      <c r="O10" s="269"/>
      <c r="P10" s="267"/>
      <c r="Q10" s="348"/>
      <c r="R10" s="267"/>
      <c r="S10" s="267"/>
    </row>
    <row r="11" spans="1:19">
      <c r="A11" s="341"/>
      <c r="C11" s="269"/>
      <c r="D11" s="269"/>
      <c r="E11" s="269"/>
      <c r="F11" s="269"/>
      <c r="G11" s="302"/>
      <c r="M11" s="269"/>
      <c r="N11" s="269"/>
      <c r="O11" s="269"/>
      <c r="P11" s="267"/>
      <c r="Q11" s="348"/>
      <c r="R11" s="267"/>
      <c r="S11" s="267"/>
    </row>
    <row r="12" spans="1:19">
      <c r="A12" s="341"/>
      <c r="C12" s="269"/>
      <c r="D12" s="269"/>
      <c r="E12" s="269"/>
      <c r="F12" s="269"/>
      <c r="G12" s="269"/>
      <c r="M12" s="301"/>
      <c r="N12" s="269"/>
      <c r="O12" s="269"/>
      <c r="P12" s="267"/>
      <c r="Q12" s="348"/>
      <c r="R12" s="267"/>
      <c r="S12" s="267"/>
    </row>
    <row r="13" spans="1:19">
      <c r="C13" s="300" t="s">
        <v>245</v>
      </c>
      <c r="D13" s="300"/>
      <c r="E13" s="300" t="s">
        <v>244</v>
      </c>
      <c r="F13" s="300"/>
      <c r="G13" s="300" t="s">
        <v>243</v>
      </c>
      <c r="M13" s="262" t="s">
        <v>242</v>
      </c>
      <c r="N13" s="247"/>
      <c r="O13" s="262"/>
      <c r="P13" s="266"/>
      <c r="Q13" s="350"/>
      <c r="R13" s="266"/>
      <c r="S13" s="265"/>
    </row>
    <row r="14" spans="1:19" ht="15.6">
      <c r="C14" s="261"/>
      <c r="D14" s="261"/>
      <c r="E14" s="293" t="s">
        <v>509</v>
      </c>
      <c r="F14" s="293"/>
      <c r="G14" s="247"/>
      <c r="N14" s="247"/>
      <c r="P14" s="266"/>
      <c r="Q14" s="349"/>
      <c r="R14" s="288"/>
      <c r="S14" s="265"/>
    </row>
    <row r="15" spans="1:19" ht="15.6">
      <c r="A15" s="341" t="s">
        <v>8</v>
      </c>
      <c r="B15" s="958"/>
      <c r="C15" s="261"/>
      <c r="D15" s="261"/>
      <c r="E15" s="299" t="s">
        <v>239</v>
      </c>
      <c r="F15" s="299"/>
      <c r="G15" s="298" t="s">
        <v>25</v>
      </c>
      <c r="M15" s="298" t="s">
        <v>333</v>
      </c>
      <c r="N15" s="247"/>
      <c r="P15" s="267"/>
      <c r="Q15" s="351"/>
      <c r="R15" s="288"/>
      <c r="S15" s="265"/>
    </row>
    <row r="16" spans="1:19" ht="15.6">
      <c r="A16" s="341" t="s">
        <v>177</v>
      </c>
      <c r="B16" s="958"/>
      <c r="C16" s="286"/>
      <c r="D16" s="286"/>
      <c r="E16" s="247"/>
      <c r="F16" s="247"/>
      <c r="G16" s="247"/>
      <c r="M16" s="247"/>
      <c r="N16" s="247"/>
      <c r="O16" s="247"/>
      <c r="P16" s="267"/>
      <c r="Q16" s="352"/>
      <c r="R16" s="266"/>
      <c r="S16" s="265"/>
    </row>
    <row r="17" spans="1:19" ht="15.6">
      <c r="A17" s="297"/>
      <c r="B17" s="958"/>
      <c r="C17" s="261"/>
      <c r="D17" s="261"/>
      <c r="E17" s="247"/>
      <c r="F17" s="247"/>
      <c r="G17" s="247"/>
      <c r="M17" s="247"/>
      <c r="N17" s="247"/>
      <c r="O17" s="247"/>
      <c r="P17" s="267"/>
      <c r="Q17" s="352"/>
      <c r="R17" s="266"/>
      <c r="S17" s="265"/>
    </row>
    <row r="18" spans="1:19">
      <c r="A18" s="289">
        <v>1</v>
      </c>
      <c r="B18" s="958"/>
      <c r="C18" s="261" t="s">
        <v>394</v>
      </c>
      <c r="D18" s="261"/>
      <c r="E18" s="244" t="s">
        <v>521</v>
      </c>
      <c r="F18" s="244"/>
      <c r="G18" s="153">
        <f>'ATC Attach O ER15-358'!I87+'ATC Attach O ER15-358'!I88</f>
        <v>4707881107.0769234</v>
      </c>
      <c r="H18" s="918"/>
      <c r="N18" s="247"/>
      <c r="O18" s="247"/>
      <c r="P18" s="267"/>
      <c r="Q18" s="352"/>
      <c r="R18" s="266"/>
      <c r="S18" s="265"/>
    </row>
    <row r="19" spans="1:19">
      <c r="A19" s="289">
        <v>2</v>
      </c>
      <c r="B19" s="958"/>
      <c r="C19" s="261" t="s">
        <v>393</v>
      </c>
      <c r="D19" s="261"/>
      <c r="E19" s="244" t="s">
        <v>530</v>
      </c>
      <c r="F19" s="244"/>
      <c r="G19" s="153">
        <f>'ATC Attach O ER15-358'!I105+'ATC Attach O ER15-358'!I106</f>
        <v>3540937705.0769229</v>
      </c>
      <c r="H19" s="918"/>
      <c r="N19" s="247"/>
      <c r="O19" s="247"/>
      <c r="P19" s="267"/>
      <c r="Q19" s="352"/>
      <c r="R19" s="266"/>
      <c r="S19" s="265"/>
    </row>
    <row r="20" spans="1:19">
      <c r="A20" s="289"/>
      <c r="B20" s="958"/>
      <c r="E20" s="244"/>
      <c r="F20" s="244"/>
      <c r="N20" s="247"/>
      <c r="O20" s="247"/>
      <c r="P20" s="267"/>
      <c r="Q20" s="352"/>
      <c r="R20" s="266"/>
      <c r="S20" s="265"/>
    </row>
    <row r="21" spans="1:19">
      <c r="A21" s="289"/>
      <c r="B21" s="958"/>
      <c r="C21" s="261" t="s">
        <v>392</v>
      </c>
      <c r="D21" s="261"/>
      <c r="E21" s="244"/>
      <c r="F21" s="244"/>
      <c r="G21" s="247"/>
      <c r="M21" s="247"/>
      <c r="N21" s="247"/>
      <c r="O21" s="247"/>
      <c r="P21" s="266"/>
      <c r="Q21" s="352"/>
      <c r="R21" s="266"/>
      <c r="S21" s="265"/>
    </row>
    <row r="22" spans="1:19">
      <c r="A22" s="289">
        <v>3</v>
      </c>
      <c r="B22" s="958"/>
      <c r="C22" s="261" t="s">
        <v>391</v>
      </c>
      <c r="D22" s="261"/>
      <c r="E22" s="244" t="s">
        <v>506</v>
      </c>
      <c r="F22" s="244"/>
      <c r="G22" s="153">
        <f>'ATC Attach O ER15-358'!I165</f>
        <v>140770215.98252785</v>
      </c>
      <c r="H22" s="918"/>
      <c r="M22" s="247"/>
      <c r="N22" s="247"/>
      <c r="O22" s="247"/>
      <c r="P22" s="266"/>
      <c r="Q22" s="352"/>
      <c r="R22" s="266"/>
      <c r="S22" s="265"/>
    </row>
    <row r="23" spans="1:19">
      <c r="A23" s="289" t="s">
        <v>447</v>
      </c>
      <c r="B23" s="918"/>
      <c r="C23" s="261" t="s">
        <v>529</v>
      </c>
      <c r="D23" s="261"/>
      <c r="E23" s="244" t="s">
        <v>515</v>
      </c>
      <c r="F23" s="244"/>
      <c r="G23" s="330">
        <v>8282445.3099999996</v>
      </c>
      <c r="H23" s="918"/>
      <c r="M23" s="247"/>
      <c r="N23" s="247"/>
      <c r="O23" s="247"/>
      <c r="P23" s="266"/>
      <c r="Q23" s="352"/>
      <c r="R23" s="266"/>
      <c r="S23" s="265"/>
    </row>
    <row r="24" spans="1:19">
      <c r="A24" s="289" t="s">
        <v>445</v>
      </c>
      <c r="B24" s="918"/>
      <c r="C24" s="261" t="s">
        <v>516</v>
      </c>
      <c r="D24" s="261"/>
      <c r="E24" s="244" t="s">
        <v>518</v>
      </c>
      <c r="F24" s="244"/>
      <c r="G24" s="346">
        <f>+G22-G23</f>
        <v>132487770.67252785</v>
      </c>
      <c r="H24" s="918"/>
      <c r="N24" s="247"/>
      <c r="O24" s="247"/>
      <c r="P24" s="266"/>
      <c r="Q24" s="352"/>
      <c r="R24" s="266"/>
      <c r="S24" s="265"/>
    </row>
    <row r="25" spans="1:19" ht="15.6">
      <c r="A25" s="289">
        <v>4</v>
      </c>
      <c r="B25" s="958"/>
      <c r="C25" s="261" t="s">
        <v>390</v>
      </c>
      <c r="D25" s="261"/>
      <c r="E25" s="244" t="s">
        <v>517</v>
      </c>
      <c r="F25" s="244"/>
      <c r="G25" s="249">
        <f>IF(G24=0,0,G24/G18)</f>
        <v>2.8141698496457611E-2</v>
      </c>
      <c r="H25" s="919"/>
      <c r="M25" s="345">
        <f>G25</f>
        <v>2.8141698496457611E-2</v>
      </c>
      <c r="N25" s="247"/>
      <c r="O25" s="246"/>
      <c r="P25" s="277"/>
      <c r="Q25" s="353"/>
      <c r="R25" s="266"/>
      <c r="S25" s="265"/>
    </row>
    <row r="26" spans="1:19" ht="15.6">
      <c r="A26" s="289"/>
      <c r="B26" s="958"/>
      <c r="C26" s="261"/>
      <c r="D26" s="261"/>
      <c r="E26" s="244"/>
      <c r="F26" s="244"/>
      <c r="G26" s="249"/>
      <c r="M26" s="345"/>
      <c r="N26" s="247"/>
      <c r="O26" s="246"/>
      <c r="P26" s="277"/>
      <c r="Q26" s="353"/>
      <c r="R26" s="266"/>
      <c r="S26" s="265"/>
    </row>
    <row r="27" spans="1:19" ht="15.6">
      <c r="A27" s="251"/>
      <c r="C27" s="261" t="s">
        <v>389</v>
      </c>
      <c r="D27" s="261"/>
      <c r="E27" s="250"/>
      <c r="F27" s="250"/>
      <c r="G27" s="247"/>
      <c r="M27" s="247"/>
      <c r="N27" s="247"/>
      <c r="O27" s="246"/>
      <c r="P27" s="277"/>
      <c r="Q27" s="353"/>
      <c r="R27" s="266"/>
      <c r="S27" s="265"/>
    </row>
    <row r="28" spans="1:19" ht="15.6">
      <c r="A28" s="251" t="s">
        <v>388</v>
      </c>
      <c r="C28" s="261" t="s">
        <v>387</v>
      </c>
      <c r="D28" s="261"/>
      <c r="E28" s="244" t="s">
        <v>501</v>
      </c>
      <c r="F28" s="244"/>
      <c r="G28" s="153">
        <f>'ATC Attach O ER15-358'!I169+'ATC Attach O ER15-358'!I170</f>
        <v>9499152</v>
      </c>
      <c r="H28" s="918"/>
      <c r="N28" s="247"/>
      <c r="O28" s="246"/>
      <c r="P28" s="277"/>
      <c r="Q28" s="353"/>
      <c r="R28" s="266"/>
      <c r="S28" s="265"/>
    </row>
    <row r="29" spans="1:19" ht="15.6">
      <c r="A29" s="251" t="s">
        <v>386</v>
      </c>
      <c r="C29" s="261" t="s">
        <v>385</v>
      </c>
      <c r="D29" s="261"/>
      <c r="E29" s="244" t="s">
        <v>384</v>
      </c>
      <c r="F29" s="244"/>
      <c r="G29" s="249">
        <f>IF(G28=0,0,G28/G18)</f>
        <v>2.0177128062390534E-3</v>
      </c>
      <c r="H29" s="919"/>
      <c r="M29" s="345">
        <f>G29</f>
        <v>2.0177128062390534E-3</v>
      </c>
      <c r="N29" s="247"/>
      <c r="O29" s="246"/>
      <c r="P29" s="277"/>
      <c r="Q29" s="353"/>
      <c r="R29" s="266"/>
      <c r="S29" s="265"/>
    </row>
    <row r="30" spans="1:19" ht="15.6">
      <c r="A30" s="289"/>
      <c r="B30" s="958"/>
      <c r="C30" s="261"/>
      <c r="D30" s="261"/>
      <c r="E30" s="244"/>
      <c r="F30" s="244"/>
      <c r="G30" s="249"/>
      <c r="M30" s="345"/>
      <c r="N30" s="247"/>
      <c r="O30" s="246"/>
      <c r="P30" s="277"/>
      <c r="Q30" s="353"/>
      <c r="R30" s="266"/>
      <c r="S30" s="265"/>
    </row>
    <row r="31" spans="1:19">
      <c r="A31" s="251"/>
      <c r="B31" s="958"/>
      <c r="C31" s="261" t="s">
        <v>383</v>
      </c>
      <c r="D31" s="261"/>
      <c r="E31" s="250"/>
      <c r="F31" s="250"/>
      <c r="G31" s="247"/>
      <c r="M31" s="247"/>
      <c r="N31" s="247"/>
      <c r="O31" s="247"/>
      <c r="P31" s="266"/>
      <c r="Q31" s="354"/>
      <c r="R31" s="266"/>
      <c r="S31" s="265"/>
    </row>
    <row r="32" spans="1:19" ht="15.6">
      <c r="A32" s="251" t="s">
        <v>382</v>
      </c>
      <c r="B32" s="958"/>
      <c r="C32" s="261" t="s">
        <v>381</v>
      </c>
      <c r="D32" s="261"/>
      <c r="E32" s="244" t="s">
        <v>500</v>
      </c>
      <c r="F32" s="244"/>
      <c r="G32" s="153">
        <f>'ATC Attach O ER15-358'!I182</f>
        <v>23103977</v>
      </c>
      <c r="H32" s="918"/>
      <c r="N32" s="247"/>
      <c r="O32" s="296"/>
      <c r="P32" s="266"/>
      <c r="Q32" s="355"/>
      <c r="R32" s="288"/>
      <c r="S32" s="265"/>
    </row>
    <row r="33" spans="1:19" ht="15.6">
      <c r="A33" s="251" t="s">
        <v>380</v>
      </c>
      <c r="B33" s="958"/>
      <c r="C33" s="261" t="s">
        <v>379</v>
      </c>
      <c r="D33" s="261"/>
      <c r="E33" s="244" t="s">
        <v>378</v>
      </c>
      <c r="F33" s="244"/>
      <c r="G33" s="249">
        <f>IF(G32=0,0,G32/G18)</f>
        <v>4.9075107196887196E-3</v>
      </c>
      <c r="H33" s="919"/>
      <c r="M33" s="345">
        <f>G33</f>
        <v>4.9075107196887196E-3</v>
      </c>
      <c r="N33" s="247"/>
      <c r="O33" s="246"/>
      <c r="P33" s="266"/>
      <c r="Q33" s="353"/>
      <c r="R33" s="288"/>
      <c r="S33" s="265"/>
    </row>
    <row r="34" spans="1:19">
      <c r="A34" s="251"/>
      <c r="B34" s="958"/>
      <c r="C34" s="261"/>
      <c r="D34" s="261"/>
      <c r="E34" s="244"/>
      <c r="F34" s="244"/>
      <c r="G34" s="247"/>
      <c r="M34" s="247"/>
      <c r="N34" s="247"/>
      <c r="R34" s="266"/>
      <c r="S34" s="265"/>
    </row>
    <row r="35" spans="1:19" ht="15.6">
      <c r="A35" s="295" t="s">
        <v>377</v>
      </c>
      <c r="B35" s="294"/>
      <c r="C35" s="286" t="s">
        <v>10</v>
      </c>
      <c r="D35" s="286"/>
      <c r="E35" s="293" t="s">
        <v>376</v>
      </c>
      <c r="F35" s="293"/>
      <c r="G35" s="292"/>
      <c r="M35" s="148">
        <f>M25+M29+M33</f>
        <v>3.5066922022385386E-2</v>
      </c>
      <c r="N35" s="247"/>
      <c r="R35" s="266"/>
      <c r="S35" s="265"/>
    </row>
    <row r="36" spans="1:19">
      <c r="A36" s="251"/>
      <c r="B36" s="958"/>
      <c r="C36" s="261"/>
      <c r="D36" s="261"/>
      <c r="E36" s="244"/>
      <c r="F36" s="244"/>
      <c r="G36" s="247"/>
      <c r="M36" s="247"/>
      <c r="N36" s="247"/>
      <c r="O36" s="247"/>
      <c r="P36" s="266"/>
      <c r="Q36" s="356"/>
      <c r="R36" s="266"/>
      <c r="S36" s="265"/>
    </row>
    <row r="37" spans="1:19">
      <c r="A37" s="251"/>
      <c r="B37" s="959"/>
      <c r="C37" s="247" t="s">
        <v>375</v>
      </c>
      <c r="D37" s="247"/>
      <c r="E37" s="244"/>
      <c r="F37" s="244"/>
      <c r="G37" s="247"/>
      <c r="M37" s="247"/>
      <c r="N37" s="247"/>
      <c r="R37" s="288"/>
      <c r="S37" s="266" t="s">
        <v>67</v>
      </c>
    </row>
    <row r="38" spans="1:19">
      <c r="A38" s="251" t="s">
        <v>374</v>
      </c>
      <c r="B38" s="959"/>
      <c r="C38" s="247" t="s">
        <v>13</v>
      </c>
      <c r="D38" s="247"/>
      <c r="E38" s="244" t="s">
        <v>499</v>
      </c>
      <c r="F38" s="244"/>
      <c r="G38" s="153">
        <f>'ATC Attach O ER15-358'!I197</f>
        <v>107444857.7621901</v>
      </c>
      <c r="H38" s="918"/>
      <c r="M38" s="247"/>
      <c r="N38" s="247"/>
      <c r="R38" s="288"/>
      <c r="S38" s="266"/>
    </row>
    <row r="39" spans="1:19" ht="15.6">
      <c r="A39" s="251" t="s">
        <v>373</v>
      </c>
      <c r="B39" s="959"/>
      <c r="C39" s="247" t="s">
        <v>372</v>
      </c>
      <c r="D39" s="247"/>
      <c r="E39" s="244" t="s">
        <v>371</v>
      </c>
      <c r="F39" s="244"/>
      <c r="G39" s="249">
        <f>IF(G38=0,0,G38/G19)</f>
        <v>3.0343617061700322E-2</v>
      </c>
      <c r="H39" s="919"/>
      <c r="M39" s="345">
        <f>G39</f>
        <v>3.0343617061700322E-2</v>
      </c>
      <c r="N39" s="247"/>
      <c r="P39" s="266"/>
      <c r="Q39" s="352"/>
      <c r="R39" s="288"/>
      <c r="S39" s="266"/>
    </row>
    <row r="40" spans="1:19">
      <c r="A40" s="251"/>
      <c r="B40" s="958"/>
      <c r="C40" s="247"/>
      <c r="D40" s="247"/>
      <c r="E40" s="244"/>
      <c r="F40" s="244"/>
      <c r="G40" s="247"/>
      <c r="M40" s="247"/>
      <c r="N40" s="247"/>
      <c r="P40" s="267"/>
      <c r="Q40" s="352"/>
      <c r="R40" s="267"/>
      <c r="S40" s="265"/>
    </row>
    <row r="41" spans="1:19">
      <c r="A41" s="251"/>
      <c r="B41" s="958"/>
      <c r="C41" s="261" t="s">
        <v>189</v>
      </c>
      <c r="D41" s="261"/>
      <c r="E41" s="291"/>
      <c r="F41" s="291"/>
      <c r="N41" s="247"/>
      <c r="P41" s="266"/>
      <c r="Q41" s="352"/>
      <c r="R41" s="266"/>
      <c r="S41" s="265"/>
    </row>
    <row r="42" spans="1:19">
      <c r="A42" s="251" t="s">
        <v>370</v>
      </c>
      <c r="B42" s="958"/>
      <c r="C42" s="261" t="s">
        <v>369</v>
      </c>
      <c r="D42" s="261"/>
      <c r="E42" s="244" t="s">
        <v>498</v>
      </c>
      <c r="F42" s="244"/>
      <c r="G42" s="153">
        <f>'ATC Attach O ER15-358'!I199</f>
        <v>259008067.49765936</v>
      </c>
      <c r="H42" s="918"/>
      <c r="M42" s="247"/>
      <c r="N42" s="247"/>
      <c r="P42" s="266"/>
      <c r="Q42" s="352"/>
      <c r="R42" s="266"/>
      <c r="S42" s="265"/>
    </row>
    <row r="43" spans="1:19" ht="15.6">
      <c r="A43" s="251" t="s">
        <v>368</v>
      </c>
      <c r="B43" s="959"/>
      <c r="C43" s="247" t="s">
        <v>367</v>
      </c>
      <c r="D43" s="247"/>
      <c r="E43" s="244" t="s">
        <v>366</v>
      </c>
      <c r="F43" s="244"/>
      <c r="G43" s="131">
        <f>IF(G42=0,0,G42/G19)</f>
        <v>7.3146745034881291E-2</v>
      </c>
      <c r="H43" s="919"/>
      <c r="M43" s="345">
        <f>G43</f>
        <v>7.3146745034881291E-2</v>
      </c>
      <c r="N43" s="247"/>
      <c r="Q43" s="357"/>
      <c r="R43" s="288"/>
      <c r="S43" s="266"/>
    </row>
    <row r="44" spans="1:19">
      <c r="A44" s="251"/>
      <c r="B44" s="958"/>
      <c r="C44" s="261"/>
      <c r="D44" s="261"/>
      <c r="E44" s="244"/>
      <c r="F44" s="244"/>
      <c r="G44" s="247"/>
      <c r="M44" s="247"/>
      <c r="N44" s="247"/>
      <c r="O44" s="291"/>
      <c r="P44" s="266"/>
      <c r="Q44" s="352"/>
      <c r="R44" s="266"/>
      <c r="S44" s="265"/>
    </row>
    <row r="45" spans="1:19" ht="15.6">
      <c r="A45" s="295" t="s">
        <v>365</v>
      </c>
      <c r="B45" s="294"/>
      <c r="C45" s="286" t="s">
        <v>9</v>
      </c>
      <c r="D45" s="286"/>
      <c r="E45" s="293" t="s">
        <v>364</v>
      </c>
      <c r="F45" s="293"/>
      <c r="G45" s="292"/>
      <c r="M45" s="148">
        <f>M39+M43</f>
        <v>0.10349036209658161</v>
      </c>
      <c r="N45" s="247"/>
      <c r="O45" s="291"/>
      <c r="P45" s="266"/>
      <c r="Q45" s="352"/>
      <c r="R45" s="266"/>
      <c r="S45" s="265"/>
    </row>
    <row r="46" spans="1:19">
      <c r="N46" s="269"/>
      <c r="O46" s="269"/>
      <c r="P46" s="266"/>
      <c r="Q46" s="352"/>
      <c r="R46" s="266"/>
      <c r="S46" s="265"/>
    </row>
    <row r="47" spans="1:19">
      <c r="N47" s="269"/>
      <c r="O47" s="269"/>
      <c r="P47" s="266"/>
      <c r="Q47" s="352"/>
      <c r="R47" s="266"/>
      <c r="S47" s="265"/>
    </row>
    <row r="48" spans="1:19">
      <c r="N48" s="269"/>
      <c r="O48" s="269"/>
      <c r="P48" s="266"/>
      <c r="Q48" s="352"/>
      <c r="R48" s="266"/>
      <c r="S48" s="265"/>
    </row>
    <row r="49" spans="1:19">
      <c r="N49" s="269"/>
      <c r="O49" s="269"/>
      <c r="P49" s="265"/>
      <c r="Q49" s="348"/>
      <c r="R49" s="265"/>
      <c r="S49" s="265"/>
    </row>
    <row r="50" spans="1:19">
      <c r="N50" s="247"/>
      <c r="O50" s="247"/>
      <c r="P50" s="266"/>
      <c r="Q50" s="348"/>
      <c r="R50" s="266"/>
      <c r="S50" s="265"/>
    </row>
    <row r="51" spans="1:19" ht="15.6">
      <c r="N51" s="247"/>
      <c r="O51" s="246"/>
      <c r="P51" s="266"/>
      <c r="Q51" s="352"/>
      <c r="R51" s="289"/>
      <c r="S51" s="266"/>
    </row>
    <row r="52" spans="1:19" ht="15.6">
      <c r="N52" s="247"/>
      <c r="O52" s="246"/>
      <c r="P52" s="266"/>
      <c r="Q52" s="352"/>
      <c r="R52" s="289"/>
      <c r="S52" s="266"/>
    </row>
    <row r="53" spans="1:19" ht="15.6">
      <c r="N53" s="247"/>
      <c r="O53" s="246"/>
      <c r="P53" s="266"/>
      <c r="Q53" s="352"/>
      <c r="R53" s="289"/>
      <c r="S53" s="266"/>
    </row>
    <row r="54" spans="1:19" ht="15.6">
      <c r="A54" s="251"/>
      <c r="C54" s="248"/>
      <c r="D54" s="248"/>
      <c r="E54" s="250"/>
      <c r="F54" s="250"/>
      <c r="G54" s="247"/>
      <c r="H54" s="248"/>
      <c r="I54" s="248"/>
      <c r="J54" s="249"/>
      <c r="K54" s="248"/>
      <c r="L54" s="248"/>
      <c r="M54" s="247"/>
      <c r="N54" s="247"/>
      <c r="O54" s="246"/>
      <c r="P54" s="266"/>
      <c r="Q54" s="352"/>
      <c r="R54" s="289"/>
      <c r="S54" s="266"/>
    </row>
    <row r="55" spans="1:19" ht="15.6">
      <c r="A55" s="251"/>
      <c r="C55" s="248"/>
      <c r="D55" s="248"/>
      <c r="E55" s="250"/>
      <c r="F55" s="250"/>
      <c r="G55" s="247"/>
      <c r="H55" s="248"/>
      <c r="I55" s="248"/>
      <c r="J55" s="249"/>
      <c r="K55" s="248"/>
      <c r="L55" s="248"/>
      <c r="M55" s="247"/>
      <c r="N55" s="247"/>
      <c r="O55" s="246"/>
      <c r="P55" s="266"/>
      <c r="Q55" s="352"/>
      <c r="R55" s="289"/>
      <c r="S55" s="266"/>
    </row>
    <row r="56" spans="1:19" ht="15.6">
      <c r="A56" s="254"/>
      <c r="C56" s="251"/>
      <c r="D56" s="251"/>
      <c r="E56" s="250"/>
      <c r="F56" s="250"/>
      <c r="G56" s="247"/>
      <c r="H56" s="248"/>
      <c r="I56" s="248"/>
      <c r="J56" s="249"/>
      <c r="K56" s="248"/>
      <c r="L56" s="248"/>
      <c r="N56" s="247"/>
      <c r="O56" s="255"/>
      <c r="P56" s="290"/>
      <c r="Q56" s="352"/>
      <c r="R56" s="289"/>
      <c r="S56" s="266"/>
    </row>
    <row r="57" spans="1:19" ht="15.6">
      <c r="A57" s="254"/>
      <c r="C57" s="251"/>
      <c r="D57" s="251"/>
      <c r="E57" s="250"/>
      <c r="F57" s="250"/>
      <c r="G57" s="247"/>
      <c r="H57" s="248"/>
      <c r="I57" s="248"/>
      <c r="J57" s="249"/>
      <c r="K57" s="248"/>
      <c r="L57" s="248"/>
      <c r="N57" s="247"/>
      <c r="O57" s="246"/>
      <c r="P57" s="290"/>
      <c r="Q57" s="352"/>
      <c r="R57" s="289"/>
      <c r="S57" s="266"/>
    </row>
    <row r="58" spans="1:19" ht="15.6">
      <c r="A58" s="344"/>
      <c r="C58" s="251"/>
      <c r="D58" s="251"/>
      <c r="E58" s="250"/>
      <c r="F58" s="250"/>
      <c r="G58" s="247"/>
      <c r="H58" s="248"/>
      <c r="I58" s="248"/>
      <c r="J58" s="249"/>
      <c r="K58" s="248"/>
      <c r="L58" s="248"/>
      <c r="N58" s="247"/>
      <c r="O58" s="246"/>
      <c r="P58" s="290"/>
      <c r="Q58" s="352"/>
      <c r="R58" s="289"/>
      <c r="S58" s="266"/>
    </row>
    <row r="59" spans="1:19">
      <c r="A59" s="341"/>
      <c r="C59" s="248"/>
      <c r="D59" s="248"/>
      <c r="E59" s="248"/>
      <c r="F59" s="248"/>
      <c r="G59" s="247"/>
      <c r="H59" s="248"/>
      <c r="I59" s="248"/>
      <c r="J59" s="248"/>
      <c r="K59" s="248"/>
      <c r="L59" s="248"/>
      <c r="N59" s="247"/>
      <c r="O59" s="247"/>
      <c r="P59" s="266"/>
      <c r="Q59" s="352"/>
      <c r="R59" s="288"/>
      <c r="S59" s="266" t="s">
        <v>67</v>
      </c>
    </row>
    <row r="60" spans="1:19">
      <c r="O60" s="343"/>
    </row>
    <row r="61" spans="1:19">
      <c r="O61" s="343"/>
    </row>
    <row r="63" spans="1:19">
      <c r="A63" s="341"/>
      <c r="C63" s="248"/>
      <c r="D63" s="248"/>
      <c r="E63" s="248"/>
      <c r="F63" s="248"/>
      <c r="G63" s="247"/>
      <c r="H63" s="248"/>
      <c r="I63" s="248"/>
      <c r="J63" s="248"/>
      <c r="K63" s="248"/>
      <c r="L63" s="248"/>
      <c r="N63" s="247"/>
      <c r="O63" s="287" t="s">
        <v>520</v>
      </c>
      <c r="P63" s="266"/>
      <c r="Q63" s="348"/>
      <c r="R63" s="266"/>
      <c r="S63" s="265"/>
    </row>
    <row r="64" spans="1:19" ht="15.6">
      <c r="A64" s="341"/>
      <c r="C64" s="261" t="str">
        <f>C5</f>
        <v>Formula Rate calculation</v>
      </c>
      <c r="D64" s="261"/>
      <c r="E64" s="248"/>
      <c r="F64" s="248"/>
      <c r="G64" s="250" t="str">
        <f>G5</f>
        <v xml:space="preserve">     Rate Formula Template</v>
      </c>
      <c r="H64" s="248"/>
      <c r="I64" s="248"/>
      <c r="J64" s="248"/>
      <c r="K64" s="248"/>
      <c r="L64" s="248"/>
      <c r="N64" s="247"/>
      <c r="O64" s="342" t="str">
        <f>$O$5</f>
        <v>For  the 12 months ended 12/31/2015</v>
      </c>
      <c r="P64" s="266"/>
      <c r="Q64" s="348"/>
      <c r="R64" s="266"/>
      <c r="S64" s="265"/>
    </row>
    <row r="65" spans="1:66" ht="15.6">
      <c r="A65" s="341"/>
      <c r="C65" s="261"/>
      <c r="D65" s="261"/>
      <c r="E65" s="248"/>
      <c r="F65" s="248"/>
      <c r="G65" s="250" t="s">
        <v>497</v>
      </c>
      <c r="H65" s="248"/>
      <c r="I65" s="248"/>
      <c r="J65" s="248"/>
      <c r="K65" s="248"/>
      <c r="L65" s="248"/>
      <c r="M65" s="247"/>
      <c r="N65" s="247"/>
      <c r="O65" s="253"/>
      <c r="P65" s="266"/>
      <c r="Q65" s="348"/>
      <c r="R65" s="266"/>
      <c r="S65" s="265"/>
    </row>
    <row r="66" spans="1:66" ht="14.25" customHeight="1">
      <c r="A66" s="341"/>
      <c r="C66" s="248"/>
      <c r="D66" s="248"/>
      <c r="E66" s="248"/>
      <c r="F66" s="248"/>
      <c r="G66" s="248"/>
      <c r="H66" s="248"/>
      <c r="I66" s="248"/>
      <c r="J66" s="248"/>
      <c r="K66" s="248"/>
      <c r="L66" s="248"/>
      <c r="N66" s="247"/>
      <c r="O66" s="248" t="s">
        <v>363</v>
      </c>
      <c r="P66" s="266"/>
      <c r="Q66" s="348"/>
      <c r="R66" s="266"/>
      <c r="S66" s="265"/>
    </row>
    <row r="67" spans="1:66">
      <c r="A67" s="341"/>
      <c r="E67" s="248"/>
      <c r="F67" s="248"/>
      <c r="G67" s="250" t="str">
        <f>G8</f>
        <v>American Transmission Company LLC</v>
      </c>
      <c r="H67" s="248"/>
      <c r="I67" s="248"/>
      <c r="J67" s="248"/>
      <c r="K67" s="248"/>
      <c r="L67" s="248"/>
      <c r="M67" s="248"/>
      <c r="N67" s="247"/>
      <c r="O67" s="247"/>
      <c r="P67" s="266"/>
      <c r="Q67" s="348"/>
      <c r="R67" s="266"/>
      <c r="S67" s="265"/>
    </row>
    <row r="68" spans="1:66">
      <c r="A68" s="341"/>
      <c r="E68" s="261"/>
      <c r="F68" s="261"/>
      <c r="G68" s="261"/>
      <c r="H68" s="261"/>
      <c r="I68" s="261"/>
      <c r="J68" s="261"/>
      <c r="K68" s="261"/>
      <c r="L68" s="261"/>
      <c r="M68" s="261"/>
      <c r="N68" s="261"/>
      <c r="O68" s="261"/>
      <c r="P68" s="266"/>
      <c r="Q68" s="348"/>
      <c r="R68" s="266"/>
      <c r="S68" s="265"/>
    </row>
    <row r="69" spans="1:66" s="958" customFormat="1" ht="15.6">
      <c r="A69" s="960"/>
      <c r="C69" s="248"/>
      <c r="D69" s="248"/>
      <c r="E69" s="286" t="s">
        <v>362</v>
      </c>
      <c r="F69" s="286"/>
      <c r="G69" s="257"/>
      <c r="H69" s="269"/>
      <c r="I69" s="269"/>
      <c r="J69" s="269"/>
      <c r="K69" s="269"/>
      <c r="L69" s="269"/>
      <c r="M69" s="269"/>
      <c r="N69" s="247"/>
      <c r="O69" s="247"/>
      <c r="P69" s="266"/>
      <c r="Q69" s="267"/>
      <c r="R69" s="266"/>
      <c r="S69" s="265"/>
      <c r="T69" s="256"/>
      <c r="U69" s="256"/>
      <c r="V69" s="256"/>
      <c r="W69" s="256"/>
      <c r="X69" s="256"/>
      <c r="Y69" s="256"/>
      <c r="Z69" s="256"/>
      <c r="AA69" s="256"/>
      <c r="AB69" s="256"/>
      <c r="AC69" s="256"/>
      <c r="AD69" s="256"/>
      <c r="AE69" s="256"/>
      <c r="AF69" s="256"/>
      <c r="AG69" s="256"/>
      <c r="AH69" s="256"/>
      <c r="AI69" s="256"/>
      <c r="AJ69" s="256"/>
      <c r="AK69" s="256"/>
      <c r="AL69" s="256"/>
      <c r="AM69" s="256"/>
      <c r="AN69" s="256"/>
      <c r="AO69" s="256"/>
      <c r="AP69" s="256"/>
      <c r="AQ69" s="256"/>
      <c r="AR69" s="256"/>
      <c r="AS69" s="256"/>
      <c r="AT69" s="256"/>
      <c r="AU69" s="256"/>
      <c r="AV69" s="256"/>
      <c r="AW69" s="256"/>
      <c r="AX69" s="256"/>
      <c r="AY69" s="256"/>
      <c r="AZ69" s="256"/>
      <c r="BA69" s="256"/>
      <c r="BB69" s="256"/>
      <c r="BC69" s="256"/>
      <c r="BD69" s="256"/>
      <c r="BE69" s="256"/>
      <c r="BF69" s="256"/>
      <c r="BG69" s="256"/>
      <c r="BH69" s="256"/>
      <c r="BI69" s="256"/>
      <c r="BJ69" s="256"/>
      <c r="BK69" s="256"/>
      <c r="BL69" s="256"/>
      <c r="BM69" s="256"/>
      <c r="BN69" s="256"/>
    </row>
    <row r="70" spans="1:66" ht="15.6">
      <c r="A70" s="341"/>
      <c r="C70" s="248"/>
      <c r="D70" s="248"/>
      <c r="E70" s="286"/>
      <c r="F70" s="286"/>
      <c r="H70" s="269"/>
      <c r="I70" s="269"/>
      <c r="J70" s="269"/>
      <c r="K70" s="269"/>
      <c r="L70" s="269"/>
      <c r="M70" s="269"/>
      <c r="N70" s="247"/>
      <c r="O70" s="247"/>
      <c r="P70" s="266"/>
      <c r="Q70" s="348"/>
      <c r="R70" s="266"/>
      <c r="S70" s="265"/>
    </row>
    <row r="71" spans="1:66" s="958" customFormat="1" ht="15.6">
      <c r="A71" s="960"/>
      <c r="C71" s="285">
        <v>-1</v>
      </c>
      <c r="D71" s="285">
        <v>-2</v>
      </c>
      <c r="E71" s="285">
        <v>-3</v>
      </c>
      <c r="F71" s="285">
        <v>-4</v>
      </c>
      <c r="G71" s="285">
        <v>-5</v>
      </c>
      <c r="H71" s="285">
        <v>-6</v>
      </c>
      <c r="I71" s="285">
        <v>-7</v>
      </c>
      <c r="J71" s="285">
        <v>-8</v>
      </c>
      <c r="K71" s="285">
        <v>-9</v>
      </c>
      <c r="L71" s="285" t="s">
        <v>519</v>
      </c>
      <c r="M71" s="285">
        <v>-10</v>
      </c>
      <c r="N71" s="285">
        <v>-11</v>
      </c>
      <c r="O71" s="285">
        <v>-12</v>
      </c>
      <c r="P71" s="266"/>
      <c r="Q71" s="267"/>
      <c r="R71" s="266"/>
      <c r="S71" s="265"/>
      <c r="T71" s="256"/>
      <c r="U71" s="256"/>
      <c r="V71" s="256"/>
      <c r="W71" s="256"/>
      <c r="X71" s="256"/>
      <c r="Y71" s="256"/>
      <c r="Z71" s="256"/>
      <c r="AA71" s="256"/>
      <c r="AB71" s="256"/>
      <c r="AC71" s="256"/>
      <c r="AD71" s="256"/>
      <c r="AE71" s="256"/>
      <c r="AF71" s="256"/>
      <c r="AG71" s="256"/>
      <c r="AH71" s="256"/>
      <c r="AI71" s="256"/>
      <c r="AJ71" s="256"/>
      <c r="AK71" s="256"/>
      <c r="AL71" s="256"/>
      <c r="AM71" s="256"/>
      <c r="AN71" s="256"/>
      <c r="AO71" s="256"/>
      <c r="AP71" s="256"/>
      <c r="AQ71" s="256"/>
      <c r="AR71" s="256"/>
      <c r="AS71" s="256"/>
      <c r="AT71" s="256"/>
      <c r="AU71" s="256"/>
      <c r="AV71" s="256"/>
      <c r="AW71" s="256"/>
      <c r="AX71" s="256"/>
      <c r="AY71" s="256"/>
      <c r="AZ71" s="256"/>
      <c r="BA71" s="256"/>
      <c r="BB71" s="256"/>
      <c r="BC71" s="256"/>
      <c r="BD71" s="256"/>
      <c r="BE71" s="256"/>
      <c r="BF71" s="256"/>
      <c r="BG71" s="256"/>
      <c r="BH71" s="256"/>
      <c r="BI71" s="256"/>
      <c r="BJ71" s="256"/>
      <c r="BK71" s="256"/>
      <c r="BL71" s="256"/>
      <c r="BM71" s="256"/>
      <c r="BN71" s="256"/>
    </row>
    <row r="72" spans="1:66" s="958" customFormat="1" ht="62.4">
      <c r="A72" s="284" t="s">
        <v>361</v>
      </c>
      <c r="B72" s="283"/>
      <c r="C72" s="283" t="s">
        <v>360</v>
      </c>
      <c r="D72" s="282" t="s">
        <v>359</v>
      </c>
      <c r="E72" s="280" t="s">
        <v>358</v>
      </c>
      <c r="F72" s="280" t="s">
        <v>10</v>
      </c>
      <c r="G72" s="281" t="s">
        <v>357</v>
      </c>
      <c r="H72" s="280" t="s">
        <v>356</v>
      </c>
      <c r="I72" s="280" t="s">
        <v>9</v>
      </c>
      <c r="J72" s="281" t="s">
        <v>355</v>
      </c>
      <c r="K72" s="280" t="s">
        <v>2</v>
      </c>
      <c r="L72" s="140" t="s">
        <v>489</v>
      </c>
      <c r="M72" s="278" t="s">
        <v>354</v>
      </c>
      <c r="N72" s="279" t="s">
        <v>353</v>
      </c>
      <c r="O72" s="278" t="s">
        <v>352</v>
      </c>
      <c r="P72" s="277"/>
      <c r="Q72" s="267"/>
      <c r="R72" s="266"/>
      <c r="S72" s="265"/>
      <c r="T72" s="256"/>
      <c r="U72" s="256"/>
      <c r="V72" s="256"/>
      <c r="W72" s="256"/>
      <c r="X72" s="256"/>
      <c r="Y72" s="256"/>
      <c r="Z72" s="256"/>
      <c r="AA72" s="256"/>
      <c r="AB72" s="256"/>
      <c r="AC72" s="256"/>
      <c r="AD72" s="256"/>
      <c r="AE72" s="256"/>
      <c r="AF72" s="256"/>
      <c r="AG72" s="256"/>
      <c r="AH72" s="256"/>
      <c r="AI72" s="256"/>
      <c r="AJ72" s="256"/>
      <c r="AK72" s="256"/>
      <c r="AL72" s="256"/>
      <c r="AM72" s="256"/>
      <c r="AN72" s="256"/>
      <c r="AO72" s="256"/>
      <c r="AP72" s="256"/>
      <c r="AQ72" s="256"/>
      <c r="AR72" s="256"/>
      <c r="AS72" s="256"/>
      <c r="AT72" s="256"/>
      <c r="AU72" s="256"/>
      <c r="AV72" s="256"/>
      <c r="AW72" s="256"/>
      <c r="AX72" s="256"/>
      <c r="AY72" s="256"/>
      <c r="AZ72" s="256"/>
      <c r="BA72" s="256"/>
      <c r="BB72" s="256"/>
      <c r="BC72" s="256"/>
      <c r="BD72" s="256"/>
      <c r="BE72" s="256"/>
      <c r="BF72" s="256"/>
      <c r="BG72" s="256"/>
      <c r="BH72" s="256"/>
      <c r="BI72" s="256"/>
      <c r="BJ72" s="256"/>
      <c r="BK72" s="256"/>
      <c r="BL72" s="256"/>
      <c r="BM72" s="256"/>
      <c r="BN72" s="256"/>
    </row>
    <row r="73" spans="1:66" s="958" customFormat="1" ht="46.5" customHeight="1">
      <c r="A73" s="276"/>
      <c r="B73" s="275"/>
      <c r="C73" s="275"/>
      <c r="D73" s="275"/>
      <c r="E73" s="274" t="s">
        <v>318</v>
      </c>
      <c r="F73" s="274" t="s">
        <v>351</v>
      </c>
      <c r="G73" s="273" t="s">
        <v>350</v>
      </c>
      <c r="H73" s="274" t="s">
        <v>316</v>
      </c>
      <c r="I73" s="274" t="s">
        <v>349</v>
      </c>
      <c r="J73" s="273" t="s">
        <v>348</v>
      </c>
      <c r="K73" s="274" t="s">
        <v>294</v>
      </c>
      <c r="L73" s="331" t="s">
        <v>488</v>
      </c>
      <c r="M73" s="340" t="s">
        <v>528</v>
      </c>
      <c r="N73" s="272" t="s">
        <v>347</v>
      </c>
      <c r="O73" s="271" t="s">
        <v>527</v>
      </c>
      <c r="P73" s="266"/>
      <c r="Q73" s="267"/>
      <c r="R73" s="266"/>
      <c r="S73" s="265"/>
      <c r="T73" s="256"/>
      <c r="U73" s="256"/>
      <c r="V73" s="256"/>
      <c r="W73" s="256"/>
      <c r="X73" s="256"/>
      <c r="Y73" s="256"/>
      <c r="Z73" s="256"/>
      <c r="AA73" s="256"/>
      <c r="AB73" s="256"/>
      <c r="AC73" s="256"/>
      <c r="AD73" s="256"/>
      <c r="AE73" s="256"/>
      <c r="AF73" s="256"/>
      <c r="AG73" s="256"/>
      <c r="AH73" s="256"/>
      <c r="AI73" s="256"/>
      <c r="AJ73" s="256"/>
      <c r="AK73" s="256"/>
      <c r="AL73" s="256"/>
      <c r="AM73" s="256"/>
      <c r="AN73" s="256"/>
      <c r="AO73" s="256"/>
      <c r="AP73" s="256"/>
      <c r="AQ73" s="256"/>
      <c r="AR73" s="256"/>
      <c r="AS73" s="256"/>
      <c r="AT73" s="256"/>
      <c r="AU73" s="256"/>
      <c r="AV73" s="256"/>
      <c r="AW73" s="256"/>
      <c r="AX73" s="256"/>
      <c r="AY73" s="256"/>
      <c r="AZ73" s="256"/>
      <c r="BA73" s="256"/>
      <c r="BB73" s="256"/>
      <c r="BC73" s="256"/>
      <c r="BD73" s="256"/>
      <c r="BE73" s="256"/>
      <c r="BF73" s="256"/>
      <c r="BG73" s="256"/>
      <c r="BH73" s="256"/>
      <c r="BI73" s="256"/>
      <c r="BJ73" s="256"/>
      <c r="BK73" s="256"/>
      <c r="BL73" s="256"/>
      <c r="BM73" s="256"/>
      <c r="BN73" s="256"/>
    </row>
    <row r="74" spans="1:66">
      <c r="A74" s="270"/>
      <c r="B74" s="269"/>
      <c r="C74" s="269"/>
      <c r="D74" s="269"/>
      <c r="E74" s="269"/>
      <c r="F74" s="269"/>
      <c r="G74" s="268"/>
      <c r="H74" s="269"/>
      <c r="I74" s="269"/>
      <c r="J74" s="268"/>
      <c r="K74" s="269"/>
      <c r="L74" s="137"/>
      <c r="M74" s="268"/>
      <c r="N74" s="247"/>
      <c r="O74" s="263"/>
      <c r="P74" s="266"/>
      <c r="Q74" s="348"/>
      <c r="R74" s="266"/>
      <c r="S74" s="265"/>
    </row>
    <row r="75" spans="1:66">
      <c r="A75" s="339" t="s">
        <v>234</v>
      </c>
      <c r="B75" s="338"/>
      <c r="C75" s="323" t="s">
        <v>647</v>
      </c>
      <c r="D75" s="243">
        <v>345</v>
      </c>
      <c r="E75" s="321">
        <f>IF(ISNA(HLOOKUP($D75,'GG Support Data'!$C$8:$P$67,17,FALSE)),0,HLOOKUP($D75,'GG Support Data'!$C$8:$P$67,17,FALSE))</f>
        <v>148532350.52461541</v>
      </c>
      <c r="F75" s="324">
        <f t="shared" ref="F75:F91" si="0">$M$35</f>
        <v>3.5066922022385386E-2</v>
      </c>
      <c r="G75" s="241">
        <f t="shared" ref="G75:G91" si="1">E75*F75</f>
        <v>5208572.3536483012</v>
      </c>
      <c r="H75" s="321">
        <f>IF(ISNA(HLOOKUP($D75,'GG Support Data'!$C$8:$P$67,17,FALSE)),0,HLOOKUP($D75,'GG Support Data'!$C$8:$P$67,50,FALSE))</f>
        <v>124008047.58692311</v>
      </c>
      <c r="I75" s="324">
        <f t="shared" ref="I75:I91" si="2">$M$45</f>
        <v>0.10349036209658161</v>
      </c>
      <c r="J75" s="241">
        <f t="shared" ref="J75:J91" si="3">H75*I75</f>
        <v>12833637.747660795</v>
      </c>
      <c r="K75" s="321">
        <f>IF(ISNA(HLOOKUP($D75,'GG Support Data'!$C$8:$P$67,17,FALSE)),0,HLOOKUP($D75,'GG Support Data'!$C$8:$P$67,55,FALSE))</f>
        <v>3846426.6599999992</v>
      </c>
      <c r="L75" s="321">
        <f>IF(ISNA(HLOOKUP($D75,'GG Support Data'!$C$8:$P$67,17,FALSE)),0,HLOOKUP($D75,'GG Support Data'!$C$8:$P$67,60,FALSE))</f>
        <v>0</v>
      </c>
      <c r="M75" s="241">
        <f t="shared" ref="M75:M91" si="4">G75+J75+K75+L75</f>
        <v>21888636.761309098</v>
      </c>
      <c r="N75" s="322">
        <f>'2013 Sch. 26 True-up Adj'!AG48</f>
        <v>-2530683.152738513</v>
      </c>
      <c r="O75" s="241">
        <f t="shared" ref="O75:O91" si="5">M75+N75</f>
        <v>19357953.608570587</v>
      </c>
      <c r="P75" s="245"/>
      <c r="Q75" s="242"/>
      <c r="R75" s="245"/>
      <c r="S75" s="245"/>
      <c r="T75" s="245"/>
      <c r="U75" s="245"/>
      <c r="V75" s="245"/>
    </row>
    <row r="76" spans="1:66">
      <c r="A76" s="339" t="s">
        <v>648</v>
      </c>
      <c r="B76" s="338"/>
      <c r="C76" s="323" t="s">
        <v>649</v>
      </c>
      <c r="D76" s="243">
        <v>1453</v>
      </c>
      <c r="E76" s="321">
        <f>IF(ISNA(HLOOKUP($D76,'GG Support Data'!$C$8:$P$67,17,FALSE)),0,HLOOKUP($D76,'GG Support Data'!$C$8:$P$67,17,FALSE))</f>
        <v>8751971.6800000034</v>
      </c>
      <c r="F76" s="324">
        <f t="shared" si="0"/>
        <v>3.5066922022385386E-2</v>
      </c>
      <c r="G76" s="241">
        <f t="shared" si="1"/>
        <v>306904.70844468533</v>
      </c>
      <c r="H76" s="321">
        <f>IF(ISNA(HLOOKUP($D76,'GG Support Data'!$C$8:$P$67,17,FALSE)),0,HLOOKUP($D76,'GG Support Data'!$C$8:$P$67,50,FALSE))</f>
        <v>7060547.2369999988</v>
      </c>
      <c r="I76" s="324">
        <f t="shared" si="2"/>
        <v>0.10349036209658161</v>
      </c>
      <c r="J76" s="241">
        <f t="shared" si="3"/>
        <v>730698.59015714866</v>
      </c>
      <c r="K76" s="321">
        <f>IF(ISNA(HLOOKUP($D76,'GG Support Data'!$C$8:$P$67,17,FALSE)),0,HLOOKUP($D76,'GG Support Data'!$C$8:$P$67,55,FALSE))</f>
        <v>251596.08</v>
      </c>
      <c r="L76" s="321">
        <f>IF(ISNA(HLOOKUP($D76,'GG Support Data'!$C$8:$P$67,17,FALSE)),0,HLOOKUP($D76,'GG Support Data'!$C$8:$P$67,60,FALSE))</f>
        <v>0</v>
      </c>
      <c r="M76" s="241">
        <f t="shared" si="4"/>
        <v>1289199.3786018339</v>
      </c>
      <c r="N76" s="322">
        <f>'2013 Sch. 26 True-up Adj'!AG49</f>
        <v>-131038.55629381316</v>
      </c>
      <c r="O76" s="241">
        <f t="shared" si="5"/>
        <v>1158160.8223080207</v>
      </c>
      <c r="P76" s="245"/>
      <c r="Q76" s="242"/>
      <c r="R76" s="245"/>
      <c r="S76" s="245"/>
      <c r="T76" s="245"/>
      <c r="U76" s="245"/>
      <c r="V76" s="245"/>
    </row>
    <row r="77" spans="1:66">
      <c r="A77" s="339" t="s">
        <v>650</v>
      </c>
      <c r="B77" s="338"/>
      <c r="C77" s="323" t="s">
        <v>651</v>
      </c>
      <c r="D77" s="243">
        <v>352</v>
      </c>
      <c r="E77" s="321">
        <f>IF(ISNA(HLOOKUP($D77,'GG Support Data'!$C$8:$P$67,17,FALSE)),0,HLOOKUP($D77,'GG Support Data'!$C$8:$P$67,17,FALSE))</f>
        <v>88240520.335384607</v>
      </c>
      <c r="F77" s="324">
        <f t="shared" si="0"/>
        <v>3.5066922022385386E-2</v>
      </c>
      <c r="G77" s="241">
        <f t="shared" si="1"/>
        <v>3094323.4458156438</v>
      </c>
      <c r="H77" s="321">
        <f>IF(ISNA(HLOOKUP($D77,'GG Support Data'!$C$8:$P$67,17,FALSE)),0,HLOOKUP($D77,'GG Support Data'!$C$8:$P$67,50,FALSE))</f>
        <v>74247686.533076912</v>
      </c>
      <c r="I77" s="324">
        <f t="shared" si="2"/>
        <v>0.10349036209658161</v>
      </c>
      <c r="J77" s="241">
        <f t="shared" si="3"/>
        <v>7683919.9641416157</v>
      </c>
      <c r="K77" s="321">
        <f>IF(ISNA(HLOOKUP($D77,'GG Support Data'!$C$8:$P$67,17,FALSE)),0,HLOOKUP($D77,'GG Support Data'!$C$8:$P$67,55,FALSE))</f>
        <v>2270425.0999999996</v>
      </c>
      <c r="L77" s="321">
        <f>IF(ISNA(HLOOKUP($D77,'GG Support Data'!$C$8:$P$67,17,FALSE)),0,HLOOKUP($D77,'GG Support Data'!$C$8:$P$67,60,FALSE))</f>
        <v>0</v>
      </c>
      <c r="M77" s="241">
        <f t="shared" si="4"/>
        <v>13048668.50995726</v>
      </c>
      <c r="N77" s="322">
        <f>'2013 Sch. 26 True-up Adj'!AG50</f>
        <v>-1645211.8513722064</v>
      </c>
      <c r="O77" s="241">
        <f t="shared" si="5"/>
        <v>11403456.658585053</v>
      </c>
      <c r="P77" s="245"/>
      <c r="Q77" s="242"/>
      <c r="R77" s="245"/>
      <c r="S77" s="245"/>
      <c r="T77" s="245"/>
      <c r="U77" s="245"/>
      <c r="V77" s="245"/>
    </row>
    <row r="78" spans="1:66">
      <c r="A78" s="339" t="s">
        <v>652</v>
      </c>
      <c r="B78" s="338"/>
      <c r="C78" s="323" t="s">
        <v>653</v>
      </c>
      <c r="D78" s="243">
        <v>356</v>
      </c>
      <c r="E78" s="321">
        <f>IF(ISNA(HLOOKUP($D78,'GG Support Data'!$C$8:$P$67,17,FALSE)),0,HLOOKUP($D78,'GG Support Data'!$C$8:$P$67,17,FALSE))</f>
        <v>141168441.07615387</v>
      </c>
      <c r="F78" s="324">
        <f t="shared" si="0"/>
        <v>3.5066922022385386E-2</v>
      </c>
      <c r="G78" s="241">
        <f t="shared" si="1"/>
        <v>4950342.7152391942</v>
      </c>
      <c r="H78" s="321">
        <f>IF(ISNA(HLOOKUP($D78,'GG Support Data'!$C$8:$P$67,17,FALSE)),0,HLOOKUP($D78,'GG Support Data'!$C$8:$P$67,50,FALSE))</f>
        <v>132557401.7453846</v>
      </c>
      <c r="I78" s="324">
        <f t="shared" si="2"/>
        <v>0.10349036209658161</v>
      </c>
      <c r="J78" s="241">
        <f t="shared" si="3"/>
        <v>13718413.505211892</v>
      </c>
      <c r="K78" s="321">
        <f>IF(ISNA(HLOOKUP($D78,'GG Support Data'!$C$8:$P$67,17,FALSE)),0,HLOOKUP($D78,'GG Support Data'!$C$8:$P$67,55,FALSE))</f>
        <v>3383197.01</v>
      </c>
      <c r="L78" s="321">
        <f>IF(ISNA(HLOOKUP($D78,'GG Support Data'!$C$8:$P$67,17,FALSE)),0,HLOOKUP($D78,'GG Support Data'!$C$8:$P$67,60,FALSE))</f>
        <v>0</v>
      </c>
      <c r="M78" s="241">
        <f t="shared" si="4"/>
        <v>22051953.230451085</v>
      </c>
      <c r="N78" s="322">
        <f>'2013 Sch. 26 True-up Adj'!AG51</f>
        <v>-2233325.0813411889</v>
      </c>
      <c r="O78" s="241">
        <f t="shared" si="5"/>
        <v>19818628.149109896</v>
      </c>
      <c r="P78" s="245"/>
      <c r="Q78" s="242"/>
      <c r="R78" s="245"/>
      <c r="S78" s="245"/>
      <c r="T78" s="245"/>
      <c r="U78" s="245"/>
      <c r="V78" s="245"/>
    </row>
    <row r="79" spans="1:66">
      <c r="A79" s="339" t="s">
        <v>654</v>
      </c>
      <c r="B79" s="338"/>
      <c r="C79" s="323" t="s">
        <v>655</v>
      </c>
      <c r="D79" s="243">
        <v>1616</v>
      </c>
      <c r="E79" s="321">
        <f>IF(ISNA(HLOOKUP($D79,'GG Support Data'!$C$8:$P$67,17,FALSE)),0,HLOOKUP($D79,'GG Support Data'!$C$8:$P$67,17,FALSE))</f>
        <v>1379725.8599999999</v>
      </c>
      <c r="F79" s="324">
        <f t="shared" si="0"/>
        <v>3.5066922022385386E-2</v>
      </c>
      <c r="G79" s="241">
        <f t="shared" si="1"/>
        <v>48382.739144888612</v>
      </c>
      <c r="H79" s="321">
        <f>IF(ISNA(HLOOKUP($D79,'GG Support Data'!$C$8:$P$67,17,FALSE)),0,HLOOKUP($D79,'GG Support Data'!$C$8:$P$67,50,FALSE))</f>
        <v>1123169.0900000003</v>
      </c>
      <c r="I79" s="324">
        <f t="shared" si="2"/>
        <v>0.10349036209658161</v>
      </c>
      <c r="J79" s="241">
        <f t="shared" si="3"/>
        <v>116237.17581978808</v>
      </c>
      <c r="K79" s="321">
        <f>IF(ISNA(HLOOKUP($D79,'GG Support Data'!$C$8:$P$67,17,FALSE)),0,HLOOKUP($D79,'GG Support Data'!$C$8:$P$67,55,FALSE))</f>
        <v>38146.32</v>
      </c>
      <c r="L79" s="321">
        <f>IF(ISNA(HLOOKUP($D79,'GG Support Data'!$C$8:$P$67,17,FALSE)),0,HLOOKUP($D79,'GG Support Data'!$C$8:$P$67,60,FALSE))</f>
        <v>0</v>
      </c>
      <c r="M79" s="241">
        <f t="shared" si="4"/>
        <v>202766.2349646767</v>
      </c>
      <c r="N79" s="322">
        <f>'2013 Sch. 26 True-up Adj'!AG54</f>
        <v>14967.07219962323</v>
      </c>
      <c r="O79" s="241">
        <f t="shared" si="5"/>
        <v>217733.30716429991</v>
      </c>
      <c r="P79" s="245"/>
      <c r="Q79" s="242"/>
      <c r="R79" s="245"/>
      <c r="S79" s="245"/>
      <c r="T79" s="245"/>
      <c r="U79" s="245"/>
      <c r="V79" s="245"/>
    </row>
    <row r="80" spans="1:66">
      <c r="A80" s="339" t="s">
        <v>656</v>
      </c>
      <c r="B80" s="338"/>
      <c r="C80" s="323" t="s">
        <v>657</v>
      </c>
      <c r="D80" s="243" t="s">
        <v>471</v>
      </c>
      <c r="E80" s="321">
        <f>IF(ISNA(HLOOKUP($D80,'GG Support Data'!$C$8:$P$67,17,FALSE)),0,HLOOKUP($D80,'GG Support Data'!$C$8:$P$67,17,FALSE))</f>
        <v>2142395.2669230769</v>
      </c>
      <c r="F80" s="324">
        <f t="shared" si="0"/>
        <v>3.5066922022385386E-2</v>
      </c>
      <c r="G80" s="241">
        <f t="shared" si="1"/>
        <v>75127.207766319058</v>
      </c>
      <c r="H80" s="321">
        <f>IF(ISNA(HLOOKUP($D80,'GG Support Data'!$C$8:$P$67,17,FALSE)),0,HLOOKUP($D80,'GG Support Data'!$C$8:$P$67,50,FALSE))</f>
        <v>1947900.4384615386</v>
      </c>
      <c r="I80" s="324">
        <f t="shared" si="2"/>
        <v>0.10349036209658161</v>
      </c>
      <c r="J80" s="241">
        <f t="shared" si="3"/>
        <v>201588.92170447472</v>
      </c>
      <c r="K80" s="321">
        <f>IF(ISNA(HLOOKUP($D80,'GG Support Data'!$C$8:$P$67,17,FALSE)),0,HLOOKUP($D80,'GG Support Data'!$C$8:$P$67,55,FALSE))</f>
        <v>59421.469999999994</v>
      </c>
      <c r="L80" s="321">
        <f>IF(ISNA(HLOOKUP($D80,'GG Support Data'!$C$8:$P$67,17,FALSE)),0,HLOOKUP($D80,'GG Support Data'!$C$8:$P$67,60,FALSE))</f>
        <v>0</v>
      </c>
      <c r="M80" s="241">
        <f t="shared" si="4"/>
        <v>336137.59947079374</v>
      </c>
      <c r="N80" s="322">
        <f>'2013 Sch. 26 True-up Adj'!AG55</f>
        <v>22959.967074541357</v>
      </c>
      <c r="O80" s="241">
        <f t="shared" si="5"/>
        <v>359097.56654533511</v>
      </c>
      <c r="P80" s="245"/>
      <c r="Q80" s="242"/>
      <c r="R80" s="245"/>
      <c r="S80" s="245"/>
      <c r="T80" s="245"/>
      <c r="U80" s="245"/>
      <c r="V80" s="245"/>
    </row>
    <row r="81" spans="1:22">
      <c r="A81" s="339" t="s">
        <v>658</v>
      </c>
      <c r="B81" s="338"/>
      <c r="C81" s="323" t="s">
        <v>659</v>
      </c>
      <c r="D81" s="243">
        <v>1950</v>
      </c>
      <c r="E81" s="321">
        <f>IF(ISNA(HLOOKUP($D81,'GG Support Data'!$C$8:$P$67,17,FALSE)),0,HLOOKUP($D81,'GG Support Data'!$C$8:$P$67,17,FALSE))</f>
        <v>15402302.789999994</v>
      </c>
      <c r="F81" s="324">
        <f t="shared" si="0"/>
        <v>3.5066922022385386E-2</v>
      </c>
      <c r="G81" s="241">
        <f t="shared" si="1"/>
        <v>540111.3509020987</v>
      </c>
      <c r="H81" s="321">
        <f>IF(ISNA(HLOOKUP($D81,'GG Support Data'!$C$8:$P$67,17,FALSE)),0,HLOOKUP($D81,'GG Support Data'!$C$8:$P$67,50,FALSE))</f>
        <v>13602550.099999998</v>
      </c>
      <c r="I81" s="324">
        <f t="shared" si="2"/>
        <v>0.10349036209658161</v>
      </c>
      <c r="J81" s="241">
        <f t="shared" si="3"/>
        <v>1407732.835285892</v>
      </c>
      <c r="K81" s="321">
        <f>IF(ISNA(HLOOKUP($D81,'GG Support Data'!$C$8:$P$67,17,FALSE)),0,HLOOKUP($D81,'GG Support Data'!$C$8:$P$67,55,FALSE))</f>
        <v>456122.52000000008</v>
      </c>
      <c r="L81" s="321">
        <f>IF(ISNA(HLOOKUP($D81,'GG Support Data'!$C$8:$P$67,17,FALSE)),0,HLOOKUP($D81,'GG Support Data'!$C$8:$P$67,60,FALSE))</f>
        <v>0</v>
      </c>
      <c r="M81" s="241">
        <f t="shared" si="4"/>
        <v>2403966.706187991</v>
      </c>
      <c r="N81" s="322">
        <f>'2013 Sch. 26 True-up Adj'!AG59</f>
        <v>-249950.26109230024</v>
      </c>
      <c r="O81" s="241">
        <f t="shared" si="5"/>
        <v>2154016.4450956909</v>
      </c>
      <c r="P81" s="245"/>
      <c r="Q81" s="242"/>
      <c r="R81" s="245"/>
      <c r="S81" s="245"/>
      <c r="T81" s="245"/>
      <c r="U81" s="245"/>
      <c r="V81" s="245"/>
    </row>
    <row r="82" spans="1:22">
      <c r="A82" s="339" t="s">
        <v>660</v>
      </c>
      <c r="B82" s="338"/>
      <c r="C82" s="323" t="s">
        <v>661</v>
      </c>
      <c r="D82" s="243">
        <v>2846</v>
      </c>
      <c r="E82" s="321">
        <f>IF(ISNA(HLOOKUP($D82,'GG Support Data'!$C$8:$P$67,17,FALSE)),0,HLOOKUP($D82,'GG Support Data'!$C$8:$P$67,17,FALSE))</f>
        <v>123396231.59384616</v>
      </c>
      <c r="F82" s="324">
        <f t="shared" si="0"/>
        <v>3.5066922022385386E-2</v>
      </c>
      <c r="G82" s="241">
        <f t="shared" si="1"/>
        <v>4327126.0311576109</v>
      </c>
      <c r="H82" s="321">
        <f>IF(ISNA(HLOOKUP($D82,'GG Support Data'!$C$8:$P$67,17,FALSE)),0,HLOOKUP($D82,'GG Support Data'!$C$8:$P$67,50,FALSE))</f>
        <v>119885424.95000002</v>
      </c>
      <c r="I82" s="324">
        <f t="shared" si="2"/>
        <v>0.10349036209658161</v>
      </c>
      <c r="J82" s="241">
        <f t="shared" si="3"/>
        <v>12406986.03817806</v>
      </c>
      <c r="K82" s="321">
        <f>IF(ISNA(HLOOKUP($D82,'GG Support Data'!$C$8:$P$67,17,FALSE)),0,HLOOKUP($D82,'GG Support Data'!$C$8:$P$67,55,FALSE))</f>
        <v>3443402.71</v>
      </c>
      <c r="L82" s="321">
        <f>IF(ISNA(HLOOKUP($D82,'GG Support Data'!$C$8:$P$67,17,FALSE)),0,HLOOKUP($D82,'GG Support Data'!$C$8:$P$67,60,FALSE))</f>
        <v>0</v>
      </c>
      <c r="M82" s="241">
        <f t="shared" si="4"/>
        <v>20177514.77933567</v>
      </c>
      <c r="N82" s="322">
        <f>'2013 Sch. 26 True-up Adj'!AG61</f>
        <v>-1523364.9980830378</v>
      </c>
      <c r="O82" s="241">
        <f t="shared" si="5"/>
        <v>18654149.781252634</v>
      </c>
      <c r="P82" s="245"/>
      <c r="Q82" s="242"/>
      <c r="R82" s="245"/>
      <c r="S82" s="245"/>
      <c r="T82" s="245"/>
      <c r="U82" s="245"/>
      <c r="V82" s="245"/>
    </row>
    <row r="83" spans="1:22">
      <c r="A83" s="339" t="s">
        <v>662</v>
      </c>
      <c r="B83" s="338"/>
      <c r="C83" s="323" t="s">
        <v>663</v>
      </c>
      <c r="D83" s="243">
        <v>2837</v>
      </c>
      <c r="E83" s="321">
        <f>IF(ISNA(HLOOKUP($D83,'GG Support Data'!$C$8:$P$67,17,FALSE)),0,HLOOKUP($D83,'GG Support Data'!$C$8:$P$67,17,FALSE))</f>
        <v>626602.79500000004</v>
      </c>
      <c r="F83" s="324">
        <f t="shared" si="0"/>
        <v>3.5066922022385386E-2</v>
      </c>
      <c r="G83" s="241">
        <f t="shared" si="1"/>
        <v>21973.031351273738</v>
      </c>
      <c r="H83" s="321">
        <f>IF(ISNA(HLOOKUP($D83,'GG Support Data'!$C$8:$P$67,17,FALSE)),0,HLOOKUP($D83,'GG Support Data'!$C$8:$P$67,50,FALSE))</f>
        <v>564590.13192307693</v>
      </c>
      <c r="I83" s="324">
        <f t="shared" si="2"/>
        <v>0.10349036209658161</v>
      </c>
      <c r="J83" s="241">
        <f t="shared" si="3"/>
        <v>58429.637188876011</v>
      </c>
      <c r="K83" s="321">
        <f>IF(ISNA(HLOOKUP($D83,'GG Support Data'!$C$8:$P$67,17,FALSE)),0,HLOOKUP($D83,'GG Support Data'!$C$8:$P$67,55,FALSE))</f>
        <v>18278.939999999995</v>
      </c>
      <c r="L83" s="321">
        <f>IF(ISNA(HLOOKUP($D83,'GG Support Data'!$C$8:$P$67,17,FALSE)),0,HLOOKUP($D83,'GG Support Data'!$C$8:$P$67,60,FALSE))</f>
        <v>0</v>
      </c>
      <c r="M83" s="241">
        <f t="shared" si="4"/>
        <v>98681.608540149755</v>
      </c>
      <c r="N83" s="322">
        <f>'2013 Sch. 26 True-up Adj'!AG57</f>
        <v>8061.0651298759658</v>
      </c>
      <c r="O83" s="241">
        <f t="shared" si="5"/>
        <v>106742.67367002572</v>
      </c>
      <c r="P83" s="245"/>
      <c r="Q83" s="242"/>
      <c r="R83" s="245"/>
      <c r="S83" s="245"/>
      <c r="T83" s="245"/>
      <c r="U83" s="245"/>
      <c r="V83" s="245"/>
    </row>
    <row r="84" spans="1:22">
      <c r="A84" s="339" t="s">
        <v>664</v>
      </c>
      <c r="B84" s="338"/>
      <c r="C84" s="323" t="s">
        <v>665</v>
      </c>
      <c r="D84" s="243">
        <v>2793</v>
      </c>
      <c r="E84" s="321">
        <f>IF(ISNA(HLOOKUP($D84,'GG Support Data'!$C$8:$P$67,17,FALSE)),0,HLOOKUP($D84,'GG Support Data'!$C$8:$P$67,17,FALSE))</f>
        <v>405929.96499999991</v>
      </c>
      <c r="F84" s="324">
        <f t="shared" si="0"/>
        <v>3.5066922022385386E-2</v>
      </c>
      <c r="G84" s="241">
        <f t="shared" si="1"/>
        <v>14234.714429204625</v>
      </c>
      <c r="H84" s="321">
        <f>IF(ISNA(HLOOKUP($D84,'GG Support Data'!$C$8:$P$67,17,FALSE)),0,HLOOKUP($D84,'GG Support Data'!$C$8:$P$67,50,FALSE))</f>
        <v>359288.99346153846</v>
      </c>
      <c r="I84" s="324">
        <f t="shared" si="2"/>
        <v>0.10349036209658161</v>
      </c>
      <c r="J84" s="241">
        <f t="shared" si="3"/>
        <v>37182.948030650958</v>
      </c>
      <c r="K84" s="321">
        <f>IF(ISNA(HLOOKUP($D84,'GG Support Data'!$C$8:$P$67,17,FALSE)),0,HLOOKUP($D84,'GG Support Data'!$C$8:$P$67,55,FALSE))</f>
        <v>17698.560000000005</v>
      </c>
      <c r="L84" s="321">
        <f>IF(ISNA(HLOOKUP($D84,'GG Support Data'!$C$8:$P$67,17,FALSE)),0,HLOOKUP($D84,'GG Support Data'!$C$8:$P$67,60,FALSE))</f>
        <v>0</v>
      </c>
      <c r="M84" s="241">
        <f t="shared" si="4"/>
        <v>69116.222459855577</v>
      </c>
      <c r="N84" s="322">
        <f>'2013 Sch. 26 True-up Adj'!AG58</f>
        <v>17891.213386215441</v>
      </c>
      <c r="O84" s="241">
        <f t="shared" si="5"/>
        <v>87007.435846071021</v>
      </c>
      <c r="P84" s="245"/>
      <c r="Q84" s="242"/>
      <c r="R84" s="245"/>
      <c r="S84" s="245"/>
      <c r="T84" s="245"/>
      <c r="U84" s="245"/>
      <c r="V84" s="245"/>
    </row>
    <row r="85" spans="1:22">
      <c r="A85" s="339" t="s">
        <v>666</v>
      </c>
      <c r="B85" s="338"/>
      <c r="C85" s="323" t="s">
        <v>667</v>
      </c>
      <c r="D85" s="243">
        <v>1270</v>
      </c>
      <c r="E85" s="321">
        <f>IF(ISNA(HLOOKUP($D85,'GG Support Data'!$C$8:$P$67,17,FALSE)),0,HLOOKUP($D85,'GG Support Data'!$C$8:$P$67,17,FALSE))</f>
        <v>0</v>
      </c>
      <c r="F85" s="324">
        <f t="shared" si="0"/>
        <v>3.5066922022385386E-2</v>
      </c>
      <c r="G85" s="241">
        <f t="shared" si="1"/>
        <v>0</v>
      </c>
      <c r="H85" s="321">
        <f>IF(ISNA(HLOOKUP($D85,'GG Support Data'!$C$8:$P$67,17,FALSE)),0,HLOOKUP($D85,'GG Support Data'!$C$8:$P$67,50,FALSE))</f>
        <v>0</v>
      </c>
      <c r="I85" s="324">
        <f t="shared" si="2"/>
        <v>0.10349036209658161</v>
      </c>
      <c r="J85" s="241">
        <f t="shared" si="3"/>
        <v>0</v>
      </c>
      <c r="K85" s="321">
        <f>IF(ISNA(HLOOKUP($D85,'GG Support Data'!$C$8:$P$67,17,FALSE)),0,HLOOKUP($D85,'GG Support Data'!$C$8:$P$67,55,FALSE))</f>
        <v>0</v>
      </c>
      <c r="L85" s="321">
        <f>IF(ISNA(HLOOKUP($D85,'GG Support Data'!$C$8:$P$67,17,FALSE)),0,HLOOKUP($D85,'GG Support Data'!$C$8:$P$67,60,FALSE))</f>
        <v>0</v>
      </c>
      <c r="M85" s="241">
        <f t="shared" si="4"/>
        <v>0</v>
      </c>
      <c r="N85" s="322">
        <f>'2013 Sch. 26 True-up Adj'!AG62</f>
        <v>405163.37774375913</v>
      </c>
      <c r="O85" s="241">
        <f t="shared" si="5"/>
        <v>405163.37774375913</v>
      </c>
      <c r="P85" s="245"/>
      <c r="Q85" s="242"/>
      <c r="R85" s="245"/>
      <c r="S85" s="245"/>
      <c r="T85" s="245"/>
      <c r="U85" s="245"/>
      <c r="V85" s="245"/>
    </row>
    <row r="86" spans="1:22">
      <c r="A86" s="339" t="s">
        <v>668</v>
      </c>
      <c r="B86" s="338"/>
      <c r="C86" s="323" t="s">
        <v>669</v>
      </c>
      <c r="D86" s="243">
        <v>3125</v>
      </c>
      <c r="E86" s="321">
        <f>IF(ISNA(HLOOKUP($D86,'GG Support Data'!$C$8:$P$67,17,FALSE)),0,HLOOKUP($D86,'GG Support Data'!$C$8:$P$67,17,FALSE))</f>
        <v>25315307.480000004</v>
      </c>
      <c r="F86" s="324">
        <f t="shared" si="0"/>
        <v>3.5066922022385386E-2</v>
      </c>
      <c r="G86" s="241">
        <f t="shared" si="1"/>
        <v>887729.91337386961</v>
      </c>
      <c r="H86" s="321">
        <f>IF(ISNA(HLOOKUP($D86,'GG Support Data'!$C$8:$P$67,17,FALSE)),0,HLOOKUP($D86,'GG Support Data'!$C$8:$P$67,50,FALSE))</f>
        <v>25212119.550000004</v>
      </c>
      <c r="I86" s="324">
        <f t="shared" si="2"/>
        <v>0.10349036209658161</v>
      </c>
      <c r="J86" s="241">
        <f t="shared" si="3"/>
        <v>2609211.3814518047</v>
      </c>
      <c r="K86" s="321">
        <f>IF(ISNA(HLOOKUP($D86,'GG Support Data'!$C$8:$P$67,17,FALSE)),0,HLOOKUP($D86,'GG Support Data'!$C$8:$P$67,55,FALSE))</f>
        <v>369322.46</v>
      </c>
      <c r="L86" s="321">
        <f>IF(ISNA(HLOOKUP($D86,'GG Support Data'!$C$8:$P$67,17,FALSE)),0,HLOOKUP($D86,'GG Support Data'!$C$8:$P$67,60,FALSE))</f>
        <v>0</v>
      </c>
      <c r="M86" s="241">
        <f t="shared" si="4"/>
        <v>3866263.754825674</v>
      </c>
      <c r="N86" s="322">
        <f>'2013 Sch. 26 True-up Adj'!AG63</f>
        <v>200454.93433064467</v>
      </c>
      <c r="O86" s="241">
        <f t="shared" si="5"/>
        <v>4066718.6891563185</v>
      </c>
      <c r="P86" s="245"/>
      <c r="Q86" s="242"/>
      <c r="R86" s="245"/>
      <c r="S86" s="245"/>
      <c r="T86" s="245"/>
      <c r="U86" s="245"/>
      <c r="V86" s="245"/>
    </row>
    <row r="87" spans="1:22">
      <c r="A87" s="339" t="s">
        <v>670</v>
      </c>
      <c r="B87" s="338"/>
      <c r="C87" s="323" t="s">
        <v>671</v>
      </c>
      <c r="D87" s="243">
        <v>3206</v>
      </c>
      <c r="E87" s="321">
        <f>IF(ISNA(HLOOKUP($D87,'GG Support Data'!$C$8:$P$67,17,FALSE)),0,HLOOKUP($D87,'GG Support Data'!$C$8:$P$67,17,FALSE))</f>
        <v>89387.142307692309</v>
      </c>
      <c r="F87" s="324">
        <f t="shared" si="0"/>
        <v>3.5066922022385386E-2</v>
      </c>
      <c r="G87" s="241">
        <f t="shared" si="1"/>
        <v>3134.5319491077121</v>
      </c>
      <c r="H87" s="321">
        <f>IF(ISNA(HLOOKUP($D87,'GG Support Data'!$C$8:$P$67,17,FALSE)),0,HLOOKUP($D87,'GG Support Data'!$C$8:$P$67,50,FALSE))</f>
        <v>89387.142307692309</v>
      </c>
      <c r="I87" s="324">
        <f t="shared" si="2"/>
        <v>0.10349036209658161</v>
      </c>
      <c r="J87" s="241">
        <f t="shared" si="3"/>
        <v>9250.7077242017458</v>
      </c>
      <c r="K87" s="321">
        <f>IF(ISNA(HLOOKUP($D87,'GG Support Data'!$C$8:$P$67,17,FALSE)),0,HLOOKUP($D87,'GG Support Data'!$C$8:$P$67,55,FALSE))</f>
        <v>0</v>
      </c>
      <c r="L87" s="321">
        <f>IF(ISNA(HLOOKUP($D87,'GG Support Data'!$C$8:$P$67,17,FALSE)),0,HLOOKUP($D87,'GG Support Data'!$C$8:$P$67,60,FALSE))</f>
        <v>227669.16</v>
      </c>
      <c r="M87" s="241">
        <f t="shared" si="4"/>
        <v>240054.39967330947</v>
      </c>
      <c r="N87" s="322">
        <f>'2013 Sch. 26 True-up Adj'!AG60</f>
        <v>21416.863728256838</v>
      </c>
      <c r="O87" s="241">
        <f t="shared" si="5"/>
        <v>261471.26340156631</v>
      </c>
      <c r="P87" s="245"/>
      <c r="Q87" s="242"/>
      <c r="R87" s="245"/>
      <c r="S87" s="245"/>
      <c r="T87" s="245"/>
      <c r="U87" s="245"/>
      <c r="V87" s="245"/>
    </row>
    <row r="88" spans="1:22" ht="30">
      <c r="A88" s="339" t="s">
        <v>672</v>
      </c>
      <c r="B88" s="338"/>
      <c r="C88" s="323" t="s">
        <v>673</v>
      </c>
      <c r="D88" s="243">
        <v>3679</v>
      </c>
      <c r="E88" s="321">
        <f>IF(ISNA(HLOOKUP($D88,'GG Support Data'!$C$8:$P$67,17,FALSE)),0,HLOOKUP($D88,'GG Support Data'!$C$8:$P$67,17,FALSE))</f>
        <v>40200488.946576923</v>
      </c>
      <c r="F88" s="324">
        <f t="shared" si="0"/>
        <v>3.5066922022385386E-2</v>
      </c>
      <c r="G88" s="241">
        <f t="shared" si="1"/>
        <v>1409707.4111513786</v>
      </c>
      <c r="H88" s="321">
        <f>IF(ISNA(HLOOKUP($D88,'GG Support Data'!$C$8:$P$67,17,FALSE)),0,HLOOKUP($D88,'GG Support Data'!$C$8:$P$67,50,FALSE))</f>
        <v>40200488.946576923</v>
      </c>
      <c r="I88" s="324">
        <f t="shared" si="2"/>
        <v>0.10349036209658161</v>
      </c>
      <c r="J88" s="241">
        <f t="shared" si="3"/>
        <v>4160363.1575408722</v>
      </c>
      <c r="K88" s="321">
        <f>IF(ISNA(HLOOKUP($D88,'GG Support Data'!$C$8:$P$67,17,FALSE)),0,HLOOKUP($D88,'GG Support Data'!$C$8:$P$67,55,FALSE))</f>
        <v>0</v>
      </c>
      <c r="L88" s="321">
        <f>IF(ISNA(HLOOKUP($D88,'GG Support Data'!$C$8:$P$67,17,FALSE)),0,HLOOKUP($D88,'GG Support Data'!$C$8:$P$67,60,FALSE))</f>
        <v>1040274.3036</v>
      </c>
      <c r="M88" s="241">
        <f t="shared" si="4"/>
        <v>6610344.8722922513</v>
      </c>
      <c r="N88" s="322">
        <f>'2013 Sch. 26 True-up Adj'!AG64</f>
        <v>8342693.3409339553</v>
      </c>
      <c r="O88" s="241">
        <f t="shared" si="5"/>
        <v>14953038.213226207</v>
      </c>
      <c r="P88" s="245"/>
      <c r="Q88" s="242"/>
      <c r="R88" s="245"/>
      <c r="S88" s="245"/>
      <c r="T88" s="245"/>
      <c r="U88" s="245"/>
      <c r="V88" s="245"/>
    </row>
    <row r="89" spans="1:22">
      <c r="A89" s="339"/>
      <c r="B89" s="338"/>
      <c r="C89" s="323"/>
      <c r="D89" s="243"/>
      <c r="E89" s="321">
        <v>0</v>
      </c>
      <c r="F89" s="324">
        <f t="shared" si="0"/>
        <v>3.5066922022385386E-2</v>
      </c>
      <c r="G89" s="241">
        <f t="shared" si="1"/>
        <v>0</v>
      </c>
      <c r="H89" s="321">
        <v>0</v>
      </c>
      <c r="I89" s="324">
        <f t="shared" si="2"/>
        <v>0.10349036209658161</v>
      </c>
      <c r="J89" s="241">
        <f t="shared" si="3"/>
        <v>0</v>
      </c>
      <c r="K89" s="321">
        <v>0</v>
      </c>
      <c r="L89" s="321">
        <v>0</v>
      </c>
      <c r="M89" s="241">
        <f t="shared" si="4"/>
        <v>0</v>
      </c>
      <c r="N89" s="322">
        <v>0</v>
      </c>
      <c r="O89" s="241">
        <f t="shared" si="5"/>
        <v>0</v>
      </c>
      <c r="P89" s="245"/>
      <c r="Q89" s="242"/>
      <c r="R89" s="245"/>
      <c r="S89" s="245"/>
      <c r="T89" s="245"/>
      <c r="U89" s="245"/>
      <c r="V89" s="245"/>
    </row>
    <row r="90" spans="1:22" ht="15" customHeight="1">
      <c r="A90" s="339"/>
      <c r="B90" s="338"/>
      <c r="C90" s="323"/>
      <c r="D90" s="243"/>
      <c r="E90" s="321">
        <v>0</v>
      </c>
      <c r="F90" s="324">
        <f t="shared" si="0"/>
        <v>3.5066922022385386E-2</v>
      </c>
      <c r="G90" s="241">
        <f t="shared" si="1"/>
        <v>0</v>
      </c>
      <c r="H90" s="321">
        <v>0</v>
      </c>
      <c r="I90" s="324">
        <f t="shared" si="2"/>
        <v>0.10349036209658161</v>
      </c>
      <c r="J90" s="241">
        <f t="shared" si="3"/>
        <v>0</v>
      </c>
      <c r="K90" s="321">
        <v>0</v>
      </c>
      <c r="L90" s="321">
        <v>0</v>
      </c>
      <c r="M90" s="241">
        <f t="shared" si="4"/>
        <v>0</v>
      </c>
      <c r="N90" s="322">
        <v>0</v>
      </c>
      <c r="O90" s="241">
        <f t="shared" si="5"/>
        <v>0</v>
      </c>
      <c r="P90" s="245"/>
      <c r="Q90" s="242"/>
      <c r="R90" s="245"/>
      <c r="S90" s="245"/>
      <c r="T90" s="245"/>
      <c r="U90" s="245"/>
      <c r="V90" s="245"/>
    </row>
    <row r="91" spans="1:22">
      <c r="A91" s="339"/>
      <c r="B91" s="338"/>
      <c r="C91" s="323"/>
      <c r="D91" s="243"/>
      <c r="E91" s="321">
        <v>0</v>
      </c>
      <c r="F91" s="324">
        <f t="shared" si="0"/>
        <v>3.5066922022385386E-2</v>
      </c>
      <c r="G91" s="241">
        <f t="shared" si="1"/>
        <v>0</v>
      </c>
      <c r="H91" s="321">
        <v>0</v>
      </c>
      <c r="I91" s="324">
        <f t="shared" si="2"/>
        <v>0.10349036209658161</v>
      </c>
      <c r="J91" s="241">
        <f t="shared" si="3"/>
        <v>0</v>
      </c>
      <c r="K91" s="321">
        <v>0</v>
      </c>
      <c r="L91" s="321">
        <v>0</v>
      </c>
      <c r="M91" s="241">
        <f t="shared" si="4"/>
        <v>0</v>
      </c>
      <c r="N91" s="322">
        <v>0</v>
      </c>
      <c r="O91" s="241">
        <f t="shared" si="5"/>
        <v>0</v>
      </c>
      <c r="P91" s="245"/>
      <c r="Q91" s="242"/>
      <c r="R91" s="245"/>
      <c r="S91" s="245"/>
      <c r="T91" s="245"/>
      <c r="U91" s="245"/>
      <c r="V91" s="245"/>
    </row>
    <row r="92" spans="1:22">
      <c r="A92" s="339"/>
      <c r="B92" s="338"/>
      <c r="C92" s="323"/>
      <c r="D92" s="243"/>
      <c r="E92" s="335"/>
      <c r="F92" s="324"/>
      <c r="G92" s="241"/>
      <c r="H92" s="335"/>
      <c r="I92" s="324"/>
      <c r="J92" s="241"/>
      <c r="K92" s="335"/>
      <c r="L92" s="335"/>
      <c r="M92" s="241"/>
      <c r="N92" s="334"/>
      <c r="O92" s="241"/>
      <c r="P92" s="245"/>
      <c r="Q92" s="242"/>
      <c r="R92" s="245"/>
      <c r="S92" s="245"/>
      <c r="T92" s="245"/>
      <c r="U92" s="245"/>
      <c r="V92" s="245"/>
    </row>
    <row r="93" spans="1:22">
      <c r="A93" s="339"/>
      <c r="B93" s="338"/>
      <c r="C93" s="337"/>
      <c r="D93" s="336"/>
      <c r="E93" s="335"/>
      <c r="F93" s="324"/>
      <c r="G93" s="241"/>
      <c r="H93" s="335"/>
      <c r="I93" s="324"/>
      <c r="J93" s="241"/>
      <c r="K93" s="335"/>
      <c r="L93" s="335"/>
      <c r="M93" s="241"/>
      <c r="N93" s="334"/>
      <c r="O93" s="241"/>
      <c r="P93" s="245"/>
      <c r="Q93" s="242"/>
      <c r="R93" s="245"/>
      <c r="S93" s="245"/>
      <c r="T93" s="245"/>
      <c r="U93" s="245"/>
      <c r="V93" s="245"/>
    </row>
    <row r="94" spans="1:22">
      <c r="A94" s="339"/>
      <c r="B94" s="338"/>
      <c r="C94" s="337"/>
      <c r="D94" s="336"/>
      <c r="E94" s="335"/>
      <c r="F94" s="324"/>
      <c r="G94" s="241"/>
      <c r="H94" s="335"/>
      <c r="I94" s="324"/>
      <c r="J94" s="241"/>
      <c r="K94" s="335"/>
      <c r="L94" s="335"/>
      <c r="M94" s="241"/>
      <c r="N94" s="334"/>
      <c r="O94" s="241"/>
      <c r="P94" s="245"/>
      <c r="Q94" s="242"/>
      <c r="R94" s="245"/>
      <c r="S94" s="245"/>
      <c r="T94" s="245"/>
      <c r="U94" s="245"/>
      <c r="V94" s="245"/>
    </row>
    <row r="95" spans="1:22">
      <c r="A95" s="339"/>
      <c r="B95" s="338"/>
      <c r="C95" s="337"/>
      <c r="D95" s="336"/>
      <c r="E95" s="335"/>
      <c r="F95" s="324"/>
      <c r="G95" s="241"/>
      <c r="H95" s="335"/>
      <c r="I95" s="324"/>
      <c r="J95" s="241"/>
      <c r="K95" s="335"/>
      <c r="L95" s="335"/>
      <c r="M95" s="241"/>
      <c r="N95" s="334"/>
      <c r="O95" s="241"/>
      <c r="P95" s="245"/>
      <c r="Q95" s="242"/>
      <c r="R95" s="245"/>
      <c r="S95" s="245"/>
      <c r="T95" s="245"/>
      <c r="U95" s="245"/>
      <c r="V95" s="245"/>
    </row>
    <row r="96" spans="1:22">
      <c r="A96" s="339"/>
      <c r="B96" s="338"/>
      <c r="C96" s="337"/>
      <c r="D96" s="336"/>
      <c r="E96" s="335"/>
      <c r="F96" s="324"/>
      <c r="G96" s="241"/>
      <c r="H96" s="335"/>
      <c r="I96" s="324"/>
      <c r="J96" s="241"/>
      <c r="K96" s="335"/>
      <c r="L96" s="335"/>
      <c r="M96" s="241"/>
      <c r="N96" s="334"/>
      <c r="O96" s="241"/>
      <c r="P96" s="245"/>
      <c r="Q96" s="242"/>
      <c r="R96" s="245"/>
      <c r="S96" s="245"/>
      <c r="T96" s="245"/>
      <c r="U96" s="245"/>
      <c r="V96" s="245"/>
    </row>
    <row r="97" spans="1:22">
      <c r="A97" s="339"/>
      <c r="B97" s="338"/>
      <c r="C97" s="337"/>
      <c r="D97" s="336"/>
      <c r="E97" s="335"/>
      <c r="F97" s="324"/>
      <c r="G97" s="241"/>
      <c r="H97" s="335"/>
      <c r="I97" s="324"/>
      <c r="J97" s="241"/>
      <c r="K97" s="335"/>
      <c r="L97" s="335"/>
      <c r="M97" s="241"/>
      <c r="N97" s="334"/>
      <c r="O97" s="241"/>
      <c r="P97" s="245"/>
      <c r="Q97" s="242"/>
      <c r="R97" s="245"/>
      <c r="S97" s="245"/>
      <c r="T97" s="245"/>
      <c r="U97" s="245"/>
      <c r="V97" s="245"/>
    </row>
    <row r="98" spans="1:22">
      <c r="A98" s="339"/>
      <c r="B98" s="338"/>
      <c r="C98" s="337"/>
      <c r="D98" s="336"/>
      <c r="E98" s="335"/>
      <c r="F98" s="324"/>
      <c r="G98" s="241"/>
      <c r="H98" s="335"/>
      <c r="I98" s="324"/>
      <c r="J98" s="241"/>
      <c r="K98" s="335"/>
      <c r="L98" s="335"/>
      <c r="M98" s="241"/>
      <c r="N98" s="334"/>
      <c r="O98" s="241"/>
      <c r="P98" s="245"/>
      <c r="Q98" s="242"/>
      <c r="R98" s="245"/>
      <c r="S98" s="245"/>
      <c r="T98" s="245"/>
      <c r="U98" s="245"/>
      <c r="V98" s="245"/>
    </row>
    <row r="99" spans="1:22">
      <c r="A99" s="339"/>
      <c r="B99" s="338"/>
      <c r="C99" s="337"/>
      <c r="D99" s="336"/>
      <c r="E99" s="335"/>
      <c r="F99" s="324"/>
      <c r="G99" s="241"/>
      <c r="H99" s="335"/>
      <c r="I99" s="324"/>
      <c r="J99" s="241"/>
      <c r="K99" s="335"/>
      <c r="L99" s="335"/>
      <c r="M99" s="241"/>
      <c r="N99" s="334"/>
      <c r="O99" s="241"/>
      <c r="P99" s="245"/>
      <c r="Q99" s="242"/>
      <c r="R99" s="245"/>
      <c r="S99" s="245"/>
      <c r="T99" s="245"/>
      <c r="U99" s="245"/>
      <c r="V99" s="245"/>
    </row>
    <row r="100" spans="1:22">
      <c r="A100" s="333"/>
      <c r="B100" s="332"/>
      <c r="C100" s="325"/>
      <c r="D100" s="325"/>
      <c r="E100" s="325"/>
      <c r="F100" s="325"/>
      <c r="G100" s="326"/>
      <c r="H100" s="325"/>
      <c r="I100" s="325"/>
      <c r="J100" s="326"/>
      <c r="K100" s="325"/>
      <c r="L100" s="325"/>
      <c r="M100" s="326"/>
      <c r="N100" s="325"/>
      <c r="O100" s="326"/>
      <c r="P100" s="245"/>
      <c r="Q100" s="242"/>
      <c r="R100" s="245"/>
      <c r="S100" s="245"/>
      <c r="T100" s="245"/>
      <c r="U100" s="245"/>
      <c r="V100" s="245"/>
    </row>
    <row r="101" spans="1:22">
      <c r="A101" s="262" t="s">
        <v>346</v>
      </c>
      <c r="C101" s="261" t="s">
        <v>345</v>
      </c>
      <c r="D101" s="261"/>
      <c r="E101" s="250"/>
      <c r="F101" s="250"/>
      <c r="G101" s="247"/>
      <c r="H101" s="247"/>
      <c r="I101" s="247"/>
      <c r="J101" s="247"/>
      <c r="K101" s="247"/>
      <c r="L101" s="259">
        <f>SUM(L75:L100)</f>
        <v>1267943.4635999999</v>
      </c>
      <c r="M101" s="259">
        <f>SUM(M75:M100)</f>
        <v>92283304.058069646</v>
      </c>
      <c r="N101" s="306">
        <f>SUM(N75:N100)</f>
        <v>720033.93360581156</v>
      </c>
      <c r="O101" s="259">
        <f>SUM(O75:O100)</f>
        <v>93003337.991675466</v>
      </c>
      <c r="P101" s="245"/>
      <c r="Q101" s="358"/>
      <c r="R101" s="245"/>
      <c r="S101" s="245"/>
      <c r="T101" s="245"/>
      <c r="U101" s="245"/>
      <c r="V101" s="245"/>
    </row>
    <row r="102" spans="1:22">
      <c r="A102" s="260"/>
      <c r="B102" s="245"/>
      <c r="C102" s="245"/>
      <c r="D102" s="245"/>
      <c r="E102" s="245"/>
      <c r="F102" s="245"/>
      <c r="G102" s="245"/>
      <c r="H102" s="245"/>
      <c r="I102" s="245"/>
      <c r="J102" s="245"/>
      <c r="K102" s="245"/>
      <c r="L102" s="245"/>
      <c r="M102" s="245"/>
      <c r="N102" s="245"/>
      <c r="O102" s="245"/>
      <c r="P102" s="245"/>
      <c r="Q102" s="358"/>
      <c r="R102" s="245"/>
      <c r="S102" s="245"/>
      <c r="T102" s="245"/>
      <c r="U102" s="245"/>
      <c r="V102" s="245"/>
    </row>
    <row r="103" spans="1:22">
      <c r="A103" s="126">
        <v>3</v>
      </c>
      <c r="B103" s="245"/>
      <c r="C103" s="248" t="s">
        <v>487</v>
      </c>
      <c r="D103" s="245"/>
      <c r="E103" s="245"/>
      <c r="F103" s="245"/>
      <c r="G103" s="245"/>
      <c r="H103" s="245"/>
      <c r="I103" s="245"/>
      <c r="J103" s="245"/>
      <c r="K103" s="245"/>
      <c r="L103" s="245"/>
      <c r="M103" s="259">
        <f>M101</f>
        <v>92283304.058069646</v>
      </c>
      <c r="N103" s="245"/>
      <c r="O103" s="512"/>
      <c r="P103" s="245"/>
      <c r="Q103" s="358"/>
      <c r="R103" s="245"/>
      <c r="S103" s="245"/>
      <c r="T103" s="245"/>
      <c r="U103" s="245"/>
      <c r="V103" s="245"/>
    </row>
    <row r="104" spans="1:22">
      <c r="A104" s="245"/>
      <c r="B104" s="245"/>
      <c r="C104" s="245"/>
      <c r="D104" s="245"/>
      <c r="E104" s="245"/>
      <c r="F104" s="245"/>
      <c r="G104" s="245"/>
      <c r="H104" s="245"/>
      <c r="I104" s="245"/>
      <c r="J104" s="245"/>
      <c r="K104" s="245"/>
      <c r="L104" s="245"/>
      <c r="M104" s="245"/>
      <c r="N104" s="245"/>
      <c r="O104" s="245"/>
      <c r="P104" s="245"/>
      <c r="Q104" s="358"/>
      <c r="R104" s="245"/>
      <c r="S104" s="245"/>
      <c r="T104" s="245"/>
      <c r="U104" s="245"/>
      <c r="V104" s="245"/>
    </row>
    <row r="105" spans="1:22">
      <c r="A105" s="245"/>
      <c r="B105" s="245"/>
      <c r="C105" s="245"/>
      <c r="D105" s="245"/>
      <c r="E105" s="245"/>
      <c r="F105" s="245"/>
      <c r="G105" s="245"/>
      <c r="H105" s="245"/>
      <c r="I105" s="245"/>
      <c r="J105" s="245"/>
      <c r="K105" s="245"/>
      <c r="L105" s="245"/>
      <c r="M105" s="245"/>
      <c r="N105" s="245"/>
      <c r="O105" s="245"/>
      <c r="P105" s="245"/>
      <c r="Q105" s="358"/>
      <c r="R105" s="245"/>
      <c r="S105" s="245"/>
      <c r="T105" s="245"/>
      <c r="U105" s="245"/>
      <c r="V105" s="245"/>
    </row>
    <row r="106" spans="1:22">
      <c r="A106" s="248" t="s">
        <v>89</v>
      </c>
      <c r="B106" s="245"/>
      <c r="C106" s="245"/>
      <c r="D106" s="245"/>
      <c r="E106" s="245"/>
      <c r="F106" s="245"/>
      <c r="G106" s="245"/>
      <c r="H106" s="245"/>
      <c r="I106" s="245"/>
      <c r="J106" s="245"/>
      <c r="K106" s="245"/>
      <c r="L106" s="245"/>
      <c r="M106" s="245"/>
      <c r="N106" s="245"/>
      <c r="O106" s="245"/>
      <c r="P106" s="245"/>
      <c r="Q106" s="358"/>
      <c r="R106" s="245"/>
      <c r="S106" s="245"/>
      <c r="T106" s="245"/>
      <c r="U106" s="245"/>
      <c r="V106" s="245"/>
    </row>
    <row r="107" spans="1:22" ht="15.6" thickBot="1">
      <c r="A107" s="961" t="s">
        <v>88</v>
      </c>
      <c r="B107" s="245"/>
      <c r="C107" s="245"/>
      <c r="D107" s="245"/>
      <c r="E107" s="245"/>
      <c r="F107" s="245"/>
      <c r="G107" s="245"/>
      <c r="H107" s="245"/>
      <c r="I107" s="245"/>
      <c r="J107" s="245"/>
      <c r="K107" s="245"/>
      <c r="L107" s="245"/>
      <c r="M107" s="245"/>
      <c r="N107" s="245"/>
      <c r="O107" s="245"/>
      <c r="P107" s="245"/>
      <c r="Q107" s="358"/>
      <c r="R107" s="245"/>
      <c r="S107" s="245"/>
      <c r="T107" s="245"/>
      <c r="U107" s="245"/>
      <c r="V107" s="245"/>
    </row>
    <row r="108" spans="1:22" ht="15" customHeight="1">
      <c r="A108" s="258" t="s">
        <v>87</v>
      </c>
      <c r="C108" s="1026" t="s">
        <v>526</v>
      </c>
      <c r="D108" s="1026"/>
      <c r="E108" s="1026"/>
      <c r="F108" s="1026"/>
      <c r="G108" s="1026"/>
      <c r="H108" s="1026"/>
      <c r="I108" s="1026"/>
      <c r="J108" s="1026"/>
      <c r="K108" s="1026"/>
      <c r="L108" s="1026"/>
      <c r="M108" s="1026"/>
      <c r="N108" s="1026"/>
      <c r="O108" s="1026"/>
      <c r="P108" s="245"/>
      <c r="Q108" s="358"/>
      <c r="R108" s="245"/>
      <c r="S108" s="245"/>
      <c r="T108" s="245"/>
      <c r="U108" s="245"/>
      <c r="V108" s="245"/>
    </row>
    <row r="109" spans="1:22" ht="15" customHeight="1">
      <c r="A109" s="258" t="s">
        <v>85</v>
      </c>
      <c r="C109" s="1026" t="s">
        <v>525</v>
      </c>
      <c r="D109" s="1026"/>
      <c r="E109" s="1026"/>
      <c r="F109" s="1026"/>
      <c r="G109" s="1026"/>
      <c r="H109" s="1026"/>
      <c r="I109" s="1026"/>
      <c r="J109" s="1026"/>
      <c r="K109" s="1026"/>
      <c r="L109" s="1026"/>
      <c r="M109" s="1026"/>
      <c r="N109" s="1026"/>
      <c r="O109" s="1026"/>
      <c r="P109" s="245"/>
      <c r="Q109" s="358"/>
      <c r="R109" s="245"/>
      <c r="S109" s="245"/>
      <c r="T109" s="245"/>
      <c r="U109" s="245"/>
      <c r="V109" s="245"/>
    </row>
    <row r="110" spans="1:22" ht="33" customHeight="1">
      <c r="A110" s="258" t="s">
        <v>83</v>
      </c>
      <c r="C110" s="1026" t="s">
        <v>472</v>
      </c>
      <c r="D110" s="1026"/>
      <c r="E110" s="1026"/>
      <c r="F110" s="1026"/>
      <c r="G110" s="1026"/>
      <c r="H110" s="1026"/>
      <c r="I110" s="1026"/>
      <c r="J110" s="1026"/>
      <c r="K110" s="1026"/>
      <c r="L110" s="1026"/>
      <c r="M110" s="1026"/>
      <c r="N110" s="1026"/>
      <c r="O110" s="1026"/>
      <c r="P110" s="245"/>
      <c r="Q110" s="358"/>
      <c r="R110" s="245"/>
      <c r="S110" s="245"/>
      <c r="T110" s="245"/>
      <c r="U110" s="245"/>
      <c r="V110" s="245"/>
    </row>
    <row r="111" spans="1:22" ht="15" customHeight="1">
      <c r="A111" s="258" t="s">
        <v>82</v>
      </c>
      <c r="C111" s="1027" t="s">
        <v>344</v>
      </c>
      <c r="D111" s="1027"/>
      <c r="E111" s="1027"/>
      <c r="F111" s="1027"/>
      <c r="G111" s="1027"/>
      <c r="H111" s="1027"/>
      <c r="I111" s="1027"/>
      <c r="J111" s="1027"/>
      <c r="K111" s="1027"/>
      <c r="L111" s="1027"/>
      <c r="M111" s="1027"/>
      <c r="N111" s="1027"/>
      <c r="O111" s="1027"/>
      <c r="P111" s="245"/>
      <c r="Q111" s="358"/>
      <c r="R111" s="245"/>
      <c r="S111" s="245"/>
      <c r="T111" s="245"/>
      <c r="U111" s="245"/>
      <c r="V111" s="245"/>
    </row>
    <row r="112" spans="1:22">
      <c r="A112" s="257" t="s">
        <v>80</v>
      </c>
      <c r="C112" s="1024" t="s">
        <v>495</v>
      </c>
      <c r="D112" s="1024"/>
      <c r="E112" s="1024"/>
      <c r="F112" s="1024"/>
      <c r="G112" s="1024"/>
      <c r="H112" s="1024"/>
      <c r="I112" s="1024"/>
      <c r="J112" s="1024"/>
      <c r="K112" s="1024"/>
      <c r="L112" s="1024"/>
      <c r="M112" s="1024"/>
      <c r="N112" s="1024"/>
      <c r="O112" s="1024"/>
      <c r="P112" s="245"/>
      <c r="Q112" s="358"/>
      <c r="R112" s="245"/>
      <c r="S112" s="245"/>
      <c r="T112" s="245"/>
      <c r="U112" s="245"/>
      <c r="V112" s="245"/>
    </row>
    <row r="113" spans="1:22">
      <c r="A113" s="257" t="s">
        <v>78</v>
      </c>
      <c r="C113" s="1024" t="s">
        <v>473</v>
      </c>
      <c r="D113" s="1024"/>
      <c r="E113" s="1024"/>
      <c r="F113" s="1024"/>
      <c r="G113" s="1024"/>
      <c r="H113" s="1024"/>
      <c r="I113" s="1024"/>
      <c r="J113" s="1024"/>
      <c r="K113" s="1024"/>
      <c r="L113" s="1024"/>
      <c r="M113" s="1024"/>
      <c r="N113" s="1024"/>
      <c r="O113" s="1024"/>
      <c r="P113" s="245"/>
      <c r="Q113" s="358"/>
      <c r="R113" s="245"/>
      <c r="S113" s="245"/>
      <c r="T113" s="245"/>
      <c r="U113" s="245"/>
      <c r="V113" s="245"/>
    </row>
    <row r="114" spans="1:22">
      <c r="A114" s="257" t="s">
        <v>76</v>
      </c>
      <c r="C114" s="1024" t="s">
        <v>524</v>
      </c>
      <c r="D114" s="1024"/>
      <c r="E114" s="1024"/>
      <c r="F114" s="1024"/>
      <c r="G114" s="1024"/>
      <c r="H114" s="1024"/>
      <c r="I114" s="1024"/>
      <c r="J114" s="1024"/>
      <c r="K114" s="1024"/>
      <c r="L114" s="1024"/>
      <c r="M114" s="1024"/>
      <c r="N114" s="1024"/>
      <c r="O114" s="1024"/>
      <c r="P114" s="245"/>
      <c r="Q114" s="358"/>
      <c r="R114" s="245"/>
      <c r="S114" s="245"/>
      <c r="T114" s="245"/>
      <c r="U114" s="245"/>
      <c r="V114" s="245"/>
    </row>
    <row r="115" spans="1:22">
      <c r="A115" s="257" t="s">
        <v>74</v>
      </c>
      <c r="C115" s="1024" t="s">
        <v>343</v>
      </c>
      <c r="D115" s="1024"/>
      <c r="E115" s="1024"/>
      <c r="F115" s="1024"/>
      <c r="G115" s="1024"/>
      <c r="H115" s="1024"/>
      <c r="I115" s="1024"/>
      <c r="J115" s="1024"/>
      <c r="K115" s="1024"/>
      <c r="L115" s="1024"/>
      <c r="M115" s="1024"/>
      <c r="N115" s="1024"/>
      <c r="O115" s="1024"/>
      <c r="P115" s="245"/>
      <c r="Q115" s="358"/>
      <c r="R115" s="245"/>
      <c r="S115" s="245"/>
      <c r="T115" s="245"/>
      <c r="U115" s="245"/>
      <c r="V115" s="245"/>
    </row>
    <row r="116" spans="1:22" ht="15" customHeight="1">
      <c r="A116" s="125" t="s">
        <v>72</v>
      </c>
      <c r="B116" s="962"/>
      <c r="C116" s="1025" t="s">
        <v>493</v>
      </c>
      <c r="D116" s="1025"/>
      <c r="E116" s="1025"/>
      <c r="F116" s="1025"/>
      <c r="G116" s="1025"/>
      <c r="H116" s="1025"/>
      <c r="I116" s="1025"/>
      <c r="J116" s="1025"/>
      <c r="K116" s="1025"/>
      <c r="L116" s="1025"/>
      <c r="M116" s="1025"/>
      <c r="N116" s="1025"/>
      <c r="O116" s="1025"/>
      <c r="P116" s="123"/>
      <c r="Q116" s="238"/>
      <c r="R116" s="123"/>
      <c r="S116" s="123"/>
      <c r="T116" s="123"/>
      <c r="U116" s="245"/>
      <c r="V116" s="245"/>
    </row>
    <row r="117" spans="1:22" ht="15" customHeight="1">
      <c r="A117" s="125" t="s">
        <v>70</v>
      </c>
      <c r="B117" s="513"/>
      <c r="C117" s="1025" t="s">
        <v>522</v>
      </c>
      <c r="D117" s="1025"/>
      <c r="E117" s="1025"/>
      <c r="F117" s="1025"/>
      <c r="G117" s="1025"/>
      <c r="H117" s="1025"/>
      <c r="I117" s="1025"/>
      <c r="J117" s="1025"/>
      <c r="K117" s="1025"/>
      <c r="L117" s="1025"/>
      <c r="M117" s="1025"/>
      <c r="N117" s="1025"/>
      <c r="O117" s="1025"/>
      <c r="P117" s="123"/>
      <c r="Q117" s="238"/>
      <c r="R117" s="123"/>
      <c r="S117" s="123"/>
      <c r="T117" s="123"/>
      <c r="U117" s="245"/>
      <c r="V117" s="245"/>
    </row>
    <row r="118" spans="1:22" ht="15.6">
      <c r="A118" s="254"/>
      <c r="B118" s="253"/>
      <c r="C118" s="252"/>
      <c r="D118" s="251"/>
      <c r="E118" s="250"/>
      <c r="F118" s="250"/>
      <c r="G118" s="247"/>
      <c r="H118" s="248"/>
      <c r="I118" s="248"/>
      <c r="J118" s="249"/>
      <c r="K118" s="248"/>
      <c r="L118" s="248"/>
      <c r="N118" s="247"/>
      <c r="O118" s="246"/>
      <c r="P118" s="245"/>
      <c r="Q118" s="358"/>
      <c r="R118" s="245"/>
      <c r="S118" s="245"/>
      <c r="T118" s="245"/>
      <c r="U118" s="245"/>
      <c r="V118" s="245"/>
    </row>
    <row r="119" spans="1:22">
      <c r="C119" s="245"/>
      <c r="D119" s="245"/>
      <c r="E119" s="245"/>
      <c r="F119" s="245"/>
      <c r="G119" s="245"/>
      <c r="H119" s="245"/>
      <c r="I119" s="245"/>
      <c r="J119" s="245"/>
      <c r="K119" s="245"/>
      <c r="L119" s="245"/>
      <c r="M119" s="245"/>
      <c r="N119" s="245"/>
      <c r="O119" s="245"/>
      <c r="P119" s="245"/>
      <c r="Q119" s="358"/>
      <c r="R119" s="245"/>
      <c r="S119" s="245"/>
      <c r="T119" s="245"/>
      <c r="U119" s="245"/>
      <c r="V119" s="245"/>
    </row>
    <row r="120" spans="1:22">
      <c r="C120" s="245"/>
      <c r="D120" s="245"/>
      <c r="E120" s="245"/>
      <c r="F120" s="245"/>
      <c r="G120" s="245"/>
      <c r="H120" s="245"/>
      <c r="I120" s="245"/>
      <c r="J120" s="245"/>
      <c r="K120" s="245"/>
      <c r="L120" s="245"/>
      <c r="M120" s="245"/>
      <c r="N120" s="245"/>
      <c r="O120" s="245"/>
      <c r="P120" s="245"/>
      <c r="Q120" s="358"/>
      <c r="R120" s="245"/>
      <c r="S120" s="245"/>
      <c r="T120" s="245"/>
      <c r="U120" s="245"/>
      <c r="V120" s="245"/>
    </row>
    <row r="121" spans="1:22">
      <c r="C121" s="245"/>
      <c r="D121" s="245"/>
      <c r="E121" s="245"/>
      <c r="F121" s="245"/>
      <c r="G121" s="245"/>
      <c r="H121" s="245"/>
      <c r="I121" s="245"/>
      <c r="J121" s="245"/>
      <c r="K121" s="245"/>
      <c r="L121" s="245"/>
      <c r="M121" s="245"/>
      <c r="N121" s="245"/>
      <c r="O121" s="245"/>
      <c r="P121" s="245"/>
      <c r="Q121" s="358"/>
      <c r="R121" s="245"/>
      <c r="S121" s="245"/>
      <c r="T121" s="245"/>
      <c r="U121" s="245"/>
      <c r="V121" s="245"/>
    </row>
    <row r="122" spans="1:22">
      <c r="C122" s="245"/>
      <c r="D122" s="245"/>
      <c r="E122" s="245"/>
      <c r="F122" s="245"/>
      <c r="G122" s="245"/>
      <c r="H122" s="245"/>
      <c r="I122" s="245"/>
      <c r="J122" s="245"/>
      <c r="K122" s="245"/>
      <c r="L122" s="245"/>
      <c r="M122" s="245"/>
      <c r="N122" s="245"/>
      <c r="O122" s="245"/>
      <c r="P122" s="245"/>
      <c r="Q122" s="358"/>
      <c r="R122" s="245"/>
      <c r="S122" s="245"/>
      <c r="T122" s="245"/>
      <c r="U122" s="245"/>
      <c r="V122" s="245"/>
    </row>
    <row r="123" spans="1:22">
      <c r="C123" s="245"/>
      <c r="D123" s="245"/>
      <c r="E123" s="245"/>
      <c r="F123" s="245"/>
      <c r="G123" s="245"/>
      <c r="H123" s="245"/>
      <c r="I123" s="245"/>
      <c r="J123" s="245"/>
      <c r="K123" s="245"/>
      <c r="L123" s="245"/>
      <c r="M123" s="245"/>
      <c r="N123" s="245"/>
      <c r="O123" s="245"/>
      <c r="P123" s="245"/>
      <c r="Q123" s="358"/>
      <c r="R123" s="245"/>
      <c r="S123" s="245"/>
      <c r="T123" s="245"/>
      <c r="U123" s="245"/>
      <c r="V123" s="245"/>
    </row>
    <row r="124" spans="1:22">
      <c r="C124" s="245"/>
      <c r="D124" s="245"/>
      <c r="E124" s="245"/>
      <c r="F124" s="245"/>
      <c r="G124" s="245"/>
      <c r="H124" s="245"/>
      <c r="I124" s="245"/>
      <c r="J124" s="245"/>
      <c r="K124" s="245"/>
      <c r="L124" s="245"/>
      <c r="M124" s="245"/>
      <c r="N124" s="245"/>
      <c r="O124" s="245"/>
      <c r="P124" s="245"/>
      <c r="Q124" s="358"/>
      <c r="R124" s="245"/>
      <c r="S124" s="245"/>
      <c r="T124" s="245"/>
      <c r="U124" s="245"/>
      <c r="V124" s="245"/>
    </row>
    <row r="125" spans="1:22">
      <c r="C125" s="245"/>
      <c r="D125" s="245"/>
      <c r="E125" s="245"/>
      <c r="F125" s="245"/>
      <c r="G125" s="245"/>
      <c r="H125" s="245"/>
      <c r="I125" s="245"/>
      <c r="J125" s="245"/>
      <c r="K125" s="245"/>
      <c r="L125" s="245"/>
      <c r="M125" s="245"/>
      <c r="N125" s="245"/>
      <c r="O125" s="245"/>
      <c r="P125" s="245"/>
      <c r="Q125" s="358"/>
      <c r="R125" s="245"/>
      <c r="S125" s="245"/>
      <c r="T125" s="245"/>
      <c r="U125" s="245"/>
      <c r="V125" s="245"/>
    </row>
    <row r="126" spans="1:22">
      <c r="C126" s="245"/>
      <c r="D126" s="245"/>
      <c r="E126" s="245"/>
      <c r="F126" s="245"/>
      <c r="G126" s="245"/>
      <c r="H126" s="245"/>
      <c r="I126" s="245"/>
      <c r="J126" s="245"/>
      <c r="K126" s="245"/>
      <c r="L126" s="245"/>
      <c r="M126" s="245"/>
      <c r="N126" s="245"/>
      <c r="O126" s="245"/>
      <c r="P126" s="245"/>
      <c r="Q126" s="358"/>
      <c r="R126" s="245"/>
      <c r="S126" s="245"/>
      <c r="T126" s="245"/>
      <c r="U126" s="245"/>
      <c r="V126" s="245"/>
    </row>
    <row r="127" spans="1:22">
      <c r="C127" s="245"/>
      <c r="D127" s="245"/>
      <c r="E127" s="245"/>
      <c r="F127" s="245"/>
      <c r="G127" s="245"/>
      <c r="H127" s="245"/>
      <c r="I127" s="245"/>
      <c r="J127" s="245"/>
      <c r="K127" s="245"/>
      <c r="L127" s="245"/>
      <c r="M127" s="245"/>
      <c r="N127" s="245"/>
      <c r="O127" s="245"/>
      <c r="P127" s="245"/>
      <c r="Q127" s="358"/>
      <c r="R127" s="245"/>
      <c r="S127" s="245"/>
      <c r="T127" s="245"/>
      <c r="U127" s="245"/>
      <c r="V127" s="245"/>
    </row>
    <row r="128" spans="1:22">
      <c r="C128" s="245"/>
      <c r="D128" s="245"/>
      <c r="E128" s="245"/>
      <c r="F128" s="245"/>
      <c r="G128" s="245"/>
      <c r="H128" s="245"/>
      <c r="I128" s="245"/>
      <c r="J128" s="245"/>
      <c r="K128" s="245"/>
      <c r="L128" s="245"/>
      <c r="M128" s="245"/>
      <c r="N128" s="245"/>
      <c r="O128" s="245"/>
      <c r="P128" s="245"/>
      <c r="Q128" s="358"/>
      <c r="R128" s="245"/>
      <c r="S128" s="245"/>
      <c r="T128" s="245"/>
      <c r="U128" s="245"/>
      <c r="V128" s="245"/>
    </row>
    <row r="129" spans="3:22">
      <c r="C129" s="245"/>
      <c r="D129" s="245"/>
      <c r="E129" s="245"/>
      <c r="F129" s="245"/>
      <c r="G129" s="245"/>
      <c r="H129" s="245"/>
      <c r="I129" s="245"/>
      <c r="J129" s="245"/>
      <c r="K129" s="245"/>
      <c r="L129" s="245"/>
      <c r="M129" s="245"/>
      <c r="N129" s="245"/>
      <c r="O129" s="245"/>
      <c r="P129" s="245"/>
      <c r="Q129" s="358"/>
      <c r="R129" s="245"/>
      <c r="S129" s="245"/>
      <c r="T129" s="245"/>
      <c r="U129" s="245"/>
      <c r="V129" s="245"/>
    </row>
    <row r="130" spans="3:22">
      <c r="C130" s="245"/>
      <c r="D130" s="245"/>
      <c r="E130" s="245"/>
      <c r="F130" s="245"/>
      <c r="G130" s="245"/>
      <c r="H130" s="245"/>
      <c r="I130" s="245"/>
      <c r="J130" s="245"/>
      <c r="K130" s="245"/>
      <c r="L130" s="245"/>
      <c r="M130" s="245"/>
      <c r="N130" s="245"/>
      <c r="O130" s="245"/>
      <c r="P130" s="245"/>
      <c r="Q130" s="358"/>
      <c r="R130" s="245"/>
      <c r="S130" s="245"/>
      <c r="T130" s="245"/>
      <c r="U130" s="245"/>
      <c r="V130" s="245"/>
    </row>
    <row r="131" spans="3:22">
      <c r="C131" s="245"/>
      <c r="D131" s="245"/>
      <c r="E131" s="245"/>
      <c r="F131" s="245"/>
      <c r="G131" s="245"/>
      <c r="H131" s="245"/>
      <c r="I131" s="245"/>
      <c r="J131" s="245"/>
      <c r="K131" s="245"/>
      <c r="L131" s="245"/>
      <c r="M131" s="245"/>
      <c r="N131" s="245"/>
      <c r="O131" s="245"/>
      <c r="P131" s="245"/>
      <c r="Q131" s="358"/>
      <c r="R131" s="245"/>
      <c r="S131" s="245"/>
      <c r="T131" s="245"/>
      <c r="U131" s="245"/>
      <c r="V131" s="245"/>
    </row>
    <row r="132" spans="3:22">
      <c r="C132" s="245"/>
      <c r="D132" s="245"/>
      <c r="E132" s="245"/>
      <c r="F132" s="245"/>
      <c r="G132" s="245"/>
      <c r="H132" s="245"/>
      <c r="I132" s="245"/>
      <c r="J132" s="245"/>
      <c r="K132" s="245"/>
      <c r="L132" s="245"/>
      <c r="M132" s="245"/>
      <c r="N132" s="245"/>
      <c r="O132" s="245"/>
      <c r="P132" s="245"/>
      <c r="Q132" s="358"/>
      <c r="R132" s="245"/>
      <c r="S132" s="245"/>
      <c r="T132" s="245"/>
      <c r="U132" s="245"/>
      <c r="V132" s="245"/>
    </row>
    <row r="133" spans="3:22">
      <c r="C133" s="245"/>
      <c r="D133" s="245"/>
      <c r="E133" s="245"/>
      <c r="F133" s="245"/>
      <c r="G133" s="245"/>
      <c r="H133" s="245"/>
      <c r="I133" s="245"/>
      <c r="J133" s="245"/>
      <c r="K133" s="245"/>
      <c r="L133" s="245"/>
      <c r="M133" s="245"/>
      <c r="N133" s="245"/>
      <c r="O133" s="245"/>
      <c r="P133" s="245"/>
      <c r="Q133" s="358"/>
      <c r="R133" s="245"/>
      <c r="S133" s="245"/>
      <c r="T133" s="245"/>
      <c r="U133" s="245"/>
      <c r="V133" s="245"/>
    </row>
    <row r="134" spans="3:22">
      <c r="C134" s="245"/>
      <c r="D134" s="245"/>
      <c r="E134" s="245"/>
      <c r="F134" s="245"/>
      <c r="G134" s="245"/>
      <c r="H134" s="245"/>
      <c r="I134" s="245"/>
      <c r="J134" s="245"/>
      <c r="K134" s="245"/>
      <c r="L134" s="245"/>
      <c r="M134" s="245"/>
      <c r="N134" s="245"/>
      <c r="O134" s="245"/>
      <c r="P134" s="245"/>
      <c r="Q134" s="358"/>
      <c r="R134" s="245"/>
      <c r="S134" s="245"/>
      <c r="T134" s="245"/>
      <c r="U134" s="245"/>
      <c r="V134" s="245"/>
    </row>
    <row r="135" spans="3:22">
      <c r="C135" s="245"/>
      <c r="D135" s="245"/>
      <c r="E135" s="245"/>
      <c r="F135" s="245"/>
      <c r="G135" s="245"/>
      <c r="H135" s="245"/>
      <c r="I135" s="245"/>
      <c r="J135" s="245"/>
      <c r="K135" s="245"/>
      <c r="L135" s="245"/>
      <c r="M135" s="245"/>
      <c r="N135" s="245"/>
      <c r="O135" s="245"/>
      <c r="P135" s="245"/>
      <c r="Q135" s="358"/>
      <c r="R135" s="245"/>
      <c r="S135" s="245"/>
      <c r="T135" s="245"/>
      <c r="U135" s="245"/>
      <c r="V135" s="245"/>
    </row>
    <row r="136" spans="3:22">
      <c r="C136" s="245"/>
      <c r="D136" s="245"/>
      <c r="E136" s="245"/>
      <c r="F136" s="245"/>
      <c r="G136" s="245"/>
      <c r="H136" s="245"/>
      <c r="I136" s="245"/>
      <c r="J136" s="245"/>
      <c r="K136" s="245"/>
      <c r="L136" s="245"/>
      <c r="M136" s="245"/>
      <c r="N136" s="245"/>
      <c r="O136" s="245"/>
      <c r="P136" s="245"/>
      <c r="Q136" s="358"/>
      <c r="R136" s="245"/>
      <c r="S136" s="245"/>
      <c r="T136" s="245"/>
      <c r="U136" s="245"/>
      <c r="V136" s="245"/>
    </row>
    <row r="137" spans="3:22">
      <c r="C137" s="245"/>
      <c r="D137" s="245"/>
      <c r="E137" s="245"/>
      <c r="F137" s="245"/>
      <c r="G137" s="245"/>
      <c r="H137" s="245"/>
      <c r="I137" s="245"/>
      <c r="J137" s="245"/>
      <c r="K137" s="245"/>
      <c r="L137" s="245"/>
      <c r="M137" s="245"/>
      <c r="N137" s="245"/>
      <c r="O137" s="245"/>
      <c r="P137" s="245"/>
      <c r="Q137" s="358"/>
      <c r="R137" s="245"/>
      <c r="S137" s="245"/>
      <c r="T137" s="245"/>
      <c r="U137" s="245"/>
      <c r="V137" s="245"/>
    </row>
    <row r="138" spans="3:22">
      <c r="C138" s="245"/>
      <c r="D138" s="245"/>
      <c r="E138" s="245"/>
      <c r="F138" s="245"/>
      <c r="G138" s="245"/>
      <c r="H138" s="245"/>
      <c r="I138" s="245"/>
      <c r="J138" s="245"/>
      <c r="K138" s="245"/>
      <c r="L138" s="245"/>
      <c r="M138" s="245"/>
      <c r="N138" s="245"/>
      <c r="O138" s="245"/>
      <c r="P138" s="245"/>
      <c r="Q138" s="358"/>
      <c r="R138" s="245"/>
      <c r="S138" s="245"/>
      <c r="T138" s="245"/>
      <c r="U138" s="245"/>
      <c r="V138" s="245"/>
    </row>
    <row r="139" spans="3:22">
      <c r="C139" s="245"/>
      <c r="D139" s="245"/>
      <c r="E139" s="245"/>
      <c r="F139" s="245"/>
      <c r="G139" s="245"/>
      <c r="H139" s="245"/>
      <c r="I139" s="245"/>
      <c r="J139" s="245"/>
      <c r="K139" s="245"/>
      <c r="L139" s="245"/>
      <c r="M139" s="245"/>
      <c r="N139" s="245"/>
      <c r="O139" s="245"/>
      <c r="P139" s="245"/>
      <c r="Q139" s="358"/>
      <c r="R139" s="245"/>
      <c r="S139" s="245"/>
      <c r="T139" s="245"/>
      <c r="U139" s="245"/>
      <c r="V139" s="245"/>
    </row>
    <row r="140" spans="3:22">
      <c r="C140" s="245"/>
      <c r="D140" s="245"/>
      <c r="E140" s="245"/>
      <c r="F140" s="245"/>
      <c r="G140" s="245"/>
      <c r="H140" s="245"/>
      <c r="I140" s="245"/>
      <c r="J140" s="245"/>
      <c r="K140" s="245"/>
      <c r="L140" s="245"/>
      <c r="M140" s="245"/>
      <c r="N140" s="245"/>
      <c r="O140" s="245"/>
      <c r="P140" s="245"/>
      <c r="Q140" s="358"/>
      <c r="R140" s="245"/>
      <c r="S140" s="245"/>
      <c r="T140" s="245"/>
      <c r="U140" s="245"/>
      <c r="V140" s="245"/>
    </row>
    <row r="141" spans="3:22">
      <c r="C141" s="245"/>
      <c r="D141" s="245"/>
      <c r="E141" s="245"/>
      <c r="F141" s="245"/>
      <c r="G141" s="245"/>
      <c r="H141" s="245"/>
      <c r="I141" s="245"/>
      <c r="J141" s="245"/>
      <c r="K141" s="245"/>
      <c r="L141" s="245"/>
      <c r="M141" s="245"/>
      <c r="N141" s="245"/>
      <c r="O141" s="245"/>
      <c r="P141" s="245"/>
      <c r="Q141" s="358"/>
      <c r="R141" s="245"/>
      <c r="S141" s="245"/>
      <c r="T141" s="245"/>
      <c r="U141" s="245"/>
      <c r="V141" s="245"/>
    </row>
    <row r="142" spans="3:22">
      <c r="C142" s="245"/>
      <c r="D142" s="245"/>
      <c r="E142" s="245"/>
      <c r="F142" s="245"/>
      <c r="G142" s="245"/>
      <c r="H142" s="245"/>
      <c r="I142" s="245"/>
      <c r="J142" s="245"/>
      <c r="K142" s="245"/>
      <c r="L142" s="245"/>
      <c r="M142" s="245"/>
      <c r="N142" s="245"/>
      <c r="O142" s="245"/>
    </row>
    <row r="143" spans="3:22">
      <c r="C143" s="245"/>
      <c r="D143" s="245"/>
      <c r="E143" s="245"/>
      <c r="F143" s="245"/>
      <c r="G143" s="245"/>
      <c r="H143" s="245"/>
      <c r="I143" s="245"/>
      <c r="J143" s="245"/>
      <c r="K143" s="245"/>
      <c r="L143" s="245"/>
      <c r="M143" s="245"/>
      <c r="N143" s="245"/>
      <c r="O143" s="245"/>
    </row>
    <row r="144" spans="3:22">
      <c r="C144" s="245"/>
      <c r="D144" s="245"/>
      <c r="E144" s="245"/>
      <c r="F144" s="245"/>
      <c r="G144" s="245"/>
      <c r="H144" s="245"/>
      <c r="I144" s="245"/>
      <c r="J144" s="245"/>
      <c r="K144" s="245"/>
      <c r="L144" s="245"/>
      <c r="M144" s="245"/>
      <c r="N144" s="245"/>
      <c r="O144" s="245"/>
    </row>
    <row r="145" spans="3:15">
      <c r="C145" s="245"/>
      <c r="D145" s="245"/>
      <c r="E145" s="245"/>
      <c r="F145" s="245"/>
      <c r="G145" s="245"/>
      <c r="H145" s="245"/>
      <c r="I145" s="245"/>
      <c r="J145" s="245"/>
      <c r="K145" s="245"/>
      <c r="L145" s="245"/>
      <c r="M145" s="245"/>
      <c r="N145" s="245"/>
      <c r="O145" s="245"/>
    </row>
    <row r="146" spans="3:15">
      <c r="C146" s="245"/>
      <c r="D146" s="245"/>
      <c r="E146" s="245"/>
      <c r="F146" s="245"/>
      <c r="G146" s="245"/>
      <c r="H146" s="245"/>
      <c r="I146" s="245"/>
      <c r="J146" s="245"/>
      <c r="K146" s="245"/>
      <c r="L146" s="245"/>
      <c r="M146" s="245"/>
      <c r="N146" s="245"/>
      <c r="O146" s="245"/>
    </row>
    <row r="147" spans="3:15">
      <c r="C147" s="245"/>
      <c r="D147" s="245"/>
      <c r="E147" s="245"/>
      <c r="F147" s="245"/>
      <c r="G147" s="245"/>
      <c r="H147" s="245"/>
      <c r="I147" s="245"/>
      <c r="J147" s="245"/>
      <c r="K147" s="245"/>
      <c r="L147" s="245"/>
      <c r="M147" s="245"/>
      <c r="N147" s="245"/>
      <c r="O147" s="245"/>
    </row>
    <row r="148" spans="3:15">
      <c r="C148" s="245"/>
      <c r="D148" s="245"/>
      <c r="E148" s="245"/>
      <c r="F148" s="245"/>
      <c r="G148" s="245"/>
      <c r="H148" s="245"/>
      <c r="I148" s="245"/>
      <c r="J148" s="245"/>
      <c r="K148" s="245"/>
      <c r="L148" s="245"/>
      <c r="M148" s="245"/>
      <c r="N148" s="245"/>
      <c r="O148" s="245"/>
    </row>
    <row r="149" spans="3:15">
      <c r="C149" s="245"/>
      <c r="D149" s="245"/>
      <c r="E149" s="245"/>
      <c r="F149" s="245"/>
      <c r="G149" s="245"/>
      <c r="H149" s="245"/>
      <c r="I149" s="245"/>
      <c r="J149" s="245"/>
      <c r="K149" s="245"/>
      <c r="L149" s="245"/>
      <c r="M149" s="245"/>
      <c r="N149" s="245"/>
      <c r="O149" s="245"/>
    </row>
  </sheetData>
  <mergeCells count="10">
    <mergeCell ref="C108:O108"/>
    <mergeCell ref="C109:O109"/>
    <mergeCell ref="C110:O110"/>
    <mergeCell ref="C111:O111"/>
    <mergeCell ref="C112:O112"/>
    <mergeCell ref="C114:O114"/>
    <mergeCell ref="C115:O115"/>
    <mergeCell ref="C116:O116"/>
    <mergeCell ref="C117:O117"/>
    <mergeCell ref="C113:O113"/>
  </mergeCells>
  <pageMargins left="0.7" right="0.7" top="0.75" bottom="0.75" header="0.3" footer="0.3"/>
  <pageSetup scale="40" fitToHeight="2" orientation="landscape" r:id="rId1"/>
  <headerFooter>
    <oddFooter>&amp;RV31
EFF 10.18.14</oddFooter>
  </headerFooter>
  <rowBreaks count="1" manualBreakCount="1">
    <brk id="62" max="14" man="1"/>
  </rowBreaks>
  <colBreaks count="1" manualBreakCount="1">
    <brk id="1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7"/>
  <sheetViews>
    <sheetView zoomScale="90" zoomScaleNormal="90" zoomScaleSheetLayoutView="85" workbookViewId="0">
      <pane xSplit="2" ySplit="10" topLeftCell="C11" activePane="bottomRight" state="frozen"/>
      <selection activeCell="H18" sqref="H18"/>
      <selection pane="topRight" activeCell="H18" sqref="H18"/>
      <selection pane="bottomLeft" activeCell="H18" sqref="H18"/>
      <selection pane="bottomRight" activeCell="B7" sqref="B7"/>
    </sheetView>
  </sheetViews>
  <sheetFormatPr defaultColWidth="9.109375" defaultRowHeight="13.2"/>
  <cols>
    <col min="1" max="1" width="21.33203125" style="171" customWidth="1"/>
    <col min="2" max="2" width="32.88671875" style="171" customWidth="1"/>
    <col min="3" max="10" width="13.88671875" style="171" customWidth="1"/>
    <col min="11" max="11" width="13.88671875" style="231" customWidth="1"/>
    <col min="12" max="14" width="13.88671875" style="171" customWidth="1"/>
    <col min="15" max="15" width="13.88671875" style="231" customWidth="1"/>
    <col min="16" max="22" width="13.88671875" style="171" customWidth="1"/>
    <col min="23" max="16384" width="9.109375" style="171"/>
  </cols>
  <sheetData>
    <row r="1" spans="1:22">
      <c r="C1" s="327">
        <v>1</v>
      </c>
      <c r="D1" s="327">
        <f t="shared" ref="D1:P1" si="0">+C1+1</f>
        <v>2</v>
      </c>
      <c r="E1" s="327">
        <f t="shared" si="0"/>
        <v>3</v>
      </c>
      <c r="F1" s="327">
        <f t="shared" si="0"/>
        <v>4</v>
      </c>
      <c r="G1" s="327">
        <f t="shared" si="0"/>
        <v>5</v>
      </c>
      <c r="H1" s="327">
        <f t="shared" si="0"/>
        <v>6</v>
      </c>
      <c r="I1" s="327">
        <f t="shared" si="0"/>
        <v>7</v>
      </c>
      <c r="J1" s="327">
        <f t="shared" si="0"/>
        <v>8</v>
      </c>
      <c r="K1" s="327">
        <f t="shared" si="0"/>
        <v>9</v>
      </c>
      <c r="L1" s="327">
        <f t="shared" si="0"/>
        <v>10</v>
      </c>
      <c r="M1" s="327">
        <f t="shared" si="0"/>
        <v>11</v>
      </c>
      <c r="N1" s="327">
        <f t="shared" si="0"/>
        <v>12</v>
      </c>
      <c r="O1" s="327">
        <f t="shared" si="0"/>
        <v>13</v>
      </c>
      <c r="P1" s="327">
        <f t="shared" si="0"/>
        <v>14</v>
      </c>
    </row>
    <row r="2" spans="1:22" s="178" customFormat="1" ht="17.399999999999999">
      <c r="A2" s="372" t="s">
        <v>12</v>
      </c>
      <c r="B2" s="359"/>
      <c r="C2" s="359"/>
      <c r="D2" s="359"/>
      <c r="E2" s="359"/>
      <c r="F2" s="359"/>
      <c r="G2" s="359"/>
      <c r="H2" s="359"/>
      <c r="I2" s="359"/>
      <c r="J2" s="359"/>
      <c r="K2" s="359"/>
      <c r="L2" s="359"/>
      <c r="M2" s="359"/>
      <c r="N2" s="359"/>
      <c r="O2" s="359"/>
      <c r="P2" s="359"/>
    </row>
    <row r="3" spans="1:22">
      <c r="A3" s="373"/>
      <c r="B3" s="400"/>
      <c r="C3" s="400"/>
      <c r="D3" s="400"/>
      <c r="E3" s="400"/>
      <c r="F3" s="400"/>
      <c r="G3" s="400"/>
      <c r="H3" s="400"/>
      <c r="I3" s="400"/>
      <c r="J3" s="400"/>
      <c r="K3" s="400"/>
      <c r="L3" s="400"/>
      <c r="M3" s="400"/>
      <c r="N3" s="400"/>
      <c r="O3" s="400"/>
      <c r="P3" s="400"/>
    </row>
    <row r="4" spans="1:22">
      <c r="A4" s="374" t="s">
        <v>453</v>
      </c>
      <c r="B4" s="401">
        <v>2015</v>
      </c>
      <c r="C4" s="360"/>
      <c r="D4" s="360"/>
      <c r="E4" s="360"/>
      <c r="F4" s="400"/>
      <c r="G4" s="360"/>
      <c r="H4" s="360"/>
      <c r="I4" s="360"/>
      <c r="J4" s="400"/>
      <c r="K4" s="400"/>
      <c r="L4" s="400"/>
      <c r="M4" s="400"/>
      <c r="N4" s="400"/>
      <c r="O4" s="400"/>
      <c r="P4" s="400"/>
    </row>
    <row r="5" spans="1:22">
      <c r="A5" s="373"/>
      <c r="B5" s="360"/>
      <c r="C5" s="360"/>
      <c r="D5" s="361"/>
      <c r="E5" s="361"/>
      <c r="F5" s="361"/>
      <c r="G5" s="361"/>
      <c r="H5" s="361"/>
      <c r="I5" s="361"/>
      <c r="J5" s="361"/>
      <c r="K5" s="361"/>
      <c r="L5" s="361"/>
      <c r="M5" s="361"/>
      <c r="N5" s="361"/>
      <c r="O5" s="361"/>
      <c r="P5" s="361"/>
    </row>
    <row r="6" spans="1:22">
      <c r="A6" s="374" t="s">
        <v>454</v>
      </c>
      <c r="B6" s="375" t="s">
        <v>341</v>
      </c>
      <c r="C6" s="360"/>
      <c r="D6" s="360"/>
      <c r="E6" s="360"/>
      <c r="F6" s="400"/>
      <c r="G6" s="360"/>
      <c r="H6" s="360"/>
      <c r="I6" s="360"/>
      <c r="J6" s="400"/>
      <c r="K6" s="400"/>
      <c r="L6" s="400"/>
      <c r="M6" s="400"/>
      <c r="N6" s="400"/>
      <c r="O6" s="400"/>
      <c r="P6" s="400"/>
    </row>
    <row r="7" spans="1:22">
      <c r="A7" s="373"/>
      <c r="B7" s="360"/>
      <c r="C7" s="361"/>
      <c r="D7" s="361"/>
      <c r="E7" s="361"/>
      <c r="F7" s="361"/>
      <c r="G7" s="361"/>
      <c r="H7" s="361"/>
      <c r="I7" s="361"/>
      <c r="J7" s="361"/>
      <c r="K7" s="361"/>
      <c r="L7" s="361"/>
      <c r="M7" s="361"/>
      <c r="N7" s="361"/>
      <c r="O7" s="361"/>
      <c r="P7" s="361"/>
      <c r="Q7" s="184"/>
      <c r="R7" s="184"/>
      <c r="S7" s="184"/>
      <c r="T7" s="184"/>
      <c r="U7" s="184"/>
      <c r="V7" s="184"/>
    </row>
    <row r="8" spans="1:22" ht="13.8">
      <c r="A8" s="402"/>
      <c r="B8" s="414" t="s">
        <v>6</v>
      </c>
      <c r="C8" s="415">
        <v>345</v>
      </c>
      <c r="D8" s="415">
        <v>1453</v>
      </c>
      <c r="E8" s="415">
        <v>352</v>
      </c>
      <c r="F8" s="415">
        <v>356</v>
      </c>
      <c r="G8" s="415">
        <v>1616</v>
      </c>
      <c r="H8" s="415" t="s">
        <v>471</v>
      </c>
      <c r="I8" s="415">
        <v>2837</v>
      </c>
      <c r="J8" s="415">
        <v>2793</v>
      </c>
      <c r="K8" s="415">
        <v>1950</v>
      </c>
      <c r="L8" s="415">
        <v>3206</v>
      </c>
      <c r="M8" s="415">
        <v>2846</v>
      </c>
      <c r="N8" s="415">
        <v>1270</v>
      </c>
      <c r="O8" s="415">
        <v>3125</v>
      </c>
      <c r="P8" s="415">
        <v>3679</v>
      </c>
      <c r="Q8" s="184"/>
      <c r="R8" s="184"/>
      <c r="S8" s="184"/>
      <c r="T8" s="184"/>
      <c r="U8" s="184"/>
      <c r="V8" s="184"/>
    </row>
    <row r="9" spans="1:22" ht="13.8">
      <c r="A9" s="402"/>
      <c r="B9" s="414" t="s">
        <v>456</v>
      </c>
      <c r="C9" s="416" t="s">
        <v>455</v>
      </c>
      <c r="D9" s="416" t="s">
        <v>455</v>
      </c>
      <c r="E9" s="416" t="s">
        <v>455</v>
      </c>
      <c r="F9" s="416" t="s">
        <v>455</v>
      </c>
      <c r="G9" s="416" t="s">
        <v>455</v>
      </c>
      <c r="H9" s="416" t="s">
        <v>455</v>
      </c>
      <c r="I9" s="416" t="s">
        <v>455</v>
      </c>
      <c r="J9" s="416" t="s">
        <v>455</v>
      </c>
      <c r="K9" s="416" t="s">
        <v>455</v>
      </c>
      <c r="L9" s="416" t="s">
        <v>455</v>
      </c>
      <c r="M9" s="416" t="s">
        <v>455</v>
      </c>
      <c r="N9" s="416" t="s">
        <v>455</v>
      </c>
      <c r="O9" s="416" t="s">
        <v>455</v>
      </c>
      <c r="P9" s="416" t="s">
        <v>455</v>
      </c>
      <c r="Q9" s="184"/>
      <c r="R9" s="184"/>
      <c r="S9" s="184"/>
      <c r="T9" s="184"/>
      <c r="U9" s="184"/>
      <c r="V9" s="184"/>
    </row>
    <row r="10" spans="1:22" ht="15" customHeight="1">
      <c r="A10" s="402"/>
      <c r="B10" s="414" t="s">
        <v>5</v>
      </c>
      <c r="C10" s="416" t="s">
        <v>514</v>
      </c>
      <c r="D10" s="416" t="s">
        <v>514</v>
      </c>
      <c r="E10" s="416" t="s">
        <v>514</v>
      </c>
      <c r="F10" s="416" t="s">
        <v>514</v>
      </c>
      <c r="G10" s="416" t="s">
        <v>514</v>
      </c>
      <c r="H10" s="416" t="s">
        <v>514</v>
      </c>
      <c r="I10" s="416" t="s">
        <v>514</v>
      </c>
      <c r="J10" s="416" t="s">
        <v>514</v>
      </c>
      <c r="K10" s="416" t="s">
        <v>514</v>
      </c>
      <c r="L10" s="416" t="s">
        <v>514</v>
      </c>
      <c r="M10" s="416" t="s">
        <v>514</v>
      </c>
      <c r="N10" s="416" t="s">
        <v>514</v>
      </c>
      <c r="O10" s="416" t="s">
        <v>514</v>
      </c>
      <c r="P10" s="416" t="s">
        <v>514</v>
      </c>
      <c r="Q10" s="184"/>
      <c r="R10" s="184"/>
      <c r="S10" s="184"/>
      <c r="T10" s="184"/>
      <c r="U10" s="184"/>
      <c r="V10" s="184"/>
    </row>
    <row r="11" spans="1:22">
      <c r="A11" s="185" t="s">
        <v>457</v>
      </c>
      <c r="B11" s="186" t="str">
        <f>"December "&amp;B4-1</f>
        <v>December 2014</v>
      </c>
      <c r="C11" s="201">
        <v>148563323.00999999</v>
      </c>
      <c r="D11" s="200">
        <v>8751971.6799999997</v>
      </c>
      <c r="E11" s="201">
        <v>88263391.920000002</v>
      </c>
      <c r="F11" s="200">
        <v>141135061.09</v>
      </c>
      <c r="G11" s="201">
        <v>1379725.86</v>
      </c>
      <c r="H11" s="200">
        <v>2147722.77</v>
      </c>
      <c r="I11" s="201">
        <v>626602.79500000004</v>
      </c>
      <c r="J11" s="200">
        <v>405929.96499999997</v>
      </c>
      <c r="K11" s="201">
        <v>15402302.789999999</v>
      </c>
      <c r="L11" s="200">
        <v>0</v>
      </c>
      <c r="M11" s="201">
        <v>120774745.52</v>
      </c>
      <c r="N11" s="200">
        <v>0</v>
      </c>
      <c r="O11" s="201">
        <v>22993236.770000003</v>
      </c>
      <c r="P11" s="200">
        <v>11164441.16</v>
      </c>
      <c r="Q11" s="184"/>
      <c r="R11" s="184"/>
      <c r="S11" s="184"/>
      <c r="T11" s="184"/>
      <c r="U11" s="184"/>
      <c r="V11" s="184"/>
    </row>
    <row r="12" spans="1:22">
      <c r="A12" s="190" t="s">
        <v>458</v>
      </c>
      <c r="B12" s="191" t="str">
        <f>"January "&amp;B4</f>
        <v>January 2015</v>
      </c>
      <c r="C12" s="189">
        <v>148563323.01000002</v>
      </c>
      <c r="D12" s="188">
        <v>8751971.6799999997</v>
      </c>
      <c r="E12" s="189">
        <v>88263391.920000002</v>
      </c>
      <c r="F12" s="188">
        <v>141149448.40000004</v>
      </c>
      <c r="G12" s="189">
        <v>1379725.86</v>
      </c>
      <c r="H12" s="188">
        <v>2147722.77</v>
      </c>
      <c r="I12" s="189">
        <v>626602.79500000004</v>
      </c>
      <c r="J12" s="188">
        <v>405929.96500000003</v>
      </c>
      <c r="K12" s="189">
        <v>15402302.789999999</v>
      </c>
      <c r="L12" s="188">
        <v>0</v>
      </c>
      <c r="M12" s="189">
        <v>120879637.63000004</v>
      </c>
      <c r="N12" s="188">
        <v>0</v>
      </c>
      <c r="O12" s="189">
        <v>23878955.190000005</v>
      </c>
      <c r="P12" s="188">
        <v>16227088.659999998</v>
      </c>
      <c r="Q12" s="184"/>
      <c r="R12" s="184"/>
      <c r="S12" s="184"/>
      <c r="T12" s="184"/>
      <c r="U12" s="184"/>
      <c r="V12" s="184"/>
    </row>
    <row r="13" spans="1:22">
      <c r="A13" s="190"/>
      <c r="B13" s="192" t="s">
        <v>24</v>
      </c>
      <c r="C13" s="189">
        <v>148563323.00999996</v>
      </c>
      <c r="D13" s="188">
        <v>8751971.6800000016</v>
      </c>
      <c r="E13" s="189">
        <v>88263391.919999972</v>
      </c>
      <c r="F13" s="188">
        <v>141170087.08000001</v>
      </c>
      <c r="G13" s="189">
        <v>1379725.86</v>
      </c>
      <c r="H13" s="188">
        <v>2141426.63</v>
      </c>
      <c r="I13" s="189">
        <v>626602.79500000004</v>
      </c>
      <c r="J13" s="188">
        <v>405929.96499999997</v>
      </c>
      <c r="K13" s="189">
        <v>15402302.789999999</v>
      </c>
      <c r="L13" s="188">
        <v>0</v>
      </c>
      <c r="M13" s="189">
        <v>120957164.10000001</v>
      </c>
      <c r="N13" s="188">
        <v>0</v>
      </c>
      <c r="O13" s="189">
        <v>24385923.549999997</v>
      </c>
      <c r="P13" s="188">
        <v>21713092.440000001</v>
      </c>
      <c r="Q13" s="184"/>
      <c r="R13" s="184"/>
      <c r="S13" s="184"/>
      <c r="T13" s="184"/>
      <c r="U13" s="184"/>
      <c r="V13" s="184"/>
    </row>
    <row r="14" spans="1:22">
      <c r="A14" s="190"/>
      <c r="B14" s="192" t="s">
        <v>451</v>
      </c>
      <c r="C14" s="189">
        <v>148563323.01000002</v>
      </c>
      <c r="D14" s="188">
        <v>8751971.6799999997</v>
      </c>
      <c r="E14" s="189">
        <v>88263391.920000002</v>
      </c>
      <c r="F14" s="188">
        <v>141170014.33000001</v>
      </c>
      <c r="G14" s="189">
        <v>1379725.86</v>
      </c>
      <c r="H14" s="188">
        <v>2141426.63</v>
      </c>
      <c r="I14" s="189">
        <v>626602.79500000004</v>
      </c>
      <c r="J14" s="188">
        <v>405929.96500000003</v>
      </c>
      <c r="K14" s="189">
        <v>15402302.789999999</v>
      </c>
      <c r="L14" s="188">
        <v>0</v>
      </c>
      <c r="M14" s="189">
        <v>123944964.96000002</v>
      </c>
      <c r="N14" s="188">
        <v>0</v>
      </c>
      <c r="O14" s="189">
        <v>24675304.259999998</v>
      </c>
      <c r="P14" s="188">
        <v>25772783.350000001</v>
      </c>
      <c r="Q14" s="184"/>
      <c r="R14" s="184"/>
      <c r="S14" s="184"/>
      <c r="T14" s="184"/>
      <c r="U14" s="184"/>
      <c r="V14" s="184"/>
    </row>
    <row r="15" spans="1:22">
      <c r="A15" s="190"/>
      <c r="B15" s="192" t="s">
        <v>23</v>
      </c>
      <c r="C15" s="189">
        <v>148563323.00999999</v>
      </c>
      <c r="D15" s="188">
        <v>8751971.6799999997</v>
      </c>
      <c r="E15" s="189">
        <v>88263391.920000017</v>
      </c>
      <c r="F15" s="188">
        <v>141173285.24999997</v>
      </c>
      <c r="G15" s="189">
        <v>1379725.86</v>
      </c>
      <c r="H15" s="188">
        <v>2141426.6300000004</v>
      </c>
      <c r="I15" s="189">
        <v>626602.79500000004</v>
      </c>
      <c r="J15" s="188">
        <v>405929.96500000003</v>
      </c>
      <c r="K15" s="189">
        <v>15402302.789999999</v>
      </c>
      <c r="L15" s="188">
        <v>0</v>
      </c>
      <c r="M15" s="189">
        <v>123988674.60000001</v>
      </c>
      <c r="N15" s="188">
        <v>0</v>
      </c>
      <c r="O15" s="189">
        <v>25048158.720000003</v>
      </c>
      <c r="P15" s="188">
        <v>27362308.039999999</v>
      </c>
      <c r="Q15" s="184"/>
      <c r="R15" s="184"/>
      <c r="S15" s="184"/>
      <c r="T15" s="184"/>
      <c r="U15" s="184"/>
      <c r="V15" s="184"/>
    </row>
    <row r="16" spans="1:22">
      <c r="A16" s="190"/>
      <c r="B16" s="192" t="s">
        <v>22</v>
      </c>
      <c r="C16" s="189">
        <v>148563323.00999996</v>
      </c>
      <c r="D16" s="188">
        <v>8751971.6799999997</v>
      </c>
      <c r="E16" s="189">
        <v>88263391.920000002</v>
      </c>
      <c r="F16" s="188">
        <v>141173979.73000002</v>
      </c>
      <c r="G16" s="189">
        <v>1379725.86</v>
      </c>
      <c r="H16" s="188">
        <v>2141426.63</v>
      </c>
      <c r="I16" s="189">
        <v>626602.79500000004</v>
      </c>
      <c r="J16" s="188">
        <v>405929.96500000003</v>
      </c>
      <c r="K16" s="189">
        <v>15402302.789999999</v>
      </c>
      <c r="L16" s="188">
        <v>0</v>
      </c>
      <c r="M16" s="189">
        <v>124061516.27000001</v>
      </c>
      <c r="N16" s="188">
        <v>0</v>
      </c>
      <c r="O16" s="189">
        <v>25360588.860000007</v>
      </c>
      <c r="P16" s="188">
        <v>33760854.450510003</v>
      </c>
      <c r="Q16" s="184"/>
      <c r="R16" s="184"/>
      <c r="S16" s="184"/>
      <c r="T16" s="184"/>
      <c r="U16" s="184"/>
      <c r="V16" s="184"/>
    </row>
    <row r="17" spans="1:22">
      <c r="A17" s="190"/>
      <c r="B17" s="192" t="s">
        <v>21</v>
      </c>
      <c r="C17" s="189">
        <v>148505802.68000001</v>
      </c>
      <c r="D17" s="188">
        <v>8751971.6799999997</v>
      </c>
      <c r="E17" s="189">
        <v>88220916.11999999</v>
      </c>
      <c r="F17" s="188">
        <v>141173979.72999996</v>
      </c>
      <c r="G17" s="189">
        <v>1379725.86</v>
      </c>
      <c r="H17" s="188">
        <v>2141426.6300000004</v>
      </c>
      <c r="I17" s="189">
        <v>626602.79500000004</v>
      </c>
      <c r="J17" s="188">
        <v>405929.96500000003</v>
      </c>
      <c r="K17" s="189">
        <v>15402302.789999999</v>
      </c>
      <c r="L17" s="188">
        <v>0</v>
      </c>
      <c r="M17" s="189">
        <v>124112163.72999999</v>
      </c>
      <c r="N17" s="188">
        <v>0</v>
      </c>
      <c r="O17" s="189">
        <v>25905550.460000005</v>
      </c>
      <c r="P17" s="188">
        <v>40207204.551399998</v>
      </c>
      <c r="Q17" s="184"/>
      <c r="R17" s="184"/>
      <c r="S17" s="184"/>
      <c r="T17" s="184"/>
      <c r="U17" s="184"/>
      <c r="V17" s="184"/>
    </row>
    <row r="18" spans="1:22">
      <c r="A18" s="190"/>
      <c r="B18" s="192" t="s">
        <v>20</v>
      </c>
      <c r="C18" s="189">
        <v>148505802.68000001</v>
      </c>
      <c r="D18" s="188">
        <v>8751971.6799999997</v>
      </c>
      <c r="E18" s="189">
        <v>88220916.12000002</v>
      </c>
      <c r="F18" s="188">
        <v>141173979.72999996</v>
      </c>
      <c r="G18" s="189">
        <v>1379725.86</v>
      </c>
      <c r="H18" s="188">
        <v>2141426.6300000004</v>
      </c>
      <c r="I18" s="189">
        <v>626602.79500000004</v>
      </c>
      <c r="J18" s="188">
        <v>405929.96500000003</v>
      </c>
      <c r="K18" s="189">
        <v>15402302.789999999</v>
      </c>
      <c r="L18" s="188">
        <v>0</v>
      </c>
      <c r="M18" s="189">
        <v>124170824.83999999</v>
      </c>
      <c r="N18" s="188">
        <v>0</v>
      </c>
      <c r="O18" s="189">
        <v>26123792.390000001</v>
      </c>
      <c r="P18" s="188">
        <v>46095336.216799989</v>
      </c>
      <c r="Q18" s="184"/>
      <c r="R18" s="184"/>
      <c r="S18" s="184"/>
      <c r="T18" s="184"/>
      <c r="U18" s="184"/>
      <c r="V18" s="184"/>
    </row>
    <row r="19" spans="1:22">
      <c r="A19" s="190"/>
      <c r="B19" s="192" t="s">
        <v>452</v>
      </c>
      <c r="C19" s="189">
        <v>148505802.68000001</v>
      </c>
      <c r="D19" s="188">
        <v>8751971.6799999997</v>
      </c>
      <c r="E19" s="189">
        <v>88220916.120000035</v>
      </c>
      <c r="F19" s="188">
        <v>141173979.72999996</v>
      </c>
      <c r="G19" s="189">
        <v>1379725.86</v>
      </c>
      <c r="H19" s="188">
        <v>2141426.6300000004</v>
      </c>
      <c r="I19" s="189">
        <v>626602.79500000004</v>
      </c>
      <c r="J19" s="188">
        <v>405929.96500000003</v>
      </c>
      <c r="K19" s="189">
        <v>15402302.789999999</v>
      </c>
      <c r="L19" s="188">
        <v>0</v>
      </c>
      <c r="M19" s="189">
        <v>124207431.58</v>
      </c>
      <c r="N19" s="188">
        <v>0</v>
      </c>
      <c r="O19" s="189">
        <v>26081929.430000003</v>
      </c>
      <c r="P19" s="188">
        <v>51311763.113819994</v>
      </c>
      <c r="Q19" s="184"/>
      <c r="R19" s="184"/>
      <c r="S19" s="184"/>
      <c r="T19" s="184"/>
      <c r="U19" s="184"/>
      <c r="V19" s="184"/>
    </row>
    <row r="20" spans="1:22">
      <c r="A20" s="190"/>
      <c r="B20" s="192" t="s">
        <v>19</v>
      </c>
      <c r="C20" s="189">
        <v>148505802.68000001</v>
      </c>
      <c r="D20" s="188">
        <v>8751971.6799999997</v>
      </c>
      <c r="E20" s="189">
        <v>88220916.12000002</v>
      </c>
      <c r="F20" s="188">
        <v>141173979.72999996</v>
      </c>
      <c r="G20" s="189">
        <v>1379725.86</v>
      </c>
      <c r="H20" s="188">
        <v>2141426.6300000004</v>
      </c>
      <c r="I20" s="189">
        <v>626602.79500000004</v>
      </c>
      <c r="J20" s="188">
        <v>405929.96500000003</v>
      </c>
      <c r="K20" s="189">
        <v>15402302.789999999</v>
      </c>
      <c r="L20" s="188">
        <v>177408.73</v>
      </c>
      <c r="M20" s="189">
        <v>124280874.65000001</v>
      </c>
      <c r="N20" s="188">
        <v>0</v>
      </c>
      <c r="O20" s="189">
        <v>26127967.480000004</v>
      </c>
      <c r="P20" s="188">
        <v>56131604.129599996</v>
      </c>
      <c r="Q20" s="184"/>
      <c r="R20" s="184"/>
      <c r="S20" s="184"/>
      <c r="T20" s="184"/>
      <c r="U20" s="184"/>
      <c r="V20" s="184"/>
    </row>
    <row r="21" spans="1:22">
      <c r="A21" s="190"/>
      <c r="B21" s="192" t="s">
        <v>18</v>
      </c>
      <c r="C21" s="189">
        <v>148505802.68000001</v>
      </c>
      <c r="D21" s="188">
        <v>8751971.6799999997</v>
      </c>
      <c r="E21" s="189">
        <v>88220916.11999999</v>
      </c>
      <c r="F21" s="188">
        <v>141173979.72999996</v>
      </c>
      <c r="G21" s="189">
        <v>1379725.86</v>
      </c>
      <c r="H21" s="188">
        <v>2141426.6300000004</v>
      </c>
      <c r="I21" s="189">
        <v>626602.79500000004</v>
      </c>
      <c r="J21" s="188">
        <v>405929.96500000003</v>
      </c>
      <c r="K21" s="189">
        <v>15402302.789999999</v>
      </c>
      <c r="L21" s="188">
        <v>231706.27000000002</v>
      </c>
      <c r="M21" s="189">
        <v>124248838.04000001</v>
      </c>
      <c r="N21" s="188">
        <v>0</v>
      </c>
      <c r="O21" s="189">
        <v>26161695.600000009</v>
      </c>
      <c r="P21" s="188">
        <v>60050318.728129998</v>
      </c>
      <c r="Q21" s="184"/>
      <c r="R21" s="184"/>
      <c r="S21" s="184"/>
      <c r="T21" s="184"/>
      <c r="U21" s="184"/>
      <c r="V21" s="184"/>
    </row>
    <row r="22" spans="1:22">
      <c r="A22" s="190"/>
      <c r="B22" s="192" t="s">
        <v>17</v>
      </c>
      <c r="C22" s="189">
        <v>148505802.68000001</v>
      </c>
      <c r="D22" s="188">
        <v>8751971.6799999997</v>
      </c>
      <c r="E22" s="189">
        <v>88220916.11999999</v>
      </c>
      <c r="F22" s="188">
        <v>141173979.72999996</v>
      </c>
      <c r="G22" s="189">
        <v>1379725.86</v>
      </c>
      <c r="H22" s="188">
        <v>2141426.6300000004</v>
      </c>
      <c r="I22" s="189">
        <v>626602.79500000004</v>
      </c>
      <c r="J22" s="188">
        <v>405929.96500000003</v>
      </c>
      <c r="K22" s="189">
        <v>15402302.789999999</v>
      </c>
      <c r="L22" s="188">
        <v>310847.38</v>
      </c>
      <c r="M22" s="189">
        <v>124258689.84999999</v>
      </c>
      <c r="N22" s="188">
        <v>0</v>
      </c>
      <c r="O22" s="189">
        <v>26175583.09</v>
      </c>
      <c r="P22" s="188">
        <v>63747336.670000009</v>
      </c>
      <c r="Q22" s="184"/>
      <c r="R22" s="184"/>
      <c r="S22" s="184"/>
      <c r="T22" s="184"/>
      <c r="U22" s="184"/>
      <c r="V22" s="184"/>
    </row>
    <row r="23" spans="1:22">
      <c r="A23" s="193"/>
      <c r="B23" s="194" t="str">
        <f>"December "&amp;B4</f>
        <v>December 2015</v>
      </c>
      <c r="C23" s="204">
        <v>148505802.68000001</v>
      </c>
      <c r="D23" s="203">
        <v>8751971.6799999997</v>
      </c>
      <c r="E23" s="204">
        <v>88220916.11999999</v>
      </c>
      <c r="F23" s="203">
        <v>141173979.72999996</v>
      </c>
      <c r="G23" s="204">
        <v>1379725.86</v>
      </c>
      <c r="H23" s="203">
        <v>2141426.6300000004</v>
      </c>
      <c r="I23" s="204">
        <v>626602.79500000004</v>
      </c>
      <c r="J23" s="203">
        <v>405929.96500000003</v>
      </c>
      <c r="K23" s="204">
        <v>15402302.789999999</v>
      </c>
      <c r="L23" s="203">
        <v>442070.47000000003</v>
      </c>
      <c r="M23" s="204">
        <v>124265484.94999999</v>
      </c>
      <c r="N23" s="203">
        <v>0</v>
      </c>
      <c r="O23" s="204">
        <v>26180311.440000005</v>
      </c>
      <c r="P23" s="203">
        <v>69062224.79524</v>
      </c>
      <c r="Q23" s="184"/>
      <c r="R23" s="184"/>
      <c r="S23" s="184"/>
      <c r="T23" s="184"/>
      <c r="U23" s="184"/>
      <c r="V23" s="184"/>
    </row>
    <row r="24" spans="1:22">
      <c r="A24" s="195"/>
      <c r="B24" s="196" t="s">
        <v>4</v>
      </c>
      <c r="C24" s="197">
        <f t="shared" ref="C24:P24" si="1">AVERAGE(C11:C23)</f>
        <v>148532350.52461541</v>
      </c>
      <c r="D24" s="197">
        <f t="shared" si="1"/>
        <v>8751971.6800000034</v>
      </c>
      <c r="E24" s="197">
        <f t="shared" si="1"/>
        <v>88240520.335384607</v>
      </c>
      <c r="F24" s="197">
        <f t="shared" si="1"/>
        <v>141168441.07615387</v>
      </c>
      <c r="G24" s="197">
        <f t="shared" si="1"/>
        <v>1379725.8599999999</v>
      </c>
      <c r="H24" s="197">
        <f t="shared" si="1"/>
        <v>2142395.2669230769</v>
      </c>
      <c r="I24" s="197">
        <f t="shared" si="1"/>
        <v>626602.79500000004</v>
      </c>
      <c r="J24" s="197">
        <f t="shared" si="1"/>
        <v>405929.96499999991</v>
      </c>
      <c r="K24" s="197">
        <f t="shared" si="1"/>
        <v>15402302.789999994</v>
      </c>
      <c r="L24" s="197">
        <f t="shared" si="1"/>
        <v>89387.142307692309</v>
      </c>
      <c r="M24" s="198">
        <f t="shared" si="1"/>
        <v>123396231.59384616</v>
      </c>
      <c r="N24" s="197">
        <f t="shared" si="1"/>
        <v>0</v>
      </c>
      <c r="O24" s="197">
        <f t="shared" si="1"/>
        <v>25315307.480000004</v>
      </c>
      <c r="P24" s="197">
        <f t="shared" si="1"/>
        <v>40200488.946576923</v>
      </c>
      <c r="Q24" s="184"/>
      <c r="R24" s="184"/>
      <c r="S24" s="184"/>
      <c r="T24" s="184"/>
      <c r="U24" s="184"/>
      <c r="V24" s="184"/>
    </row>
    <row r="25" spans="1:22">
      <c r="A25" s="195"/>
      <c r="B25" s="362"/>
      <c r="C25" s="362"/>
      <c r="D25" s="362"/>
      <c r="E25" s="362"/>
      <c r="F25" s="362"/>
      <c r="G25" s="362"/>
      <c r="H25" s="362"/>
      <c r="I25" s="362"/>
      <c r="J25" s="362"/>
      <c r="K25" s="362"/>
      <c r="L25" s="362"/>
      <c r="M25" s="403"/>
      <c r="N25" s="362"/>
      <c r="O25" s="362"/>
      <c r="P25" s="362"/>
      <c r="Q25" s="184"/>
      <c r="R25" s="184"/>
      <c r="S25" s="184"/>
      <c r="T25" s="184"/>
      <c r="U25" s="184"/>
      <c r="V25" s="184"/>
    </row>
    <row r="26" spans="1:22">
      <c r="A26" s="195"/>
      <c r="B26" s="362"/>
      <c r="C26" s="362"/>
      <c r="D26" s="362"/>
      <c r="E26" s="362"/>
      <c r="F26" s="362"/>
      <c r="G26" s="362"/>
      <c r="H26" s="362"/>
      <c r="I26" s="362"/>
      <c r="J26" s="362"/>
      <c r="K26" s="362"/>
      <c r="L26" s="362"/>
      <c r="M26" s="403"/>
      <c r="N26" s="362"/>
      <c r="O26" s="362"/>
      <c r="P26" s="362"/>
      <c r="Q26" s="184"/>
      <c r="R26" s="184"/>
      <c r="S26" s="184"/>
      <c r="T26" s="184"/>
      <c r="U26" s="184"/>
      <c r="V26" s="184"/>
    </row>
    <row r="27" spans="1:22">
      <c r="A27" s="185" t="s">
        <v>459</v>
      </c>
      <c r="B27" s="186" t="str">
        <f t="shared" ref="B27:B39" si="2">+B11</f>
        <v>December 2014</v>
      </c>
      <c r="C27" s="199">
        <f t="shared" ref="C27:P27" si="3">+C11-C44</f>
        <v>22642615.539999992</v>
      </c>
      <c r="D27" s="200">
        <f t="shared" si="3"/>
        <v>1565626.4030000018</v>
      </c>
      <c r="E27" s="199">
        <f t="shared" si="3"/>
        <v>12880864.160000011</v>
      </c>
      <c r="F27" s="200">
        <f t="shared" si="3"/>
        <v>6918602.400000006</v>
      </c>
      <c r="G27" s="199">
        <f t="shared" si="3"/>
        <v>237483.60999999964</v>
      </c>
      <c r="H27" s="200">
        <f t="shared" si="3"/>
        <v>170089.88500000001</v>
      </c>
      <c r="I27" s="199">
        <f t="shared" si="3"/>
        <v>53439.094999999972</v>
      </c>
      <c r="J27" s="200">
        <f t="shared" si="3"/>
        <v>51620.799999999988</v>
      </c>
      <c r="K27" s="199">
        <f t="shared" si="3"/>
        <v>1571691.4299999997</v>
      </c>
      <c r="L27" s="200">
        <f t="shared" si="3"/>
        <v>0</v>
      </c>
      <c r="M27" s="201">
        <f t="shared" si="3"/>
        <v>1798110.549999997</v>
      </c>
      <c r="N27" s="200">
        <f t="shared" si="3"/>
        <v>0</v>
      </c>
      <c r="O27" s="199">
        <f t="shared" si="3"/>
        <v>0</v>
      </c>
      <c r="P27" s="233">
        <f t="shared" si="3"/>
        <v>0</v>
      </c>
      <c r="Q27" s="184"/>
      <c r="R27" s="184"/>
      <c r="S27" s="184"/>
      <c r="T27" s="184"/>
      <c r="U27" s="184"/>
      <c r="V27" s="184"/>
    </row>
    <row r="28" spans="1:22">
      <c r="A28" s="190" t="s">
        <v>460</v>
      </c>
      <c r="B28" s="191" t="str">
        <f t="shared" si="2"/>
        <v>January 2015</v>
      </c>
      <c r="C28" s="187">
        <f t="shared" ref="C28:P28" si="4">+C12-C45</f>
        <v>22963280.039999992</v>
      </c>
      <c r="D28" s="188">
        <f t="shared" si="4"/>
        <v>1586592.7430000016</v>
      </c>
      <c r="E28" s="187">
        <f t="shared" si="4"/>
        <v>13070161.500000015</v>
      </c>
      <c r="F28" s="188">
        <f t="shared" si="4"/>
        <v>7200801.549999997</v>
      </c>
      <c r="G28" s="187">
        <f t="shared" si="4"/>
        <v>240662.46999999974</v>
      </c>
      <c r="H28" s="188">
        <f t="shared" si="4"/>
        <v>175065.19499999983</v>
      </c>
      <c r="I28" s="187">
        <f t="shared" si="4"/>
        <v>54962.339999999967</v>
      </c>
      <c r="J28" s="188">
        <f t="shared" si="4"/>
        <v>53095.679999999993</v>
      </c>
      <c r="K28" s="187">
        <f t="shared" si="4"/>
        <v>1609701.6399999987</v>
      </c>
      <c r="L28" s="188">
        <f t="shared" si="4"/>
        <v>0</v>
      </c>
      <c r="M28" s="189">
        <f t="shared" si="4"/>
        <v>2078452.2600000054</v>
      </c>
      <c r="N28" s="188">
        <f t="shared" si="4"/>
        <v>0</v>
      </c>
      <c r="O28" s="187">
        <f t="shared" si="4"/>
        <v>6608.5800000019372</v>
      </c>
      <c r="P28" s="232">
        <f t="shared" si="4"/>
        <v>0</v>
      </c>
      <c r="Q28" s="184"/>
      <c r="R28" s="184"/>
      <c r="S28" s="184"/>
      <c r="T28" s="184"/>
      <c r="U28" s="184"/>
      <c r="V28" s="184"/>
    </row>
    <row r="29" spans="1:22">
      <c r="A29" s="190"/>
      <c r="B29" s="191" t="str">
        <f t="shared" si="2"/>
        <v>February</v>
      </c>
      <c r="C29" s="187">
        <f t="shared" ref="C29:P29" si="5">+C13-C46</f>
        <v>23283944.539999992</v>
      </c>
      <c r="D29" s="188">
        <f t="shared" si="5"/>
        <v>1607559.0830000015</v>
      </c>
      <c r="E29" s="187">
        <f t="shared" si="5"/>
        <v>13259458.840000004</v>
      </c>
      <c r="F29" s="188">
        <f t="shared" si="5"/>
        <v>7483026.900000006</v>
      </c>
      <c r="G29" s="187">
        <f t="shared" si="5"/>
        <v>243841.32999999984</v>
      </c>
      <c r="H29" s="188">
        <f t="shared" si="5"/>
        <v>173744.36499999999</v>
      </c>
      <c r="I29" s="187">
        <f t="shared" si="5"/>
        <v>56485.585000000079</v>
      </c>
      <c r="J29" s="188">
        <f t="shared" si="5"/>
        <v>54570.559999999998</v>
      </c>
      <c r="K29" s="187">
        <f t="shared" si="5"/>
        <v>1647711.8499999996</v>
      </c>
      <c r="L29" s="188">
        <f t="shared" si="5"/>
        <v>0</v>
      </c>
      <c r="M29" s="189">
        <f t="shared" si="5"/>
        <v>2359449.0199999958</v>
      </c>
      <c r="N29" s="188">
        <f t="shared" si="5"/>
        <v>0</v>
      </c>
      <c r="O29" s="187">
        <f t="shared" si="5"/>
        <v>13288.219999998808</v>
      </c>
      <c r="P29" s="232">
        <f t="shared" si="5"/>
        <v>0</v>
      </c>
      <c r="Q29" s="184"/>
      <c r="R29" s="184"/>
      <c r="S29" s="184"/>
      <c r="T29" s="184"/>
      <c r="U29" s="184"/>
      <c r="V29" s="184"/>
    </row>
    <row r="30" spans="1:22">
      <c r="A30" s="190"/>
      <c r="B30" s="191" t="str">
        <f t="shared" si="2"/>
        <v xml:space="preserve">March </v>
      </c>
      <c r="C30" s="187">
        <f t="shared" ref="C30:P30" si="6">+C14-C47</f>
        <v>23604183.510000005</v>
      </c>
      <c r="D30" s="188">
        <f t="shared" si="6"/>
        <v>1628525.4230000023</v>
      </c>
      <c r="E30" s="187">
        <f t="shared" si="6"/>
        <v>13448436.909999996</v>
      </c>
      <c r="F30" s="188">
        <f t="shared" si="6"/>
        <v>7765289.8299999982</v>
      </c>
      <c r="G30" s="187">
        <f t="shared" si="6"/>
        <v>247020.18999999971</v>
      </c>
      <c r="H30" s="188">
        <f t="shared" si="6"/>
        <v>178691.44999999995</v>
      </c>
      <c r="I30" s="187">
        <f t="shared" si="6"/>
        <v>58008.830000000075</v>
      </c>
      <c r="J30" s="188">
        <f t="shared" si="6"/>
        <v>51180.024999999965</v>
      </c>
      <c r="K30" s="187">
        <f t="shared" si="6"/>
        <v>1685722.0599999987</v>
      </c>
      <c r="L30" s="188">
        <f t="shared" si="6"/>
        <v>0</v>
      </c>
      <c r="M30" s="189">
        <f t="shared" si="6"/>
        <v>2640635.4399999976</v>
      </c>
      <c r="N30" s="188">
        <f t="shared" si="6"/>
        <v>0</v>
      </c>
      <c r="O30" s="187">
        <f t="shared" si="6"/>
        <v>20011.5</v>
      </c>
      <c r="P30" s="232">
        <f t="shared" si="6"/>
        <v>0</v>
      </c>
      <c r="Q30" s="184"/>
      <c r="R30" s="184"/>
      <c r="S30" s="184"/>
      <c r="T30" s="184"/>
      <c r="U30" s="184"/>
      <c r="V30" s="184"/>
    </row>
    <row r="31" spans="1:22">
      <c r="A31" s="190"/>
      <c r="B31" s="191" t="str">
        <f t="shared" si="2"/>
        <v>April</v>
      </c>
      <c r="C31" s="187">
        <f t="shared" ref="C31:P31" si="7">+C15-C48</f>
        <v>23924792.870000005</v>
      </c>
      <c r="D31" s="188">
        <f t="shared" si="7"/>
        <v>1649491.7630000021</v>
      </c>
      <c r="E31" s="187">
        <f t="shared" si="7"/>
        <v>13637557.640000015</v>
      </c>
      <c r="F31" s="188">
        <f t="shared" si="7"/>
        <v>8047552.6200000048</v>
      </c>
      <c r="G31" s="187">
        <f t="shared" si="7"/>
        <v>250199.04999999958</v>
      </c>
      <c r="H31" s="188">
        <f t="shared" si="7"/>
        <v>183638.53499999992</v>
      </c>
      <c r="I31" s="187">
        <f t="shared" si="7"/>
        <v>59532.07500000007</v>
      </c>
      <c r="J31" s="188">
        <f t="shared" si="7"/>
        <v>51342.669999999984</v>
      </c>
      <c r="K31" s="187">
        <f t="shared" si="7"/>
        <v>1723732.2699999996</v>
      </c>
      <c r="L31" s="188">
        <f t="shared" si="7"/>
        <v>0</v>
      </c>
      <c r="M31" s="189">
        <f t="shared" si="7"/>
        <v>2929141.8299999982</v>
      </c>
      <c r="N31" s="188">
        <f t="shared" si="7"/>
        <v>0</v>
      </c>
      <c r="O31" s="187">
        <f t="shared" si="7"/>
        <v>26768.810000002384</v>
      </c>
      <c r="P31" s="232">
        <f t="shared" si="7"/>
        <v>0</v>
      </c>
      <c r="Q31" s="184"/>
      <c r="R31" s="184"/>
      <c r="S31" s="184"/>
      <c r="T31" s="184"/>
      <c r="U31" s="184"/>
      <c r="V31" s="184"/>
    </row>
    <row r="32" spans="1:22">
      <c r="A32" s="190"/>
      <c r="B32" s="191" t="str">
        <f t="shared" si="2"/>
        <v>May</v>
      </c>
      <c r="C32" s="187">
        <f t="shared" ref="C32:P32" si="8">+C16-C49</f>
        <v>24245102.289999992</v>
      </c>
      <c r="D32" s="188">
        <f t="shared" si="8"/>
        <v>1670458.103000002</v>
      </c>
      <c r="E32" s="187">
        <f t="shared" si="8"/>
        <v>13826659.270000011</v>
      </c>
      <c r="F32" s="188">
        <f t="shared" si="8"/>
        <v>8329821.3599999994</v>
      </c>
      <c r="G32" s="187">
        <f t="shared" si="8"/>
        <v>253377.90999999968</v>
      </c>
      <c r="H32" s="188">
        <f t="shared" si="8"/>
        <v>188585.61999999988</v>
      </c>
      <c r="I32" s="187">
        <f t="shared" si="8"/>
        <v>61055.320000000065</v>
      </c>
      <c r="J32" s="188">
        <f t="shared" si="8"/>
        <v>50771.039999999979</v>
      </c>
      <c r="K32" s="187">
        <f t="shared" si="8"/>
        <v>1761742.4799999986</v>
      </c>
      <c r="L32" s="188">
        <f t="shared" si="8"/>
        <v>0</v>
      </c>
      <c r="M32" s="189">
        <f t="shared" si="8"/>
        <v>3217754.7399999946</v>
      </c>
      <c r="N32" s="188">
        <f t="shared" si="8"/>
        <v>0</v>
      </c>
      <c r="O32" s="187">
        <f t="shared" si="8"/>
        <v>33538.85000000149</v>
      </c>
      <c r="P32" s="232">
        <f t="shared" si="8"/>
        <v>0</v>
      </c>
      <c r="Q32" s="184"/>
      <c r="R32" s="184"/>
      <c r="S32" s="184"/>
      <c r="T32" s="184"/>
      <c r="U32" s="184"/>
      <c r="V32" s="184"/>
    </row>
    <row r="33" spans="1:22">
      <c r="A33" s="190"/>
      <c r="B33" s="191" t="str">
        <f t="shared" si="2"/>
        <v>June</v>
      </c>
      <c r="C33" s="187">
        <f t="shared" ref="C33:P33" si="9">+C17-C50</f>
        <v>24499386.349999994</v>
      </c>
      <c r="D33" s="188">
        <f t="shared" si="9"/>
        <v>1691424.4430000018</v>
      </c>
      <c r="E33" s="187">
        <f t="shared" si="9"/>
        <v>13973362.540000007</v>
      </c>
      <c r="F33" s="188">
        <f t="shared" si="9"/>
        <v>8612091.3700000048</v>
      </c>
      <c r="G33" s="187">
        <f t="shared" si="9"/>
        <v>256556.76999999979</v>
      </c>
      <c r="H33" s="188">
        <f t="shared" si="9"/>
        <v>193532.70499999984</v>
      </c>
      <c r="I33" s="187">
        <f t="shared" si="9"/>
        <v>62209.065000000061</v>
      </c>
      <c r="J33" s="188">
        <f t="shared" si="9"/>
        <v>49985.204999999958</v>
      </c>
      <c r="K33" s="187">
        <f t="shared" si="9"/>
        <v>1799752.6899999995</v>
      </c>
      <c r="L33" s="188">
        <f t="shared" si="9"/>
        <v>0</v>
      </c>
      <c r="M33" s="189">
        <f t="shared" si="9"/>
        <v>3506564.799999997</v>
      </c>
      <c r="N33" s="188">
        <f t="shared" si="9"/>
        <v>0</v>
      </c>
      <c r="O33" s="187">
        <f t="shared" si="9"/>
        <v>40364.95000000298</v>
      </c>
      <c r="P33" s="232">
        <f t="shared" si="9"/>
        <v>0</v>
      </c>
      <c r="Q33" s="184"/>
      <c r="R33" s="184"/>
      <c r="S33" s="184"/>
      <c r="T33" s="184"/>
      <c r="U33" s="184"/>
      <c r="V33" s="184"/>
    </row>
    <row r="34" spans="1:22">
      <c r="A34" s="190"/>
      <c r="B34" s="191" t="str">
        <f t="shared" si="2"/>
        <v>July</v>
      </c>
      <c r="C34" s="187">
        <f t="shared" ref="C34:P34" si="10">+C18-C51</f>
        <v>24817042.480000004</v>
      </c>
      <c r="D34" s="188">
        <f t="shared" si="10"/>
        <v>1712390.7830000017</v>
      </c>
      <c r="E34" s="187">
        <f t="shared" si="10"/>
        <v>14162355.640000015</v>
      </c>
      <c r="F34" s="188">
        <f t="shared" si="10"/>
        <v>8893746.5900000036</v>
      </c>
      <c r="G34" s="187">
        <f t="shared" si="10"/>
        <v>259735.62999999966</v>
      </c>
      <c r="H34" s="188">
        <f t="shared" si="10"/>
        <v>198479.7899999998</v>
      </c>
      <c r="I34" s="187">
        <f t="shared" si="10"/>
        <v>63544.570000000065</v>
      </c>
      <c r="J34" s="188">
        <f t="shared" si="10"/>
        <v>45071.204999999958</v>
      </c>
      <c r="K34" s="187">
        <f t="shared" si="10"/>
        <v>1837762.8999999985</v>
      </c>
      <c r="L34" s="188">
        <f t="shared" si="10"/>
        <v>0</v>
      </c>
      <c r="M34" s="189">
        <f t="shared" si="10"/>
        <v>3795517.2699999958</v>
      </c>
      <c r="N34" s="188">
        <f t="shared" si="10"/>
        <v>0</v>
      </c>
      <c r="O34" s="187">
        <f t="shared" si="10"/>
        <v>47239.85000000149</v>
      </c>
      <c r="P34" s="232">
        <f t="shared" si="10"/>
        <v>0</v>
      </c>
      <c r="Q34" s="184"/>
      <c r="R34" s="184"/>
      <c r="S34" s="184"/>
      <c r="T34" s="184"/>
      <c r="U34" s="184"/>
      <c r="V34" s="184"/>
    </row>
    <row r="35" spans="1:22">
      <c r="A35" s="190"/>
      <c r="B35" s="191" t="str">
        <f t="shared" si="2"/>
        <v xml:space="preserve">August </v>
      </c>
      <c r="C35" s="187">
        <f t="shared" ref="C35:P35" si="11">+C19-C52</f>
        <v>25132908.180000007</v>
      </c>
      <c r="D35" s="188">
        <f t="shared" si="11"/>
        <v>1733357.1230000025</v>
      </c>
      <c r="E35" s="187">
        <f t="shared" si="11"/>
        <v>14351425.920000017</v>
      </c>
      <c r="F35" s="188">
        <f t="shared" si="11"/>
        <v>9175362.8200000077</v>
      </c>
      <c r="G35" s="187">
        <f t="shared" si="11"/>
        <v>262914.48999999953</v>
      </c>
      <c r="H35" s="188">
        <f t="shared" si="11"/>
        <v>203426.875</v>
      </c>
      <c r="I35" s="187">
        <f t="shared" si="11"/>
        <v>64662.170000000042</v>
      </c>
      <c r="J35" s="188">
        <f t="shared" si="11"/>
        <v>43075.254999999946</v>
      </c>
      <c r="K35" s="187">
        <f t="shared" si="11"/>
        <v>1875773.1099999994</v>
      </c>
      <c r="L35" s="188">
        <f t="shared" si="11"/>
        <v>0</v>
      </c>
      <c r="M35" s="189">
        <f t="shared" si="11"/>
        <v>4084500.2600000054</v>
      </c>
      <c r="N35" s="188">
        <f t="shared" si="11"/>
        <v>0</v>
      </c>
      <c r="O35" s="187">
        <f t="shared" si="11"/>
        <v>62898.469999998808</v>
      </c>
      <c r="P35" s="232">
        <f t="shared" si="11"/>
        <v>0</v>
      </c>
      <c r="Q35" s="184"/>
      <c r="R35" s="184"/>
      <c r="S35" s="184"/>
      <c r="T35" s="184"/>
      <c r="U35" s="184"/>
      <c r="V35" s="184"/>
    </row>
    <row r="36" spans="1:22">
      <c r="A36" s="190"/>
      <c r="B36" s="191" t="str">
        <f t="shared" si="2"/>
        <v>September</v>
      </c>
      <c r="C36" s="187">
        <f t="shared" ref="C36:P36" si="12">+C20-C53</f>
        <v>25450036.299999997</v>
      </c>
      <c r="D36" s="188">
        <f t="shared" si="12"/>
        <v>1754323.4630000023</v>
      </c>
      <c r="E36" s="187">
        <f t="shared" si="12"/>
        <v>14540528.420000017</v>
      </c>
      <c r="F36" s="188">
        <f t="shared" si="12"/>
        <v>9456942.5100000054</v>
      </c>
      <c r="G36" s="187">
        <f t="shared" si="12"/>
        <v>266093.34999999963</v>
      </c>
      <c r="H36" s="188">
        <f t="shared" si="12"/>
        <v>208373.95999999996</v>
      </c>
      <c r="I36" s="187">
        <f t="shared" si="12"/>
        <v>65998.685000000056</v>
      </c>
      <c r="J36" s="188">
        <f t="shared" si="12"/>
        <v>44323.569999999949</v>
      </c>
      <c r="K36" s="187">
        <f t="shared" si="12"/>
        <v>1913783.3199999984</v>
      </c>
      <c r="L36" s="188">
        <f t="shared" si="12"/>
        <v>0</v>
      </c>
      <c r="M36" s="189">
        <f t="shared" si="12"/>
        <v>4373614.950000003</v>
      </c>
      <c r="N36" s="188">
        <f t="shared" si="12"/>
        <v>0</v>
      </c>
      <c r="O36" s="187">
        <f t="shared" si="12"/>
        <v>176100.32999999821</v>
      </c>
      <c r="P36" s="232">
        <f t="shared" si="12"/>
        <v>0</v>
      </c>
      <c r="Q36" s="184"/>
      <c r="R36" s="184"/>
      <c r="S36" s="184"/>
      <c r="T36" s="184"/>
      <c r="U36" s="184"/>
      <c r="V36" s="184"/>
    </row>
    <row r="37" spans="1:22">
      <c r="A37" s="190"/>
      <c r="B37" s="191" t="str">
        <f t="shared" si="2"/>
        <v>October</v>
      </c>
      <c r="C37" s="187">
        <f t="shared" ref="C37:P37" si="13">+C21-C54</f>
        <v>25766960.489999995</v>
      </c>
      <c r="D37" s="188">
        <f t="shared" si="13"/>
        <v>1775289.8030000022</v>
      </c>
      <c r="E37" s="187">
        <f t="shared" si="13"/>
        <v>14729632.63000001</v>
      </c>
      <c r="F37" s="188">
        <f t="shared" si="13"/>
        <v>9738523.4900000095</v>
      </c>
      <c r="G37" s="187">
        <f t="shared" si="13"/>
        <v>269272.20999999973</v>
      </c>
      <c r="H37" s="188">
        <f t="shared" si="13"/>
        <v>213321.04499999993</v>
      </c>
      <c r="I37" s="187">
        <f t="shared" si="13"/>
        <v>67365.600000000093</v>
      </c>
      <c r="J37" s="188">
        <f t="shared" si="13"/>
        <v>41671.909999999974</v>
      </c>
      <c r="K37" s="187">
        <f t="shared" si="13"/>
        <v>1951793.5299999993</v>
      </c>
      <c r="L37" s="188">
        <f t="shared" si="13"/>
        <v>0</v>
      </c>
      <c r="M37" s="189">
        <f t="shared" si="13"/>
        <v>4662991.3400000036</v>
      </c>
      <c r="N37" s="188">
        <f t="shared" si="13"/>
        <v>0</v>
      </c>
      <c r="O37" s="187">
        <f t="shared" si="13"/>
        <v>240438.53999999911</v>
      </c>
      <c r="P37" s="232">
        <f t="shared" si="13"/>
        <v>0</v>
      </c>
      <c r="Q37" s="184"/>
      <c r="R37" s="184"/>
      <c r="S37" s="184"/>
      <c r="T37" s="184"/>
      <c r="U37" s="184"/>
      <c r="V37" s="184"/>
    </row>
    <row r="38" spans="1:22">
      <c r="A38" s="190"/>
      <c r="B38" s="191" t="str">
        <f t="shared" si="2"/>
        <v>November</v>
      </c>
      <c r="C38" s="187">
        <f t="shared" ref="C38:P38" si="14">+C22-C55</f>
        <v>26084224.579999998</v>
      </c>
      <c r="D38" s="188">
        <f t="shared" si="14"/>
        <v>1796256.143000003</v>
      </c>
      <c r="E38" s="187">
        <f t="shared" si="14"/>
        <v>14918644.530000016</v>
      </c>
      <c r="F38" s="188">
        <f t="shared" si="14"/>
        <v>10020091.020000011</v>
      </c>
      <c r="G38" s="187">
        <f t="shared" si="14"/>
        <v>272451.0699999996</v>
      </c>
      <c r="H38" s="188">
        <f t="shared" si="14"/>
        <v>218268.12999999989</v>
      </c>
      <c r="I38" s="187">
        <f t="shared" si="14"/>
        <v>68735.265000000014</v>
      </c>
      <c r="J38" s="188">
        <f t="shared" si="14"/>
        <v>36309.879999999946</v>
      </c>
      <c r="K38" s="187">
        <f t="shared" si="14"/>
        <v>1989803.7399999984</v>
      </c>
      <c r="L38" s="188">
        <f t="shared" si="14"/>
        <v>0</v>
      </c>
      <c r="M38" s="189">
        <f t="shared" si="14"/>
        <v>4952240.650000006</v>
      </c>
      <c r="N38" s="188">
        <f t="shared" si="14"/>
        <v>0</v>
      </c>
      <c r="O38" s="187">
        <f t="shared" si="14"/>
        <v>304862.53000000119</v>
      </c>
      <c r="P38" s="232">
        <f t="shared" si="14"/>
        <v>0</v>
      </c>
      <c r="Q38" s="184"/>
      <c r="R38" s="184"/>
      <c r="S38" s="184"/>
      <c r="T38" s="184"/>
      <c r="U38" s="184"/>
      <c r="V38" s="184"/>
    </row>
    <row r="39" spans="1:22">
      <c r="A39" s="193"/>
      <c r="B39" s="191" t="str">
        <f t="shared" si="2"/>
        <v>December 2015</v>
      </c>
      <c r="C39" s="202">
        <f t="shared" ref="C39:P39" si="15">+C23-C56</f>
        <v>26401461.019999996</v>
      </c>
      <c r="D39" s="203">
        <f t="shared" si="15"/>
        <v>1817222.4830000028</v>
      </c>
      <c r="E39" s="202">
        <f t="shared" si="15"/>
        <v>15107751.430000007</v>
      </c>
      <c r="F39" s="203">
        <f t="shared" si="15"/>
        <v>10301658.840000004</v>
      </c>
      <c r="G39" s="202">
        <f t="shared" si="15"/>
        <v>275629.92999999947</v>
      </c>
      <c r="H39" s="203">
        <f t="shared" si="15"/>
        <v>223215.21499999985</v>
      </c>
      <c r="I39" s="202">
        <f t="shared" si="15"/>
        <v>70166.020000000019</v>
      </c>
      <c r="J39" s="203">
        <f t="shared" si="15"/>
        <v>33314.829999999958</v>
      </c>
      <c r="K39" s="202">
        <f t="shared" si="15"/>
        <v>2027813.9499999993</v>
      </c>
      <c r="L39" s="203">
        <f t="shared" si="15"/>
        <v>0</v>
      </c>
      <c r="M39" s="204">
        <f t="shared" si="15"/>
        <v>5241513.2600000054</v>
      </c>
      <c r="N39" s="203">
        <f t="shared" si="15"/>
        <v>0</v>
      </c>
      <c r="O39" s="202">
        <f t="shared" si="15"/>
        <v>369322.46000000089</v>
      </c>
      <c r="P39" s="234">
        <f t="shared" si="15"/>
        <v>0</v>
      </c>
      <c r="Q39" s="184"/>
      <c r="R39" s="184"/>
      <c r="S39" s="184"/>
      <c r="T39" s="184"/>
      <c r="U39" s="184"/>
      <c r="V39" s="184"/>
    </row>
    <row r="40" spans="1:22">
      <c r="A40" s="195"/>
      <c r="B40" s="205" t="s">
        <v>4</v>
      </c>
      <c r="C40" s="197">
        <f t="shared" ref="C40:P40" si="16">AVERAGE(C27:C39)</f>
        <v>24524302.937692303</v>
      </c>
      <c r="D40" s="197">
        <f t="shared" si="16"/>
        <v>1691424.4430000023</v>
      </c>
      <c r="E40" s="197">
        <f t="shared" si="16"/>
        <v>13992833.802307703</v>
      </c>
      <c r="F40" s="197">
        <f t="shared" si="16"/>
        <v>8611039.3307692353</v>
      </c>
      <c r="G40" s="197">
        <f t="shared" si="16"/>
        <v>256556.7699999997</v>
      </c>
      <c r="H40" s="197">
        <f t="shared" si="16"/>
        <v>194494.82846153836</v>
      </c>
      <c r="I40" s="197">
        <f t="shared" si="16"/>
        <v>62012.66307692312</v>
      </c>
      <c r="J40" s="197">
        <f t="shared" si="16"/>
        <v>46640.971538461505</v>
      </c>
      <c r="K40" s="197">
        <f t="shared" si="16"/>
        <v>1799752.6899999992</v>
      </c>
      <c r="L40" s="197">
        <f t="shared" si="16"/>
        <v>0</v>
      </c>
      <c r="M40" s="198">
        <f t="shared" si="16"/>
        <v>3510806.6438461542</v>
      </c>
      <c r="N40" s="197">
        <f t="shared" si="16"/>
        <v>0</v>
      </c>
      <c r="O40" s="197">
        <f t="shared" si="16"/>
        <v>103187.93000000056</v>
      </c>
      <c r="P40" s="197">
        <f t="shared" si="16"/>
        <v>0</v>
      </c>
      <c r="Q40" s="184"/>
      <c r="R40" s="184"/>
      <c r="S40" s="184"/>
      <c r="T40" s="184"/>
      <c r="U40" s="184"/>
      <c r="V40" s="184"/>
    </row>
    <row r="41" spans="1:22" s="231" customFormat="1">
      <c r="A41" s="206"/>
      <c r="B41" s="363"/>
      <c r="C41" s="364"/>
      <c r="D41" s="364"/>
      <c r="E41" s="364"/>
      <c r="F41" s="364"/>
      <c r="G41" s="364"/>
      <c r="H41" s="365"/>
      <c r="I41" s="365"/>
      <c r="J41" s="365"/>
      <c r="K41" s="364"/>
      <c r="L41" s="400"/>
      <c r="M41" s="400"/>
      <c r="N41" s="365"/>
      <c r="O41" s="364"/>
      <c r="P41" s="365"/>
      <c r="Q41" s="184"/>
      <c r="R41" s="184"/>
      <c r="S41" s="184"/>
      <c r="T41" s="184"/>
      <c r="U41" s="184"/>
      <c r="V41" s="184"/>
    </row>
    <row r="42" spans="1:22">
      <c r="A42" s="195"/>
      <c r="B42" s="366"/>
      <c r="C42" s="367"/>
      <c r="D42" s="367"/>
      <c r="E42" s="367"/>
      <c r="F42" s="367"/>
      <c r="G42" s="367"/>
      <c r="H42" s="367"/>
      <c r="I42" s="367"/>
      <c r="J42" s="367"/>
      <c r="K42" s="367"/>
      <c r="L42" s="400"/>
      <c r="M42" s="400"/>
      <c r="N42" s="367"/>
      <c r="O42" s="367"/>
      <c r="P42" s="367"/>
      <c r="Q42" s="184"/>
      <c r="R42" s="184"/>
      <c r="S42" s="184"/>
      <c r="T42" s="184"/>
      <c r="U42" s="184"/>
      <c r="V42" s="184"/>
    </row>
    <row r="43" spans="1:22">
      <c r="A43" s="213"/>
      <c r="B43" s="368"/>
      <c r="C43" s="369"/>
      <c r="D43" s="370"/>
      <c r="E43" s="370"/>
      <c r="F43" s="370"/>
      <c r="G43" s="370"/>
      <c r="H43" s="370"/>
      <c r="I43" s="370"/>
      <c r="J43" s="370"/>
      <c r="K43" s="370"/>
      <c r="L43" s="404"/>
      <c r="M43" s="404"/>
      <c r="N43" s="370"/>
      <c r="O43" s="370"/>
      <c r="P43" s="370"/>
      <c r="Q43" s="184"/>
      <c r="R43" s="184"/>
      <c r="S43" s="184"/>
      <c r="T43" s="184"/>
      <c r="U43" s="184"/>
      <c r="V43" s="184"/>
    </row>
    <row r="44" spans="1:22">
      <c r="A44" s="190" t="s">
        <v>461</v>
      </c>
      <c r="B44" s="218" t="str">
        <f t="shared" ref="B44:B56" si="17">+B11</f>
        <v>December 2014</v>
      </c>
      <c r="C44" s="201">
        <v>125920707.47</v>
      </c>
      <c r="D44" s="200">
        <v>7186345.2769999979</v>
      </c>
      <c r="E44" s="201">
        <v>75382527.75999999</v>
      </c>
      <c r="F44" s="200">
        <v>134216458.69</v>
      </c>
      <c r="G44" s="201">
        <v>1142242.2500000005</v>
      </c>
      <c r="H44" s="200">
        <v>1977632.885</v>
      </c>
      <c r="I44" s="201">
        <v>573163.70000000007</v>
      </c>
      <c r="J44" s="200">
        <v>354309.16499999998</v>
      </c>
      <c r="K44" s="201">
        <v>13830611.359999999</v>
      </c>
      <c r="L44" s="200">
        <v>0</v>
      </c>
      <c r="M44" s="201">
        <v>118976634.97</v>
      </c>
      <c r="N44" s="200">
        <v>0</v>
      </c>
      <c r="O44" s="201">
        <v>22993236.770000003</v>
      </c>
      <c r="P44" s="200">
        <v>11164441.16</v>
      </c>
      <c r="Q44" s="184"/>
      <c r="R44" s="184"/>
      <c r="S44" s="184"/>
      <c r="T44" s="184"/>
      <c r="U44" s="184"/>
      <c r="V44" s="184"/>
    </row>
    <row r="45" spans="1:22">
      <c r="A45" s="190" t="s">
        <v>462</v>
      </c>
      <c r="B45" s="218" t="str">
        <f t="shared" si="17"/>
        <v>January 2015</v>
      </c>
      <c r="C45" s="189">
        <v>125600042.97000003</v>
      </c>
      <c r="D45" s="188">
        <v>7165378.9369999981</v>
      </c>
      <c r="E45" s="189">
        <v>75193230.419999987</v>
      </c>
      <c r="F45" s="188">
        <v>133948646.85000004</v>
      </c>
      <c r="G45" s="189">
        <v>1139063.3900000004</v>
      </c>
      <c r="H45" s="188">
        <v>1972657.5750000002</v>
      </c>
      <c r="I45" s="189">
        <v>571640.45500000007</v>
      </c>
      <c r="J45" s="188">
        <v>352834.28500000003</v>
      </c>
      <c r="K45" s="189">
        <v>13792601.15</v>
      </c>
      <c r="L45" s="188">
        <v>0</v>
      </c>
      <c r="M45" s="189">
        <v>118801185.37000003</v>
      </c>
      <c r="N45" s="188">
        <v>0</v>
      </c>
      <c r="O45" s="189">
        <v>23872346.610000003</v>
      </c>
      <c r="P45" s="188">
        <v>16227088.659999998</v>
      </c>
      <c r="Q45" s="184"/>
      <c r="R45" s="184"/>
      <c r="S45" s="184"/>
      <c r="T45" s="184"/>
      <c r="U45" s="184"/>
      <c r="V45" s="184"/>
    </row>
    <row r="46" spans="1:22">
      <c r="A46" s="190"/>
      <c r="B46" s="218" t="str">
        <f t="shared" si="17"/>
        <v>February</v>
      </c>
      <c r="C46" s="189">
        <v>125279378.46999997</v>
      </c>
      <c r="D46" s="188">
        <v>7144412.5970000001</v>
      </c>
      <c r="E46" s="189">
        <v>75003933.079999968</v>
      </c>
      <c r="F46" s="188">
        <v>133687060.18000001</v>
      </c>
      <c r="G46" s="189">
        <v>1135884.5300000003</v>
      </c>
      <c r="H46" s="188">
        <v>1967682.2649999999</v>
      </c>
      <c r="I46" s="189">
        <v>570117.21</v>
      </c>
      <c r="J46" s="188">
        <v>351359.40499999997</v>
      </c>
      <c r="K46" s="189">
        <v>13754590.939999999</v>
      </c>
      <c r="L46" s="188">
        <v>0</v>
      </c>
      <c r="M46" s="189">
        <v>118597715.08000001</v>
      </c>
      <c r="N46" s="188">
        <v>0</v>
      </c>
      <c r="O46" s="189">
        <v>24372635.329999998</v>
      </c>
      <c r="P46" s="188">
        <v>21713092.440000001</v>
      </c>
      <c r="Q46" s="184"/>
      <c r="R46" s="184"/>
      <c r="S46" s="184"/>
      <c r="T46" s="184"/>
      <c r="U46" s="184"/>
      <c r="V46" s="184"/>
    </row>
    <row r="47" spans="1:22">
      <c r="A47" s="190"/>
      <c r="B47" s="218" t="str">
        <f t="shared" si="17"/>
        <v xml:space="preserve">March </v>
      </c>
      <c r="C47" s="189">
        <v>124959139.50000001</v>
      </c>
      <c r="D47" s="188">
        <v>7123446.2569999974</v>
      </c>
      <c r="E47" s="189">
        <v>74814955.010000005</v>
      </c>
      <c r="F47" s="188">
        <v>133404724.50000001</v>
      </c>
      <c r="G47" s="189">
        <v>1132705.6700000004</v>
      </c>
      <c r="H47" s="188">
        <v>1962735.18</v>
      </c>
      <c r="I47" s="189">
        <v>568593.96499999997</v>
      </c>
      <c r="J47" s="188">
        <v>354749.94000000006</v>
      </c>
      <c r="K47" s="189">
        <v>13716580.73</v>
      </c>
      <c r="L47" s="188">
        <v>0</v>
      </c>
      <c r="M47" s="189">
        <v>121304329.52000003</v>
      </c>
      <c r="N47" s="188">
        <v>0</v>
      </c>
      <c r="O47" s="189">
        <v>24655292.759999998</v>
      </c>
      <c r="P47" s="188">
        <v>25772783.350000001</v>
      </c>
      <c r="Q47" s="184"/>
      <c r="R47" s="184"/>
      <c r="S47" s="184"/>
      <c r="T47" s="184"/>
      <c r="U47" s="184"/>
      <c r="V47" s="184"/>
    </row>
    <row r="48" spans="1:22">
      <c r="A48" s="190"/>
      <c r="B48" s="218" t="str">
        <f t="shared" si="17"/>
        <v>April</v>
      </c>
      <c r="C48" s="189">
        <v>124638530.13999999</v>
      </c>
      <c r="D48" s="188">
        <v>7102479.9169999976</v>
      </c>
      <c r="E48" s="189">
        <v>74625834.280000001</v>
      </c>
      <c r="F48" s="188">
        <v>133125732.62999997</v>
      </c>
      <c r="G48" s="189">
        <v>1129526.8100000005</v>
      </c>
      <c r="H48" s="188">
        <v>1957788.0950000004</v>
      </c>
      <c r="I48" s="189">
        <v>567070.71999999997</v>
      </c>
      <c r="J48" s="188">
        <v>354587.29500000004</v>
      </c>
      <c r="K48" s="189">
        <v>13678570.52</v>
      </c>
      <c r="L48" s="188">
        <v>0</v>
      </c>
      <c r="M48" s="189">
        <v>121059532.77000001</v>
      </c>
      <c r="N48" s="188">
        <v>0</v>
      </c>
      <c r="O48" s="189">
        <v>25021389.91</v>
      </c>
      <c r="P48" s="188">
        <v>27362308.039999999</v>
      </c>
      <c r="Q48" s="184"/>
      <c r="R48" s="184"/>
      <c r="S48" s="184"/>
      <c r="T48" s="184"/>
      <c r="U48" s="184"/>
      <c r="V48" s="184"/>
    </row>
    <row r="49" spans="1:22">
      <c r="A49" s="190"/>
      <c r="B49" s="218" t="str">
        <f t="shared" si="17"/>
        <v>May</v>
      </c>
      <c r="C49" s="189">
        <v>124318220.71999997</v>
      </c>
      <c r="D49" s="188">
        <v>7081513.5769999977</v>
      </c>
      <c r="E49" s="189">
        <v>74436732.649999991</v>
      </c>
      <c r="F49" s="188">
        <v>132844158.37000002</v>
      </c>
      <c r="G49" s="189">
        <v>1126347.9500000004</v>
      </c>
      <c r="H49" s="188">
        <v>1952841.01</v>
      </c>
      <c r="I49" s="189">
        <v>565547.47499999998</v>
      </c>
      <c r="J49" s="188">
        <v>355158.92500000005</v>
      </c>
      <c r="K49" s="189">
        <v>13640560.310000001</v>
      </c>
      <c r="L49" s="188">
        <v>0</v>
      </c>
      <c r="M49" s="189">
        <v>120843761.53000002</v>
      </c>
      <c r="N49" s="188">
        <v>0</v>
      </c>
      <c r="O49" s="189">
        <v>25327050.010000005</v>
      </c>
      <c r="P49" s="188">
        <v>33760854.450510003</v>
      </c>
      <c r="Q49" s="184"/>
      <c r="R49" s="184"/>
      <c r="S49" s="184"/>
      <c r="T49" s="184"/>
      <c r="U49" s="184"/>
      <c r="V49" s="184"/>
    </row>
    <row r="50" spans="1:22">
      <c r="A50" s="190"/>
      <c r="B50" s="218" t="str">
        <f t="shared" si="17"/>
        <v>June</v>
      </c>
      <c r="C50" s="189">
        <v>124006416.33000001</v>
      </c>
      <c r="D50" s="188">
        <v>7060547.2369999979</v>
      </c>
      <c r="E50" s="189">
        <v>74247553.579999983</v>
      </c>
      <c r="F50" s="188">
        <v>132561888.35999995</v>
      </c>
      <c r="G50" s="189">
        <v>1123169.0900000003</v>
      </c>
      <c r="H50" s="188">
        <v>1947893.9250000005</v>
      </c>
      <c r="I50" s="189">
        <v>564393.73</v>
      </c>
      <c r="J50" s="188">
        <v>355944.76000000007</v>
      </c>
      <c r="K50" s="189">
        <v>13602550.1</v>
      </c>
      <c r="L50" s="188">
        <v>0</v>
      </c>
      <c r="M50" s="189">
        <v>120605598.92999999</v>
      </c>
      <c r="N50" s="188">
        <v>0</v>
      </c>
      <c r="O50" s="189">
        <v>25865185.510000002</v>
      </c>
      <c r="P50" s="188">
        <v>40207204.551399998</v>
      </c>
      <c r="Q50" s="184"/>
      <c r="R50" s="184"/>
      <c r="S50" s="184"/>
      <c r="T50" s="184"/>
      <c r="U50" s="184"/>
      <c r="V50" s="184"/>
    </row>
    <row r="51" spans="1:22">
      <c r="A51" s="190"/>
      <c r="B51" s="218" t="str">
        <f t="shared" si="17"/>
        <v>July</v>
      </c>
      <c r="C51" s="189">
        <v>123688760.2</v>
      </c>
      <c r="D51" s="188">
        <v>7039580.896999998</v>
      </c>
      <c r="E51" s="189">
        <v>74058560.480000004</v>
      </c>
      <c r="F51" s="188">
        <v>132280233.13999996</v>
      </c>
      <c r="G51" s="189">
        <v>1119990.2300000004</v>
      </c>
      <c r="H51" s="188">
        <v>1942946.8400000005</v>
      </c>
      <c r="I51" s="189">
        <v>563058.22499999998</v>
      </c>
      <c r="J51" s="188">
        <v>360858.76000000007</v>
      </c>
      <c r="K51" s="189">
        <v>13564539.890000001</v>
      </c>
      <c r="L51" s="188">
        <v>0</v>
      </c>
      <c r="M51" s="189">
        <v>120375307.56999999</v>
      </c>
      <c r="N51" s="188">
        <v>0</v>
      </c>
      <c r="O51" s="189">
        <v>26076552.539999999</v>
      </c>
      <c r="P51" s="188">
        <v>46095336.216799989</v>
      </c>
      <c r="Q51" s="184"/>
      <c r="R51" s="184"/>
      <c r="S51" s="184"/>
      <c r="T51" s="184"/>
      <c r="U51" s="184"/>
      <c r="V51" s="184"/>
    </row>
    <row r="52" spans="1:22">
      <c r="A52" s="190"/>
      <c r="B52" s="218" t="str">
        <f t="shared" si="17"/>
        <v xml:space="preserve">August </v>
      </c>
      <c r="C52" s="189">
        <v>123372894.5</v>
      </c>
      <c r="D52" s="188">
        <v>7018614.5569999972</v>
      </c>
      <c r="E52" s="189">
        <v>73869490.200000018</v>
      </c>
      <c r="F52" s="188">
        <v>131998616.90999995</v>
      </c>
      <c r="G52" s="189">
        <v>1116811.3700000006</v>
      </c>
      <c r="H52" s="188">
        <v>1937999.7550000004</v>
      </c>
      <c r="I52" s="189">
        <v>561940.625</v>
      </c>
      <c r="J52" s="188">
        <v>362854.71000000008</v>
      </c>
      <c r="K52" s="189">
        <v>13526529.68</v>
      </c>
      <c r="L52" s="188">
        <v>0</v>
      </c>
      <c r="M52" s="189">
        <v>120122931.31999999</v>
      </c>
      <c r="N52" s="188">
        <v>0</v>
      </c>
      <c r="O52" s="189">
        <v>26019030.960000005</v>
      </c>
      <c r="P52" s="188">
        <v>51311763.113819994</v>
      </c>
      <c r="Q52" s="184"/>
      <c r="R52" s="184"/>
      <c r="S52" s="184"/>
      <c r="T52" s="184"/>
      <c r="U52" s="184"/>
      <c r="V52" s="184"/>
    </row>
    <row r="53" spans="1:22">
      <c r="A53" s="190"/>
      <c r="B53" s="218" t="str">
        <f t="shared" si="17"/>
        <v>September</v>
      </c>
      <c r="C53" s="189">
        <v>123055766.38000001</v>
      </c>
      <c r="D53" s="188">
        <v>6997648.2169999974</v>
      </c>
      <c r="E53" s="189">
        <v>73680387.700000003</v>
      </c>
      <c r="F53" s="188">
        <v>131717037.21999995</v>
      </c>
      <c r="G53" s="189">
        <v>1113632.5100000005</v>
      </c>
      <c r="H53" s="188">
        <v>1933052.6700000004</v>
      </c>
      <c r="I53" s="189">
        <v>560604.11</v>
      </c>
      <c r="J53" s="188">
        <v>361606.39500000008</v>
      </c>
      <c r="K53" s="189">
        <v>13488519.470000001</v>
      </c>
      <c r="L53" s="188">
        <v>177408.73</v>
      </c>
      <c r="M53" s="189">
        <v>119907259.7</v>
      </c>
      <c r="N53" s="188">
        <v>0</v>
      </c>
      <c r="O53" s="189">
        <v>25951867.150000006</v>
      </c>
      <c r="P53" s="188">
        <v>56131604.129599996</v>
      </c>
      <c r="Q53" s="184"/>
      <c r="R53" s="184"/>
      <c r="S53" s="184"/>
      <c r="T53" s="184"/>
      <c r="U53" s="184"/>
      <c r="V53" s="184"/>
    </row>
    <row r="54" spans="1:22">
      <c r="A54" s="190"/>
      <c r="B54" s="218" t="str">
        <f t="shared" si="17"/>
        <v>October</v>
      </c>
      <c r="C54" s="189">
        <v>122738842.19000001</v>
      </c>
      <c r="D54" s="188">
        <v>6976681.8769999975</v>
      </c>
      <c r="E54" s="189">
        <v>73491283.48999998</v>
      </c>
      <c r="F54" s="188">
        <v>131435456.23999995</v>
      </c>
      <c r="G54" s="189">
        <v>1110453.6500000004</v>
      </c>
      <c r="H54" s="188">
        <v>1928105.5850000004</v>
      </c>
      <c r="I54" s="189">
        <v>559237.19499999995</v>
      </c>
      <c r="J54" s="188">
        <v>364258.05500000005</v>
      </c>
      <c r="K54" s="189">
        <v>13450509.26</v>
      </c>
      <c r="L54" s="188">
        <v>231706.27000000002</v>
      </c>
      <c r="M54" s="189">
        <v>119585846.7</v>
      </c>
      <c r="N54" s="188">
        <v>0</v>
      </c>
      <c r="O54" s="189">
        <v>25921257.06000001</v>
      </c>
      <c r="P54" s="188">
        <v>60050318.728129998</v>
      </c>
      <c r="Q54" s="184"/>
      <c r="R54" s="184"/>
      <c r="S54" s="184"/>
      <c r="T54" s="184"/>
      <c r="U54" s="184"/>
      <c r="V54" s="184"/>
    </row>
    <row r="55" spans="1:22">
      <c r="A55" s="190"/>
      <c r="B55" s="218" t="str">
        <f t="shared" si="17"/>
        <v>November</v>
      </c>
      <c r="C55" s="189">
        <v>122421578.10000001</v>
      </c>
      <c r="D55" s="188">
        <v>6955715.5369999968</v>
      </c>
      <c r="E55" s="189">
        <v>73302271.589999974</v>
      </c>
      <c r="F55" s="188">
        <v>131153888.70999995</v>
      </c>
      <c r="G55" s="189">
        <v>1107274.7900000005</v>
      </c>
      <c r="H55" s="188">
        <v>1923158.5000000005</v>
      </c>
      <c r="I55" s="189">
        <v>557867.53</v>
      </c>
      <c r="J55" s="188">
        <v>369620.08500000008</v>
      </c>
      <c r="K55" s="189">
        <v>13412499.050000001</v>
      </c>
      <c r="L55" s="188">
        <v>310847.38</v>
      </c>
      <c r="M55" s="189">
        <v>119306449.19999999</v>
      </c>
      <c r="N55" s="188">
        <v>0</v>
      </c>
      <c r="O55" s="189">
        <v>25870720.559999999</v>
      </c>
      <c r="P55" s="188">
        <v>63747336.670000009</v>
      </c>
      <c r="Q55" s="184"/>
      <c r="R55" s="184"/>
      <c r="S55" s="184"/>
      <c r="T55" s="184"/>
      <c r="U55" s="184"/>
      <c r="V55" s="184"/>
    </row>
    <row r="56" spans="1:22">
      <c r="A56" s="190"/>
      <c r="B56" s="218" t="str">
        <f t="shared" si="17"/>
        <v>December 2015</v>
      </c>
      <c r="C56" s="204">
        <v>122104341.66000001</v>
      </c>
      <c r="D56" s="203">
        <v>6934749.1969999969</v>
      </c>
      <c r="E56" s="204">
        <v>73113164.689999983</v>
      </c>
      <c r="F56" s="203">
        <v>130872320.88999996</v>
      </c>
      <c r="G56" s="204">
        <v>1104095.9300000006</v>
      </c>
      <c r="H56" s="203">
        <v>1918211.4150000005</v>
      </c>
      <c r="I56" s="204">
        <v>556436.77500000002</v>
      </c>
      <c r="J56" s="203">
        <v>372615.13500000007</v>
      </c>
      <c r="K56" s="204">
        <v>13374488.84</v>
      </c>
      <c r="L56" s="203">
        <v>442070.47000000003</v>
      </c>
      <c r="M56" s="204">
        <v>119023971.68999998</v>
      </c>
      <c r="N56" s="203">
        <v>0</v>
      </c>
      <c r="O56" s="204">
        <v>25810988.980000004</v>
      </c>
      <c r="P56" s="203">
        <v>69062224.79524</v>
      </c>
      <c r="Q56" s="184"/>
      <c r="R56" s="184"/>
      <c r="S56" s="184"/>
      <c r="T56" s="184"/>
      <c r="U56" s="184"/>
      <c r="V56" s="184"/>
    </row>
    <row r="57" spans="1:22">
      <c r="A57" s="219"/>
      <c r="B57" s="205" t="s">
        <v>4</v>
      </c>
      <c r="C57" s="197">
        <f t="shared" ref="C57:P57" si="18">AVERAGE(C44:C56)</f>
        <v>124008047.58692311</v>
      </c>
      <c r="D57" s="197">
        <f t="shared" si="18"/>
        <v>7060547.2369999988</v>
      </c>
      <c r="E57" s="197">
        <f t="shared" si="18"/>
        <v>74247686.533076912</v>
      </c>
      <c r="F57" s="197">
        <f t="shared" si="18"/>
        <v>132557401.7453846</v>
      </c>
      <c r="G57" s="197">
        <f t="shared" si="18"/>
        <v>1123169.0900000003</v>
      </c>
      <c r="H57" s="197">
        <f t="shared" si="18"/>
        <v>1947900.4384615386</v>
      </c>
      <c r="I57" s="197">
        <f t="shared" si="18"/>
        <v>564590.13192307693</v>
      </c>
      <c r="J57" s="197">
        <f t="shared" si="18"/>
        <v>359288.99346153846</v>
      </c>
      <c r="K57" s="197">
        <f t="shared" si="18"/>
        <v>13602550.099999998</v>
      </c>
      <c r="L57" s="197">
        <f t="shared" si="18"/>
        <v>89387.142307692309</v>
      </c>
      <c r="M57" s="198">
        <f t="shared" si="18"/>
        <v>119885424.95000002</v>
      </c>
      <c r="N57" s="197">
        <f t="shared" si="18"/>
        <v>0</v>
      </c>
      <c r="O57" s="197">
        <f t="shared" si="18"/>
        <v>25212119.550000004</v>
      </c>
      <c r="P57" s="197">
        <f t="shared" si="18"/>
        <v>40200488.946576923</v>
      </c>
      <c r="Q57" s="184"/>
      <c r="R57" s="184"/>
      <c r="S57" s="184"/>
      <c r="T57" s="184"/>
      <c r="U57" s="184"/>
      <c r="V57" s="184"/>
    </row>
    <row r="58" spans="1:22">
      <c r="A58" s="195"/>
      <c r="B58" s="210"/>
      <c r="C58" s="220"/>
      <c r="D58" s="220"/>
      <c r="E58" s="220"/>
      <c r="F58" s="220"/>
      <c r="G58" s="220"/>
      <c r="H58" s="221"/>
      <c r="I58" s="221"/>
      <c r="J58" s="365"/>
      <c r="K58" s="364"/>
      <c r="L58" s="400"/>
      <c r="M58" s="400"/>
      <c r="N58" s="365"/>
      <c r="O58" s="364"/>
      <c r="P58" s="221"/>
      <c r="Q58" s="184"/>
      <c r="R58" s="184"/>
      <c r="S58" s="184"/>
      <c r="T58" s="184"/>
      <c r="U58" s="184"/>
      <c r="V58" s="184"/>
    </row>
    <row r="59" spans="1:22">
      <c r="A59" s="195"/>
      <c r="B59" s="405"/>
      <c r="C59" s="222"/>
      <c r="D59" s="222"/>
      <c r="E59" s="222"/>
      <c r="F59" s="222"/>
      <c r="G59" s="222"/>
      <c r="H59" s="222"/>
      <c r="I59" s="222"/>
      <c r="J59" s="371"/>
      <c r="K59" s="371"/>
      <c r="L59" s="404"/>
      <c r="M59" s="404"/>
      <c r="N59" s="371"/>
      <c r="O59" s="371"/>
      <c r="P59" s="222"/>
      <c r="Q59" s="184"/>
      <c r="R59" s="184"/>
      <c r="S59" s="184"/>
      <c r="T59" s="184"/>
      <c r="U59" s="184"/>
      <c r="V59" s="184"/>
    </row>
    <row r="60" spans="1:22">
      <c r="A60" s="224" t="s">
        <v>3</v>
      </c>
      <c r="B60" s="225" t="s">
        <v>2</v>
      </c>
      <c r="C60" s="199">
        <v>3846426.6599999992</v>
      </c>
      <c r="D60" s="200">
        <v>251596.08</v>
      </c>
      <c r="E60" s="199">
        <v>2270425.0999999996</v>
      </c>
      <c r="F60" s="200">
        <v>3383197.01</v>
      </c>
      <c r="G60" s="199">
        <v>38146.32</v>
      </c>
      <c r="H60" s="200">
        <v>59421.469999999994</v>
      </c>
      <c r="I60" s="199">
        <v>18278.939999999995</v>
      </c>
      <c r="J60" s="200">
        <v>17698.560000000005</v>
      </c>
      <c r="K60" s="199">
        <v>456122.52000000008</v>
      </c>
      <c r="L60" s="200">
        <v>0</v>
      </c>
      <c r="M60" s="201">
        <v>3443402.71</v>
      </c>
      <c r="N60" s="200">
        <v>0</v>
      </c>
      <c r="O60" s="199">
        <v>369322.46</v>
      </c>
      <c r="P60" s="233">
        <v>0</v>
      </c>
      <c r="Q60" s="514"/>
      <c r="R60" s="184"/>
      <c r="S60" s="184"/>
      <c r="T60" s="184"/>
      <c r="U60" s="184"/>
      <c r="V60" s="184"/>
    </row>
    <row r="61" spans="1:22">
      <c r="A61" s="193" t="s">
        <v>463</v>
      </c>
      <c r="B61" s="226" t="s">
        <v>1</v>
      </c>
      <c r="C61" s="187"/>
      <c r="D61" s="188"/>
      <c r="E61" s="187"/>
      <c r="F61" s="188"/>
      <c r="G61" s="187"/>
      <c r="H61" s="188"/>
      <c r="I61" s="187"/>
      <c r="J61" s="188"/>
      <c r="K61" s="187"/>
      <c r="L61" s="188"/>
      <c r="M61" s="189"/>
      <c r="N61" s="188"/>
      <c r="O61" s="187"/>
      <c r="P61" s="232"/>
      <c r="Q61" s="184"/>
      <c r="R61" s="184"/>
      <c r="S61" s="184"/>
      <c r="T61" s="184"/>
      <c r="U61" s="184"/>
      <c r="V61" s="184"/>
    </row>
    <row r="62" spans="1:22">
      <c r="A62" s="180"/>
      <c r="B62" s="227" t="s">
        <v>464</v>
      </c>
      <c r="C62" s="228">
        <f t="shared" ref="C62:P62" si="19">SUM(C60:C61)</f>
        <v>3846426.6599999992</v>
      </c>
      <c r="D62" s="228">
        <f t="shared" si="19"/>
        <v>251596.08</v>
      </c>
      <c r="E62" s="228">
        <f t="shared" si="19"/>
        <v>2270425.0999999996</v>
      </c>
      <c r="F62" s="228">
        <f t="shared" si="19"/>
        <v>3383197.01</v>
      </c>
      <c r="G62" s="228">
        <f t="shared" si="19"/>
        <v>38146.32</v>
      </c>
      <c r="H62" s="228">
        <f t="shared" si="19"/>
        <v>59421.469999999994</v>
      </c>
      <c r="I62" s="228">
        <f t="shared" si="19"/>
        <v>18278.939999999995</v>
      </c>
      <c r="J62" s="228">
        <f t="shared" si="19"/>
        <v>17698.560000000005</v>
      </c>
      <c r="K62" s="228">
        <f t="shared" si="19"/>
        <v>456122.52000000008</v>
      </c>
      <c r="L62" s="228">
        <f t="shared" si="19"/>
        <v>0</v>
      </c>
      <c r="M62" s="229">
        <f t="shared" si="19"/>
        <v>3443402.71</v>
      </c>
      <c r="N62" s="228">
        <f t="shared" si="19"/>
        <v>0</v>
      </c>
      <c r="O62" s="228">
        <f t="shared" si="19"/>
        <v>369322.46</v>
      </c>
      <c r="P62" s="229">
        <f t="shared" si="19"/>
        <v>0</v>
      </c>
      <c r="Q62" s="184"/>
      <c r="R62" s="184"/>
      <c r="S62" s="184"/>
      <c r="T62" s="184"/>
      <c r="U62" s="184"/>
      <c r="V62" s="184"/>
    </row>
    <row r="63" spans="1:22">
      <c r="A63" s="195"/>
      <c r="B63" s="210"/>
      <c r="C63" s="220"/>
      <c r="D63" s="220"/>
      <c r="E63" s="220"/>
      <c r="F63" s="220"/>
      <c r="G63" s="220"/>
      <c r="H63" s="220"/>
      <c r="I63" s="220"/>
      <c r="J63" s="220"/>
      <c r="K63" s="220"/>
      <c r="L63" s="220"/>
      <c r="M63" s="220"/>
      <c r="N63" s="220"/>
      <c r="O63" s="220"/>
      <c r="P63" s="220"/>
      <c r="Q63" s="184"/>
      <c r="R63" s="184"/>
      <c r="S63" s="184"/>
      <c r="T63" s="184"/>
      <c r="U63" s="184"/>
      <c r="V63" s="184"/>
    </row>
    <row r="64" spans="1:22">
      <c r="A64" s="195"/>
      <c r="B64" s="405"/>
      <c r="C64" s="515"/>
      <c r="D64" s="515"/>
      <c r="E64" s="515"/>
      <c r="F64" s="515"/>
      <c r="G64" s="515"/>
      <c r="H64" s="515"/>
      <c r="I64" s="515"/>
      <c r="J64" s="515"/>
      <c r="K64" s="515"/>
      <c r="L64" s="515"/>
      <c r="M64" s="515"/>
      <c r="N64" s="515"/>
      <c r="O64" s="515"/>
      <c r="P64" s="515"/>
      <c r="Q64" s="184"/>
      <c r="R64" s="184"/>
      <c r="S64" s="184"/>
      <c r="T64" s="184"/>
      <c r="U64" s="184"/>
      <c r="V64" s="184"/>
    </row>
    <row r="65" spans="1:22">
      <c r="A65" s="224" t="s">
        <v>466</v>
      </c>
      <c r="B65" s="225" t="s">
        <v>470</v>
      </c>
      <c r="C65" s="199">
        <v>0</v>
      </c>
      <c r="D65" s="200">
        <v>0</v>
      </c>
      <c r="E65" s="199">
        <v>0</v>
      </c>
      <c r="F65" s="200">
        <v>0</v>
      </c>
      <c r="G65" s="199">
        <v>0</v>
      </c>
      <c r="H65" s="200">
        <v>0</v>
      </c>
      <c r="I65" s="199">
        <v>0</v>
      </c>
      <c r="J65" s="200">
        <v>0</v>
      </c>
      <c r="K65" s="199">
        <v>0</v>
      </c>
      <c r="L65" s="200">
        <v>227669.16</v>
      </c>
      <c r="M65" s="201">
        <v>0</v>
      </c>
      <c r="N65" s="200">
        <v>0</v>
      </c>
      <c r="O65" s="199">
        <v>0</v>
      </c>
      <c r="P65" s="233">
        <v>1040274.3036</v>
      </c>
      <c r="Q65" s="514"/>
      <c r="R65" s="184"/>
      <c r="S65" s="184"/>
      <c r="T65" s="184"/>
      <c r="U65" s="184"/>
      <c r="V65" s="184"/>
    </row>
    <row r="66" spans="1:22">
      <c r="A66" s="193" t="s">
        <v>523</v>
      </c>
      <c r="B66" s="226"/>
      <c r="C66" s="187"/>
      <c r="D66" s="188"/>
      <c r="E66" s="187"/>
      <c r="F66" s="188"/>
      <c r="G66" s="187"/>
      <c r="H66" s="188"/>
      <c r="I66" s="187"/>
      <c r="J66" s="188"/>
      <c r="K66" s="187"/>
      <c r="L66" s="188"/>
      <c r="M66" s="189"/>
      <c r="N66" s="188"/>
      <c r="O66" s="187"/>
      <c r="P66" s="232"/>
      <c r="Q66" s="184"/>
      <c r="R66" s="184"/>
      <c r="S66" s="184"/>
      <c r="T66" s="184"/>
      <c r="U66" s="184"/>
      <c r="V66" s="184"/>
    </row>
    <row r="67" spans="1:22">
      <c r="A67" s="373"/>
      <c r="B67" s="363" t="s">
        <v>492</v>
      </c>
      <c r="C67" s="228">
        <f t="shared" ref="C67:P67" si="20">SUM(C65:C66)</f>
        <v>0</v>
      </c>
      <c r="D67" s="228">
        <f t="shared" si="20"/>
        <v>0</v>
      </c>
      <c r="E67" s="228">
        <f t="shared" si="20"/>
        <v>0</v>
      </c>
      <c r="F67" s="228">
        <f t="shared" si="20"/>
        <v>0</v>
      </c>
      <c r="G67" s="228">
        <f t="shared" si="20"/>
        <v>0</v>
      </c>
      <c r="H67" s="228">
        <f t="shared" si="20"/>
        <v>0</v>
      </c>
      <c r="I67" s="228">
        <f t="shared" si="20"/>
        <v>0</v>
      </c>
      <c r="J67" s="228">
        <f t="shared" si="20"/>
        <v>0</v>
      </c>
      <c r="K67" s="228">
        <f t="shared" si="20"/>
        <v>0</v>
      </c>
      <c r="L67" s="228">
        <f t="shared" si="20"/>
        <v>227669.16</v>
      </c>
      <c r="M67" s="229">
        <f t="shared" si="20"/>
        <v>0</v>
      </c>
      <c r="N67" s="228">
        <f t="shared" si="20"/>
        <v>0</v>
      </c>
      <c r="O67" s="228">
        <f t="shared" si="20"/>
        <v>0</v>
      </c>
      <c r="P67" s="229">
        <f t="shared" si="20"/>
        <v>1040274.3036</v>
      </c>
      <c r="Q67" s="184"/>
      <c r="R67" s="184"/>
      <c r="S67" s="184"/>
      <c r="T67" s="184"/>
      <c r="U67" s="184"/>
      <c r="V67" s="184"/>
    </row>
    <row r="68" spans="1:22">
      <c r="E68" s="230"/>
      <c r="I68" s="230"/>
      <c r="Q68" s="184"/>
      <c r="R68" s="184"/>
      <c r="S68" s="184"/>
      <c r="T68" s="184"/>
      <c r="U68" s="184"/>
      <c r="V68" s="184"/>
    </row>
    <row r="69" spans="1:22">
      <c r="Q69" s="184"/>
      <c r="R69" s="184"/>
      <c r="S69" s="184"/>
      <c r="T69" s="184"/>
      <c r="U69" s="184"/>
      <c r="V69" s="184"/>
    </row>
    <row r="70" spans="1:22">
      <c r="B70" s="237"/>
      <c r="C70" s="406"/>
      <c r="D70" s="406"/>
      <c r="E70" s="406"/>
      <c r="F70" s="406"/>
      <c r="G70" s="406"/>
      <c r="H70" s="406"/>
      <c r="I70" s="406"/>
      <c r="J70" s="406"/>
      <c r="K70" s="406"/>
      <c r="L70" s="406"/>
      <c r="M70" s="406"/>
      <c r="N70" s="406"/>
      <c r="O70" s="406"/>
      <c r="P70" s="406"/>
      <c r="Q70" s="184"/>
      <c r="R70" s="184"/>
      <c r="S70" s="184"/>
      <c r="T70" s="184"/>
      <c r="U70" s="184"/>
      <c r="V70" s="184"/>
    </row>
    <row r="71" spans="1:22">
      <c r="B71" s="237"/>
      <c r="C71" s="406"/>
      <c r="D71" s="406"/>
      <c r="E71" s="406"/>
      <c r="F71" s="406"/>
      <c r="G71" s="406"/>
      <c r="H71" s="406"/>
      <c r="I71" s="406"/>
      <c r="J71" s="406"/>
      <c r="K71" s="406"/>
      <c r="L71" s="406"/>
      <c r="M71" s="406"/>
      <c r="N71" s="406"/>
      <c r="O71" s="406"/>
      <c r="P71" s="406"/>
      <c r="Q71" s="184"/>
      <c r="R71" s="184"/>
      <c r="S71" s="184"/>
      <c r="T71" s="184"/>
      <c r="U71" s="184"/>
      <c r="V71" s="184"/>
    </row>
    <row r="72" spans="1:22">
      <c r="B72" s="237"/>
      <c r="C72" s="406"/>
      <c r="D72" s="406"/>
      <c r="E72" s="406"/>
      <c r="F72" s="406"/>
      <c r="G72" s="406"/>
      <c r="H72" s="406"/>
      <c r="I72" s="406"/>
      <c r="J72" s="406"/>
      <c r="K72" s="406"/>
      <c r="L72" s="406"/>
      <c r="M72" s="406"/>
      <c r="N72" s="406"/>
      <c r="O72" s="406"/>
      <c r="P72" s="406"/>
      <c r="Q72" s="184"/>
      <c r="R72" s="184"/>
      <c r="S72" s="184"/>
      <c r="T72" s="184"/>
      <c r="U72" s="184"/>
      <c r="V72" s="184"/>
    </row>
    <row r="73" spans="1:22">
      <c r="Q73" s="184"/>
      <c r="R73" s="184"/>
      <c r="S73" s="184"/>
      <c r="T73" s="184"/>
      <c r="U73" s="184"/>
      <c r="V73" s="184"/>
    </row>
    <row r="74" spans="1:22">
      <c r="Q74" s="184"/>
      <c r="R74" s="184"/>
      <c r="S74" s="184"/>
      <c r="T74" s="184"/>
      <c r="U74" s="184"/>
      <c r="V74" s="184"/>
    </row>
    <row r="75" spans="1:22">
      <c r="Q75" s="184"/>
      <c r="R75" s="184"/>
      <c r="S75" s="184"/>
      <c r="T75" s="184"/>
      <c r="U75" s="184"/>
      <c r="V75" s="184"/>
    </row>
    <row r="76" spans="1:22">
      <c r="Q76" s="184"/>
      <c r="R76" s="184"/>
      <c r="S76" s="184"/>
      <c r="T76" s="184"/>
      <c r="U76" s="184"/>
      <c r="V76" s="184"/>
    </row>
    <row r="77" spans="1:22">
      <c r="Q77" s="184"/>
      <c r="R77" s="184"/>
      <c r="S77" s="184"/>
      <c r="T77" s="184"/>
      <c r="U77" s="184"/>
      <c r="V77" s="184"/>
    </row>
  </sheetData>
  <pageMargins left="0.7" right="0.7" top="0.75" bottom="0.75" header="0.3" footer="0.3"/>
  <pageSetup scale="5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FFFF"/>
  </sheetPr>
  <dimension ref="A1:BR262"/>
  <sheetViews>
    <sheetView zoomScale="70" zoomScaleNormal="70" zoomScaleSheetLayoutView="70" workbookViewId="0">
      <selection activeCell="J98" sqref="J98"/>
    </sheetView>
  </sheetViews>
  <sheetFormatPr defaultColWidth="9.109375" defaultRowHeight="15"/>
  <cols>
    <col min="1" max="1" width="7.6640625" style="112" customWidth="1"/>
    <col min="2" max="2" width="1.88671875" style="112" customWidth="1"/>
    <col min="3" max="3" width="72" style="112" customWidth="1"/>
    <col min="4" max="4" width="13.109375" style="112" customWidth="1"/>
    <col min="5" max="7" width="17.109375" style="112" customWidth="1"/>
    <col min="8" max="8" width="23.88671875" style="112" customWidth="1"/>
    <col min="9" max="9" width="17.109375" style="112" customWidth="1"/>
    <col min="10" max="10" width="18.5546875" style="112" customWidth="1"/>
    <col min="11" max="16" width="17.109375" style="112" customWidth="1"/>
    <col min="17" max="17" width="20.109375" style="112" bestFit="1" customWidth="1"/>
    <col min="18" max="19" width="19.6640625" style="112" customWidth="1"/>
    <col min="20" max="20" width="5.6640625" style="112" bestFit="1" customWidth="1"/>
    <col min="21" max="21" width="16.6640625" style="112" customWidth="1"/>
    <col min="22" max="16384" width="9.109375" style="112"/>
  </cols>
  <sheetData>
    <row r="1" spans="1:70">
      <c r="S1" s="143"/>
    </row>
    <row r="2" spans="1:70">
      <c r="S2" s="143"/>
    </row>
    <row r="4" spans="1:70">
      <c r="S4" s="320" t="s">
        <v>491</v>
      </c>
    </row>
    <row r="5" spans="1:70">
      <c r="C5" s="168" t="s">
        <v>397</v>
      </c>
      <c r="D5" s="168"/>
      <c r="E5" s="168"/>
      <c r="F5" s="168"/>
      <c r="G5" s="168"/>
      <c r="H5" s="168"/>
      <c r="I5" s="168"/>
      <c r="J5" s="170" t="s">
        <v>396</v>
      </c>
      <c r="K5" s="170"/>
      <c r="L5" s="168"/>
      <c r="M5" s="168"/>
      <c r="N5" s="168"/>
      <c r="O5" s="167"/>
      <c r="P5" s="167"/>
      <c r="R5" s="236"/>
      <c r="S5" s="318" t="s">
        <v>762</v>
      </c>
      <c r="T5" s="134"/>
      <c r="U5" s="165"/>
      <c r="V5" s="165"/>
      <c r="W5" s="134"/>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row>
    <row r="6" spans="1:70">
      <c r="C6" s="168"/>
      <c r="D6" s="168"/>
      <c r="E6" s="168"/>
      <c r="F6" s="168"/>
      <c r="G6" s="168"/>
      <c r="H6" s="115" t="s">
        <v>67</v>
      </c>
      <c r="I6" s="115"/>
      <c r="J6" s="115" t="s">
        <v>497</v>
      </c>
      <c r="K6" s="115"/>
      <c r="L6" s="115"/>
      <c r="M6" s="115"/>
      <c r="N6" s="115"/>
      <c r="O6" s="167"/>
      <c r="P6" s="167"/>
      <c r="R6" s="137"/>
      <c r="S6" s="167"/>
      <c r="T6" s="134"/>
      <c r="U6" s="166"/>
      <c r="V6" s="165"/>
      <c r="W6" s="134"/>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row>
    <row r="7" spans="1:70">
      <c r="C7" s="137"/>
      <c r="D7" s="137"/>
      <c r="E7" s="137"/>
      <c r="F7" s="137"/>
      <c r="G7" s="137"/>
      <c r="H7" s="137"/>
      <c r="I7" s="137"/>
      <c r="J7" s="137"/>
      <c r="K7" s="137"/>
      <c r="L7" s="137"/>
      <c r="M7" s="137"/>
      <c r="N7" s="137"/>
      <c r="O7" s="137"/>
      <c r="P7" s="137"/>
      <c r="R7" s="137"/>
      <c r="S7" s="137" t="s">
        <v>395</v>
      </c>
      <c r="T7" s="134"/>
      <c r="U7" s="165"/>
      <c r="V7" s="165"/>
      <c r="W7" s="134"/>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row>
    <row r="8" spans="1:70">
      <c r="A8" s="141"/>
      <c r="C8" s="137"/>
      <c r="D8" s="137"/>
      <c r="E8" s="137"/>
      <c r="F8" s="137"/>
      <c r="G8" s="137"/>
      <c r="H8" s="137"/>
      <c r="I8" s="130"/>
      <c r="J8" s="317" t="s">
        <v>341</v>
      </c>
      <c r="K8" s="317"/>
      <c r="L8" s="130"/>
      <c r="M8" s="137"/>
      <c r="N8" s="137"/>
      <c r="O8" s="137"/>
      <c r="P8" s="137"/>
      <c r="Q8" s="137"/>
      <c r="R8" s="137"/>
      <c r="S8" s="137"/>
      <c r="T8" s="134"/>
      <c r="U8" s="165"/>
      <c r="V8" s="165"/>
      <c r="W8" s="134"/>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row>
    <row r="9" spans="1:70">
      <c r="A9" s="141"/>
      <c r="C9" s="137"/>
      <c r="D9" s="137"/>
      <c r="E9" s="137"/>
      <c r="F9" s="137"/>
      <c r="G9" s="137"/>
      <c r="H9" s="137"/>
      <c r="I9" s="137"/>
      <c r="J9" s="164"/>
      <c r="K9" s="164"/>
      <c r="L9" s="137"/>
      <c r="M9" s="137"/>
      <c r="N9" s="137"/>
      <c r="O9" s="137"/>
      <c r="P9" s="137"/>
      <c r="Q9" s="137"/>
      <c r="R9" s="137"/>
      <c r="S9" s="137"/>
      <c r="T9" s="134"/>
      <c r="U9" s="165"/>
      <c r="V9" s="165"/>
      <c r="W9" s="134"/>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row>
    <row r="10" spans="1:70">
      <c r="A10" s="141"/>
      <c r="C10" s="137" t="s">
        <v>511</v>
      </c>
      <c r="D10" s="137"/>
      <c r="E10" s="137"/>
      <c r="F10" s="137"/>
      <c r="G10" s="137"/>
      <c r="H10" s="137"/>
      <c r="I10" s="137"/>
      <c r="J10" s="164"/>
      <c r="K10" s="164"/>
      <c r="L10" s="137"/>
      <c r="M10" s="137"/>
      <c r="N10" s="137"/>
      <c r="O10" s="137"/>
      <c r="P10" s="137"/>
      <c r="Q10" s="137"/>
      <c r="R10" s="137"/>
      <c r="S10" s="137"/>
      <c r="T10" s="134"/>
      <c r="U10" s="165"/>
      <c r="V10" s="165"/>
      <c r="W10" s="134"/>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row>
    <row r="11" spans="1:70">
      <c r="A11" s="141"/>
      <c r="C11" s="316" t="s">
        <v>510</v>
      </c>
      <c r="D11" s="137"/>
      <c r="E11" s="137"/>
      <c r="F11" s="137"/>
      <c r="G11" s="137"/>
      <c r="H11" s="137"/>
      <c r="I11" s="137"/>
      <c r="J11" s="164"/>
      <c r="K11" s="164"/>
      <c r="Q11" s="137"/>
      <c r="R11" s="137"/>
      <c r="S11" s="137"/>
      <c r="T11" s="134"/>
      <c r="U11" s="134"/>
      <c r="V11" s="134"/>
      <c r="W11" s="134"/>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123"/>
      <c r="BK11" s="123"/>
      <c r="BL11" s="123"/>
      <c r="BM11" s="123"/>
      <c r="BN11" s="123"/>
      <c r="BO11" s="123"/>
      <c r="BP11" s="123"/>
      <c r="BQ11" s="123"/>
      <c r="BR11" s="123"/>
    </row>
    <row r="12" spans="1:70">
      <c r="A12" s="141"/>
      <c r="C12" s="137"/>
      <c r="D12" s="137"/>
      <c r="E12" s="137"/>
      <c r="F12" s="137"/>
      <c r="G12" s="137"/>
      <c r="H12" s="137"/>
      <c r="I12" s="137"/>
      <c r="J12" s="137"/>
      <c r="K12" s="137"/>
      <c r="Q12" s="163"/>
      <c r="R12" s="137"/>
      <c r="S12" s="137"/>
      <c r="T12" s="134"/>
      <c r="U12" s="134"/>
      <c r="V12" s="134"/>
      <c r="W12" s="134"/>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row>
    <row r="13" spans="1:70">
      <c r="C13" s="162" t="s">
        <v>245</v>
      </c>
      <c r="D13" s="162"/>
      <c r="E13" s="162"/>
      <c r="F13" s="162"/>
      <c r="G13" s="162"/>
      <c r="H13" s="162" t="s">
        <v>244</v>
      </c>
      <c r="I13" s="162"/>
      <c r="J13" s="162" t="s">
        <v>243</v>
      </c>
      <c r="K13" s="162"/>
      <c r="L13" s="130" t="s">
        <v>242</v>
      </c>
      <c r="R13" s="115"/>
      <c r="S13" s="130"/>
      <c r="T13" s="133"/>
      <c r="U13" s="130"/>
      <c r="V13" s="133"/>
      <c r="W13" s="132"/>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row>
    <row r="14" spans="1:70" ht="15.6">
      <c r="A14" s="123"/>
      <c r="B14" s="123"/>
      <c r="C14" s="128"/>
      <c r="D14" s="128"/>
      <c r="E14" s="128"/>
      <c r="F14" s="128"/>
      <c r="G14" s="128"/>
      <c r="H14" s="149" t="s">
        <v>509</v>
      </c>
      <c r="I14" s="149"/>
      <c r="J14" s="115"/>
      <c r="K14" s="115"/>
      <c r="R14" s="115"/>
      <c r="T14" s="133"/>
      <c r="U14" s="144"/>
      <c r="V14" s="144"/>
      <c r="W14" s="132"/>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row>
    <row r="15" spans="1:70" ht="15.6">
      <c r="A15" s="315" t="s">
        <v>8</v>
      </c>
      <c r="B15" s="123"/>
      <c r="C15" s="128"/>
      <c r="D15" s="128"/>
      <c r="E15" s="128"/>
      <c r="F15" s="128"/>
      <c r="G15" s="128"/>
      <c r="H15" s="161" t="s">
        <v>239</v>
      </c>
      <c r="I15" s="161"/>
      <c r="J15" s="980" t="s">
        <v>25</v>
      </c>
      <c r="K15" s="160"/>
      <c r="L15" s="160" t="s">
        <v>333</v>
      </c>
      <c r="R15" s="115"/>
      <c r="T15" s="134"/>
      <c r="U15" s="159"/>
      <c r="V15" s="144"/>
      <c r="W15" s="132"/>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c r="BD15" s="123"/>
      <c r="BE15" s="123"/>
      <c r="BF15" s="123"/>
      <c r="BG15" s="123"/>
      <c r="BH15" s="123"/>
      <c r="BI15" s="123"/>
      <c r="BJ15" s="123"/>
      <c r="BK15" s="123"/>
      <c r="BL15" s="123"/>
      <c r="BM15" s="123"/>
      <c r="BN15" s="123"/>
      <c r="BO15" s="123"/>
      <c r="BP15" s="123"/>
      <c r="BQ15" s="123"/>
      <c r="BR15" s="123"/>
    </row>
    <row r="16" spans="1:70" ht="15.6">
      <c r="A16" s="315" t="s">
        <v>177</v>
      </c>
      <c r="B16" s="123"/>
      <c r="C16" s="142"/>
      <c r="D16" s="142"/>
      <c r="E16" s="142"/>
      <c r="F16" s="142"/>
      <c r="G16" s="142"/>
      <c r="H16" s="115"/>
      <c r="I16" s="115"/>
      <c r="J16" s="978"/>
      <c r="K16" s="115"/>
      <c r="L16" s="115"/>
      <c r="R16" s="115"/>
      <c r="S16" s="115"/>
      <c r="T16" s="134"/>
      <c r="U16" s="133"/>
      <c r="V16" s="133"/>
      <c r="W16" s="132"/>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c r="BD16" s="123"/>
      <c r="BE16" s="123"/>
      <c r="BF16" s="123"/>
      <c r="BG16" s="123"/>
      <c r="BH16" s="123"/>
      <c r="BI16" s="123"/>
      <c r="BJ16" s="123"/>
      <c r="BK16" s="123"/>
      <c r="BL16" s="123"/>
      <c r="BM16" s="123"/>
      <c r="BN16" s="123"/>
      <c r="BO16" s="123"/>
      <c r="BP16" s="123"/>
      <c r="BQ16" s="123"/>
      <c r="BR16" s="123"/>
    </row>
    <row r="17" spans="1:70" ht="15.6">
      <c r="A17" s="158"/>
      <c r="B17" s="123"/>
      <c r="C17" s="128"/>
      <c r="D17" s="128"/>
      <c r="E17" s="128"/>
      <c r="F17" s="128"/>
      <c r="G17" s="128"/>
      <c r="H17" s="115"/>
      <c r="I17" s="115"/>
      <c r="J17" s="978"/>
      <c r="K17" s="115"/>
      <c r="L17" s="115"/>
      <c r="R17" s="115"/>
      <c r="S17" s="115"/>
      <c r="T17" s="134"/>
      <c r="U17" s="133"/>
      <c r="V17" s="133"/>
      <c r="W17" s="132"/>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23"/>
      <c r="BI17" s="123"/>
      <c r="BJ17" s="123"/>
      <c r="BK17" s="123"/>
      <c r="BL17" s="123"/>
      <c r="BM17" s="123"/>
      <c r="BN17" s="123"/>
      <c r="BO17" s="123"/>
      <c r="BP17" s="123"/>
      <c r="BQ17" s="123"/>
      <c r="BR17" s="123"/>
    </row>
    <row r="18" spans="1:70">
      <c r="A18" s="963">
        <v>1</v>
      </c>
      <c r="B18" s="964"/>
      <c r="C18" s="965" t="s">
        <v>394</v>
      </c>
      <c r="D18" s="965"/>
      <c r="E18" s="965"/>
      <c r="F18" s="965"/>
      <c r="G18" s="965"/>
      <c r="H18" s="966" t="s">
        <v>508</v>
      </c>
      <c r="I18" s="150"/>
      <c r="J18" s="175">
        <f>'ATC Attach O ER15-358'!I87+'ATC Attach O ER15-358'!I88</f>
        <v>4707881107.0769234</v>
      </c>
      <c r="K18" s="921"/>
      <c r="R18" s="115"/>
      <c r="S18" s="115"/>
      <c r="T18" s="134"/>
      <c r="U18" s="133"/>
      <c r="V18" s="133"/>
      <c r="W18" s="132"/>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c r="BD18" s="123"/>
      <c r="BE18" s="123"/>
      <c r="BF18" s="123"/>
      <c r="BG18" s="123"/>
      <c r="BH18" s="123"/>
      <c r="BI18" s="123"/>
      <c r="BJ18" s="123"/>
      <c r="BK18" s="123"/>
      <c r="BL18" s="123"/>
      <c r="BM18" s="123"/>
      <c r="BN18" s="123"/>
      <c r="BO18" s="123"/>
      <c r="BP18" s="123"/>
      <c r="BQ18" s="123"/>
      <c r="BR18" s="123"/>
    </row>
    <row r="19" spans="1:70">
      <c r="A19" s="963" t="s">
        <v>234</v>
      </c>
      <c r="B19" s="964"/>
      <c r="C19" s="965" t="s">
        <v>450</v>
      </c>
      <c r="D19" s="965"/>
      <c r="E19" s="965"/>
      <c r="F19" s="965"/>
      <c r="G19" s="965"/>
      <c r="H19" s="966" t="s">
        <v>507</v>
      </c>
      <c r="I19" s="150"/>
      <c r="J19" s="176">
        <f>'ATC Attach O ER15-358'!I96+'ATC Attach O ER15-358'!I97</f>
        <v>1166943402</v>
      </c>
      <c r="K19" s="921"/>
      <c r="R19" s="115"/>
      <c r="S19" s="115"/>
      <c r="T19" s="134"/>
      <c r="U19" s="133"/>
      <c r="V19" s="133"/>
      <c r="W19" s="132"/>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c r="BD19" s="123"/>
      <c r="BE19" s="123"/>
      <c r="BF19" s="123"/>
      <c r="BG19" s="123"/>
      <c r="BH19" s="123"/>
      <c r="BI19" s="123"/>
      <c r="BJ19" s="123"/>
      <c r="BK19" s="123"/>
      <c r="BL19" s="123"/>
      <c r="BM19" s="123"/>
      <c r="BN19" s="123"/>
      <c r="BO19" s="123"/>
      <c r="BP19" s="123"/>
      <c r="BQ19" s="123"/>
      <c r="BR19" s="123"/>
    </row>
    <row r="20" spans="1:70">
      <c r="A20" s="963">
        <v>2</v>
      </c>
      <c r="B20" s="964"/>
      <c r="C20" s="965" t="s">
        <v>393</v>
      </c>
      <c r="D20" s="965"/>
      <c r="E20" s="965"/>
      <c r="F20" s="965"/>
      <c r="G20" s="965"/>
      <c r="H20" s="966" t="s">
        <v>449</v>
      </c>
      <c r="I20" s="150"/>
      <c r="J20" s="610">
        <f>J18-J19</f>
        <v>3540937705.0769234</v>
      </c>
      <c r="K20" s="921"/>
      <c r="R20" s="115"/>
      <c r="S20" s="115"/>
      <c r="T20" s="134"/>
      <c r="U20" s="133"/>
      <c r="V20" s="133"/>
      <c r="W20" s="132"/>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c r="BD20" s="123"/>
      <c r="BE20" s="123"/>
      <c r="BF20" s="123"/>
      <c r="BG20" s="123"/>
      <c r="BH20" s="123"/>
      <c r="BI20" s="123"/>
      <c r="BJ20" s="123"/>
      <c r="BK20" s="123"/>
      <c r="BL20" s="123"/>
      <c r="BM20" s="123"/>
      <c r="BN20" s="123"/>
      <c r="BO20" s="123"/>
      <c r="BP20" s="123"/>
      <c r="BQ20" s="123"/>
      <c r="BR20" s="123"/>
    </row>
    <row r="21" spans="1:70">
      <c r="A21" s="145"/>
      <c r="B21" s="123"/>
      <c r="C21" s="123"/>
      <c r="D21" s="123"/>
      <c r="E21" s="123"/>
      <c r="F21" s="123"/>
      <c r="G21" s="123"/>
      <c r="H21" s="150"/>
      <c r="I21" s="150"/>
      <c r="J21" s="964"/>
      <c r="K21" s="922"/>
      <c r="R21" s="115"/>
      <c r="S21" s="115"/>
      <c r="T21" s="134"/>
      <c r="U21" s="133"/>
      <c r="V21" s="133"/>
      <c r="W21" s="132"/>
      <c r="X21" s="123"/>
      <c r="Y21" s="123"/>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3"/>
      <c r="BA21" s="123"/>
      <c r="BB21" s="123"/>
      <c r="BC21" s="123"/>
      <c r="BD21" s="123"/>
      <c r="BE21" s="123"/>
      <c r="BF21" s="123"/>
      <c r="BG21" s="123"/>
      <c r="BH21" s="123"/>
      <c r="BI21" s="123"/>
      <c r="BJ21" s="123"/>
      <c r="BK21" s="123"/>
      <c r="BL21" s="123"/>
      <c r="BM21" s="123"/>
      <c r="BN21" s="123"/>
      <c r="BO21" s="123"/>
      <c r="BP21" s="123"/>
      <c r="BQ21" s="123"/>
      <c r="BR21" s="123"/>
    </row>
    <row r="22" spans="1:70">
      <c r="A22" s="963"/>
      <c r="B22" s="964"/>
      <c r="C22" s="965" t="s">
        <v>448</v>
      </c>
      <c r="D22" s="965"/>
      <c r="E22" s="965"/>
      <c r="F22" s="965"/>
      <c r="G22" s="965"/>
      <c r="H22" s="966"/>
      <c r="I22" s="150"/>
      <c r="J22" s="978"/>
      <c r="K22" s="923"/>
      <c r="L22" s="115"/>
      <c r="R22" s="115"/>
      <c r="S22" s="115"/>
      <c r="T22" s="133"/>
      <c r="U22" s="133"/>
      <c r="V22" s="133"/>
      <c r="W22" s="132"/>
      <c r="X22" s="123"/>
      <c r="Y22" s="123"/>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3"/>
      <c r="BA22" s="123"/>
      <c r="BB22" s="123"/>
      <c r="BC22" s="123"/>
      <c r="BD22" s="123"/>
      <c r="BE22" s="123"/>
      <c r="BF22" s="123"/>
      <c r="BG22" s="123"/>
      <c r="BH22" s="123"/>
      <c r="BI22" s="123"/>
      <c r="BJ22" s="123"/>
      <c r="BK22" s="123"/>
      <c r="BL22" s="123"/>
      <c r="BM22" s="123"/>
      <c r="BN22" s="123"/>
      <c r="BO22" s="123"/>
      <c r="BP22" s="123"/>
      <c r="BQ22" s="123"/>
      <c r="BR22" s="123"/>
    </row>
    <row r="23" spans="1:70">
      <c r="A23" s="963">
        <v>3</v>
      </c>
      <c r="B23" s="964"/>
      <c r="C23" s="965" t="s">
        <v>391</v>
      </c>
      <c r="D23" s="965"/>
      <c r="E23" s="965"/>
      <c r="F23" s="965"/>
      <c r="G23" s="965"/>
      <c r="H23" s="966" t="s">
        <v>506</v>
      </c>
      <c r="I23" s="150"/>
      <c r="J23" s="175">
        <f>'ATC Attach O ER15-358'!I165</f>
        <v>140770215.98252785</v>
      </c>
      <c r="K23" s="921"/>
      <c r="R23" s="115"/>
      <c r="S23" s="115"/>
      <c r="T23" s="133"/>
      <c r="U23" s="133"/>
      <c r="V23" s="133"/>
      <c r="W23" s="132"/>
      <c r="X23" s="12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23"/>
      <c r="AU23" s="123"/>
      <c r="AV23" s="123"/>
      <c r="AW23" s="123"/>
      <c r="AX23" s="123"/>
      <c r="AY23" s="123"/>
      <c r="AZ23" s="123"/>
      <c r="BA23" s="123"/>
      <c r="BB23" s="123"/>
      <c r="BC23" s="123"/>
      <c r="BD23" s="123"/>
      <c r="BE23" s="123"/>
      <c r="BF23" s="123"/>
      <c r="BG23" s="123"/>
      <c r="BH23" s="123"/>
      <c r="BI23" s="123"/>
      <c r="BJ23" s="123"/>
      <c r="BK23" s="123"/>
      <c r="BL23" s="123"/>
      <c r="BM23" s="123"/>
      <c r="BN23" s="123"/>
      <c r="BO23" s="123"/>
      <c r="BP23" s="123"/>
      <c r="BQ23" s="123"/>
      <c r="BR23" s="123"/>
    </row>
    <row r="24" spans="1:70">
      <c r="A24" s="963" t="s">
        <v>447</v>
      </c>
      <c r="B24" s="964"/>
      <c r="C24" s="965" t="s">
        <v>446</v>
      </c>
      <c r="D24" s="965"/>
      <c r="E24" s="965"/>
      <c r="F24" s="965"/>
      <c r="G24" s="965"/>
      <c r="H24" s="966" t="s">
        <v>505</v>
      </c>
      <c r="I24" s="150"/>
      <c r="J24" s="175">
        <f>'ATC Attach O ER15-358'!I156</f>
        <v>99090471.660000011</v>
      </c>
      <c r="K24" s="921"/>
      <c r="R24" s="115"/>
      <c r="S24" s="115"/>
      <c r="T24" s="133"/>
      <c r="U24" s="133"/>
      <c r="V24" s="133"/>
      <c r="W24" s="132"/>
      <c r="X24" s="123"/>
      <c r="Y24" s="123"/>
      <c r="Z24" s="123"/>
      <c r="AA24" s="123"/>
      <c r="AB24" s="123"/>
      <c r="AC24" s="123"/>
      <c r="AD24" s="123"/>
      <c r="AE24" s="123"/>
      <c r="AF24" s="123"/>
      <c r="AG24" s="123"/>
      <c r="AH24" s="123"/>
      <c r="AI24" s="123"/>
      <c r="AJ24" s="123"/>
      <c r="AK24" s="123"/>
      <c r="AL24" s="123"/>
      <c r="AM24" s="123"/>
      <c r="AN24" s="123"/>
      <c r="AO24" s="123"/>
      <c r="AP24" s="123"/>
      <c r="AQ24" s="123"/>
      <c r="AR24" s="123"/>
      <c r="AS24" s="123"/>
      <c r="AT24" s="123"/>
      <c r="AU24" s="123"/>
      <c r="AV24" s="123"/>
      <c r="AW24" s="123"/>
      <c r="AX24" s="123"/>
      <c r="AY24" s="123"/>
      <c r="AZ24" s="123"/>
      <c r="BA24" s="123"/>
      <c r="BB24" s="123"/>
      <c r="BC24" s="123"/>
      <c r="BD24" s="123"/>
      <c r="BE24" s="123"/>
      <c r="BF24" s="123"/>
      <c r="BG24" s="123"/>
      <c r="BH24" s="123"/>
      <c r="BI24" s="123"/>
      <c r="BJ24" s="123"/>
      <c r="BK24" s="123"/>
      <c r="BL24" s="123"/>
      <c r="BM24" s="123"/>
      <c r="BN24" s="123"/>
      <c r="BO24" s="123"/>
      <c r="BP24" s="123"/>
      <c r="BQ24" s="123"/>
      <c r="BR24" s="123"/>
    </row>
    <row r="25" spans="1:70" s="557" customFormat="1">
      <c r="A25" s="963"/>
      <c r="B25" s="964"/>
      <c r="C25" s="965"/>
      <c r="D25" s="965"/>
      <c r="E25" s="965"/>
      <c r="F25" s="965"/>
      <c r="G25" s="965"/>
      <c r="H25" s="966" t="s">
        <v>926</v>
      </c>
      <c r="I25" s="590"/>
      <c r="J25" s="175"/>
      <c r="K25" s="921"/>
      <c r="R25" s="560"/>
      <c r="S25" s="560"/>
      <c r="T25" s="570"/>
      <c r="U25" s="570"/>
      <c r="V25" s="570"/>
      <c r="W25" s="132"/>
      <c r="X25" s="565"/>
      <c r="Y25" s="565"/>
      <c r="Z25" s="565"/>
      <c r="AA25" s="565"/>
      <c r="AB25" s="565"/>
      <c r="AC25" s="565"/>
      <c r="AD25" s="565"/>
      <c r="AE25" s="565"/>
      <c r="AF25" s="565"/>
      <c r="AG25" s="565"/>
      <c r="AH25" s="565"/>
      <c r="AI25" s="565"/>
      <c r="AJ25" s="565"/>
      <c r="AK25" s="565"/>
      <c r="AL25" s="565"/>
      <c r="AM25" s="565"/>
      <c r="AN25" s="565"/>
      <c r="AO25" s="565"/>
      <c r="AP25" s="565"/>
      <c r="AQ25" s="565"/>
      <c r="AR25" s="565"/>
      <c r="AS25" s="565"/>
      <c r="AT25" s="565"/>
      <c r="AU25" s="565"/>
      <c r="AV25" s="565"/>
      <c r="AW25" s="565"/>
      <c r="AX25" s="565"/>
      <c r="AY25" s="565"/>
      <c r="AZ25" s="565"/>
      <c r="BA25" s="565"/>
      <c r="BB25" s="565"/>
      <c r="BC25" s="565"/>
      <c r="BD25" s="565"/>
      <c r="BE25" s="565"/>
      <c r="BF25" s="565"/>
      <c r="BG25" s="565"/>
      <c r="BH25" s="565"/>
      <c r="BI25" s="565"/>
      <c r="BJ25" s="565"/>
      <c r="BK25" s="565"/>
      <c r="BL25" s="565"/>
      <c r="BM25" s="565"/>
      <c r="BN25" s="565"/>
      <c r="BO25" s="565"/>
      <c r="BP25" s="565"/>
      <c r="BQ25" s="565"/>
      <c r="BR25" s="565"/>
    </row>
    <row r="26" spans="1:70">
      <c r="A26" s="963" t="s">
        <v>465</v>
      </c>
      <c r="B26" s="967"/>
      <c r="C26" s="965" t="s">
        <v>927</v>
      </c>
      <c r="D26" s="965"/>
      <c r="E26" s="965"/>
      <c r="F26" s="965"/>
      <c r="G26" s="965"/>
      <c r="H26" s="966" t="s">
        <v>928</v>
      </c>
      <c r="I26" s="956"/>
      <c r="J26" s="175">
        <v>8282445.3099999996</v>
      </c>
      <c r="K26" s="921"/>
      <c r="R26" s="115"/>
      <c r="S26" s="115"/>
      <c r="T26" s="133"/>
      <c r="U26" s="133"/>
      <c r="V26" s="133"/>
      <c r="W26" s="132"/>
      <c r="X26" s="123"/>
      <c r="Y26" s="123"/>
      <c r="Z26" s="123"/>
      <c r="AA26" s="123"/>
      <c r="AB26" s="123"/>
      <c r="AC26" s="123"/>
      <c r="AD26" s="123"/>
      <c r="AE26" s="123"/>
      <c r="AF26" s="123"/>
      <c r="AG26" s="123"/>
      <c r="AH26" s="123"/>
      <c r="AI26" s="123"/>
      <c r="AJ26" s="123"/>
      <c r="AK26" s="123"/>
      <c r="AL26" s="123"/>
      <c r="AM26" s="123"/>
      <c r="AN26" s="123"/>
      <c r="AO26" s="123"/>
      <c r="AP26" s="123"/>
      <c r="AQ26" s="123"/>
      <c r="AR26" s="123"/>
      <c r="AS26" s="123"/>
      <c r="AT26" s="123"/>
      <c r="AU26" s="123"/>
      <c r="AV26" s="123"/>
      <c r="AW26" s="123"/>
      <c r="AX26" s="123"/>
      <c r="AY26" s="123"/>
      <c r="AZ26" s="123"/>
      <c r="BA26" s="123"/>
      <c r="BB26" s="123"/>
      <c r="BC26" s="123"/>
      <c r="BD26" s="123"/>
      <c r="BE26" s="123"/>
      <c r="BF26" s="123"/>
      <c r="BG26" s="123"/>
      <c r="BH26" s="123"/>
      <c r="BI26" s="123"/>
      <c r="BJ26" s="123"/>
      <c r="BK26" s="123"/>
      <c r="BL26" s="123"/>
      <c r="BM26" s="123"/>
      <c r="BN26" s="123"/>
      <c r="BO26" s="123"/>
      <c r="BP26" s="123"/>
      <c r="BQ26" s="123"/>
      <c r="BR26" s="123"/>
    </row>
    <row r="27" spans="1:70">
      <c r="A27" s="963" t="s">
        <v>445</v>
      </c>
      <c r="B27" s="964"/>
      <c r="C27" s="965" t="s">
        <v>444</v>
      </c>
      <c r="D27" s="965"/>
      <c r="E27" s="965"/>
      <c r="F27" s="965"/>
      <c r="G27" s="965"/>
      <c r="H27" s="966" t="s">
        <v>504</v>
      </c>
      <c r="I27" s="150"/>
      <c r="J27" s="175">
        <f>'ATC Attach O ER15-358'!I157</f>
        <v>0</v>
      </c>
      <c r="K27" s="921"/>
      <c r="R27" s="115"/>
      <c r="S27" s="115"/>
      <c r="T27" s="133"/>
      <c r="U27" s="133"/>
      <c r="V27" s="133"/>
      <c r="W27" s="132"/>
      <c r="X27" s="12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3"/>
      <c r="AW27" s="123"/>
      <c r="AX27" s="123"/>
      <c r="AY27" s="123"/>
      <c r="AZ27" s="123"/>
      <c r="BA27" s="123"/>
      <c r="BB27" s="123"/>
      <c r="BC27" s="123"/>
      <c r="BD27" s="123"/>
      <c r="BE27" s="123"/>
      <c r="BF27" s="123"/>
      <c r="BG27" s="123"/>
      <c r="BH27" s="123"/>
      <c r="BI27" s="123"/>
      <c r="BJ27" s="123"/>
      <c r="BK27" s="123"/>
      <c r="BL27" s="123"/>
      <c r="BM27" s="123"/>
      <c r="BN27" s="123"/>
      <c r="BO27" s="123"/>
      <c r="BP27" s="123"/>
      <c r="BQ27" s="123"/>
      <c r="BR27" s="123"/>
    </row>
    <row r="28" spans="1:70">
      <c r="A28" s="963" t="s">
        <v>443</v>
      </c>
      <c r="B28" s="964"/>
      <c r="C28" s="965" t="s">
        <v>442</v>
      </c>
      <c r="D28" s="965"/>
      <c r="E28" s="965"/>
      <c r="F28" s="965"/>
      <c r="G28" s="965"/>
      <c r="H28" s="966" t="s">
        <v>503</v>
      </c>
      <c r="I28" s="150"/>
      <c r="J28" s="176">
        <f>'ATC Attach O ER15-358'!I158</f>
        <v>0</v>
      </c>
      <c r="K28" s="921"/>
      <c r="R28" s="115"/>
      <c r="S28" s="115"/>
      <c r="T28" s="133"/>
      <c r="U28" s="133"/>
      <c r="V28" s="133"/>
      <c r="W28" s="132"/>
      <c r="X28" s="123"/>
      <c r="Y28" s="123"/>
      <c r="Z28" s="123"/>
      <c r="AA28" s="123"/>
      <c r="AB28" s="123"/>
      <c r="AC28" s="123"/>
      <c r="AD28" s="123"/>
      <c r="AE28" s="123"/>
      <c r="AF28" s="123"/>
      <c r="AG28" s="123"/>
      <c r="AH28" s="123"/>
      <c r="AI28" s="123"/>
      <c r="AJ28" s="123"/>
      <c r="AK28" s="123"/>
      <c r="AL28" s="123"/>
      <c r="AM28" s="123"/>
      <c r="AN28" s="123"/>
      <c r="AO28" s="123"/>
      <c r="AP28" s="123"/>
      <c r="AQ28" s="123"/>
      <c r="AR28" s="123"/>
      <c r="AS28" s="123"/>
      <c r="AT28" s="123"/>
      <c r="AU28" s="123"/>
      <c r="AV28" s="123"/>
      <c r="AW28" s="123"/>
      <c r="AX28" s="123"/>
      <c r="AY28" s="123"/>
      <c r="AZ28" s="123"/>
      <c r="BA28" s="123"/>
      <c r="BB28" s="123"/>
      <c r="BC28" s="123"/>
      <c r="BD28" s="123"/>
      <c r="BE28" s="123"/>
      <c r="BF28" s="123"/>
      <c r="BG28" s="123"/>
      <c r="BH28" s="123"/>
      <c r="BI28" s="123"/>
      <c r="BJ28" s="123"/>
      <c r="BK28" s="123"/>
      <c r="BL28" s="123"/>
      <c r="BM28" s="123"/>
      <c r="BN28" s="123"/>
      <c r="BO28" s="123"/>
      <c r="BP28" s="123"/>
      <c r="BQ28" s="123"/>
      <c r="BR28" s="123"/>
    </row>
    <row r="29" spans="1:70">
      <c r="A29" s="968" t="s">
        <v>441</v>
      </c>
      <c r="B29" s="964"/>
      <c r="C29" s="965" t="s">
        <v>440</v>
      </c>
      <c r="D29" s="965"/>
      <c r="E29" s="965"/>
      <c r="F29" s="965"/>
      <c r="G29" s="965"/>
      <c r="H29" s="966" t="s">
        <v>502</v>
      </c>
      <c r="I29" s="150"/>
      <c r="J29" s="610">
        <f>J24-(J27+J28+J26)</f>
        <v>90808026.350000009</v>
      </c>
      <c r="K29" s="921"/>
      <c r="R29" s="115"/>
      <c r="S29" s="115"/>
      <c r="T29" s="133"/>
      <c r="U29" s="133"/>
      <c r="V29" s="133"/>
      <c r="W29" s="132"/>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row>
    <row r="30" spans="1:70">
      <c r="A30" s="145"/>
      <c r="B30" s="123"/>
      <c r="C30" s="128"/>
      <c r="D30" s="128"/>
      <c r="E30" s="128"/>
      <c r="F30" s="128"/>
      <c r="G30" s="128"/>
      <c r="H30" s="150"/>
      <c r="I30" s="150"/>
      <c r="J30" s="978"/>
      <c r="K30" s="115"/>
      <c r="R30" s="115"/>
      <c r="S30" s="115"/>
      <c r="T30" s="133"/>
      <c r="U30" s="133"/>
      <c r="V30" s="133"/>
      <c r="W30" s="132"/>
      <c r="X30" s="123"/>
      <c r="Y30" s="123"/>
      <c r="Z30" s="123"/>
      <c r="AA30" s="123"/>
      <c r="AB30" s="123"/>
      <c r="AC30" s="123"/>
      <c r="AD30" s="123"/>
      <c r="AE30" s="123"/>
      <c r="AF30" s="123"/>
      <c r="AG30" s="123"/>
      <c r="AH30" s="123"/>
      <c r="AI30" s="123"/>
      <c r="AJ30" s="123"/>
      <c r="AK30" s="123"/>
      <c r="AL30" s="123"/>
      <c r="AM30" s="123"/>
      <c r="AN30" s="123"/>
      <c r="AO30" s="123"/>
      <c r="AP30" s="123"/>
      <c r="AQ30" s="123"/>
      <c r="AR30" s="123"/>
      <c r="AS30" s="123"/>
      <c r="AT30" s="123"/>
      <c r="AU30" s="123"/>
      <c r="AV30" s="123"/>
      <c r="AW30" s="123"/>
      <c r="AX30" s="123"/>
      <c r="AY30" s="123"/>
      <c r="AZ30" s="123"/>
      <c r="BA30" s="123"/>
      <c r="BB30" s="123"/>
      <c r="BC30" s="123"/>
      <c r="BD30" s="123"/>
      <c r="BE30" s="123"/>
      <c r="BF30" s="123"/>
      <c r="BG30" s="123"/>
      <c r="BH30" s="123"/>
      <c r="BI30" s="123"/>
      <c r="BJ30" s="123"/>
      <c r="BK30" s="123"/>
      <c r="BL30" s="123"/>
      <c r="BM30" s="123"/>
      <c r="BN30" s="123"/>
      <c r="BO30" s="123"/>
      <c r="BP30" s="123"/>
      <c r="BQ30" s="123"/>
      <c r="BR30" s="123"/>
    </row>
    <row r="31" spans="1:70" ht="15.6">
      <c r="A31" s="968">
        <v>4</v>
      </c>
      <c r="B31" s="964"/>
      <c r="C31" s="969" t="s">
        <v>439</v>
      </c>
      <c r="D31" s="969"/>
      <c r="E31" s="969"/>
      <c r="F31" s="969"/>
      <c r="G31" s="965"/>
      <c r="H31" s="966" t="s">
        <v>438</v>
      </c>
      <c r="I31" s="150"/>
      <c r="J31" s="981">
        <f>IF(J29=0,0,J29/J19)</f>
        <v>7.7816992833042303E-2</v>
      </c>
      <c r="K31" s="920"/>
      <c r="L31" s="611">
        <f>J31</f>
        <v>7.7816992833042303E-2</v>
      </c>
      <c r="R31" s="115"/>
      <c r="S31" s="115"/>
      <c r="T31" s="133"/>
      <c r="U31" s="133"/>
      <c r="V31" s="133"/>
      <c r="W31" s="132"/>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c r="BE31" s="123"/>
      <c r="BF31" s="123"/>
      <c r="BG31" s="123"/>
      <c r="BH31" s="123"/>
      <c r="BI31" s="123"/>
      <c r="BJ31" s="123"/>
      <c r="BK31" s="123"/>
      <c r="BL31" s="123"/>
      <c r="BM31" s="123"/>
      <c r="BN31" s="123"/>
      <c r="BO31" s="123"/>
      <c r="BP31" s="123"/>
      <c r="BQ31" s="123"/>
      <c r="BR31" s="123"/>
    </row>
    <row r="32" spans="1:70">
      <c r="A32" s="145"/>
      <c r="B32" s="123"/>
      <c r="C32" s="128"/>
      <c r="D32" s="128"/>
      <c r="E32" s="128"/>
      <c r="F32" s="128"/>
      <c r="G32" s="128"/>
      <c r="H32" s="150"/>
      <c r="I32" s="150"/>
      <c r="J32" s="978"/>
      <c r="K32" s="115"/>
      <c r="L32" s="964"/>
      <c r="R32" s="115"/>
      <c r="S32" s="115"/>
      <c r="T32" s="133"/>
      <c r="U32" s="133"/>
      <c r="V32" s="133"/>
      <c r="W32" s="132"/>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3"/>
      <c r="BJ32" s="123"/>
      <c r="BK32" s="123"/>
      <c r="BL32" s="123"/>
      <c r="BM32" s="123"/>
      <c r="BN32" s="123"/>
      <c r="BO32" s="123"/>
      <c r="BP32" s="123"/>
      <c r="BQ32" s="123"/>
      <c r="BR32" s="123"/>
    </row>
    <row r="33" spans="1:70">
      <c r="A33" s="145"/>
      <c r="B33" s="123"/>
      <c r="C33" s="128"/>
      <c r="D33" s="128"/>
      <c r="E33" s="128"/>
      <c r="F33" s="128"/>
      <c r="G33" s="128"/>
      <c r="H33" s="150"/>
      <c r="I33" s="150"/>
      <c r="J33" s="978"/>
      <c r="K33" s="115"/>
      <c r="L33" s="964"/>
      <c r="R33" s="115"/>
      <c r="S33" s="115"/>
      <c r="T33" s="133"/>
      <c r="U33" s="133"/>
      <c r="V33" s="133"/>
      <c r="W33" s="132"/>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c r="BE33" s="123"/>
      <c r="BF33" s="123"/>
      <c r="BG33" s="123"/>
      <c r="BH33" s="123"/>
      <c r="BI33" s="123"/>
      <c r="BJ33" s="123"/>
      <c r="BK33" s="123"/>
      <c r="BL33" s="123"/>
      <c r="BM33" s="123"/>
      <c r="BN33" s="123"/>
      <c r="BO33" s="123"/>
      <c r="BP33" s="123"/>
      <c r="BQ33" s="123"/>
      <c r="BR33" s="123"/>
    </row>
    <row r="34" spans="1:70" ht="15.6">
      <c r="A34" s="968"/>
      <c r="B34" s="964"/>
      <c r="C34" s="965" t="s">
        <v>437</v>
      </c>
      <c r="D34" s="965"/>
      <c r="E34" s="965"/>
      <c r="F34" s="965"/>
      <c r="G34" s="965"/>
      <c r="H34" s="966"/>
      <c r="I34" s="150"/>
      <c r="J34" s="982"/>
      <c r="K34" s="117"/>
      <c r="L34" s="152"/>
      <c r="R34" s="115"/>
      <c r="S34" s="114"/>
      <c r="T34" s="139"/>
      <c r="U34" s="156"/>
      <c r="V34" s="133"/>
      <c r="W34" s="132"/>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3"/>
      <c r="BD34" s="123"/>
      <c r="BE34" s="123"/>
      <c r="BF34" s="123"/>
      <c r="BG34" s="123"/>
      <c r="BH34" s="123"/>
      <c r="BI34" s="123"/>
      <c r="BJ34" s="123"/>
      <c r="BK34" s="123"/>
      <c r="BL34" s="123"/>
      <c r="BM34" s="123"/>
      <c r="BN34" s="123"/>
      <c r="BO34" s="123"/>
      <c r="BP34" s="123"/>
      <c r="BQ34" s="123"/>
      <c r="BR34" s="123"/>
    </row>
    <row r="35" spans="1:70" ht="15.6">
      <c r="A35" s="968" t="s">
        <v>436</v>
      </c>
      <c r="B35" s="964"/>
      <c r="C35" s="965" t="s">
        <v>435</v>
      </c>
      <c r="D35" s="965"/>
      <c r="E35" s="965"/>
      <c r="F35" s="965"/>
      <c r="G35" s="965"/>
      <c r="H35" s="966" t="s">
        <v>929</v>
      </c>
      <c r="I35" s="150"/>
      <c r="J35" s="983">
        <f>J23-J29-J26</f>
        <v>41679744.322527841</v>
      </c>
      <c r="K35" s="921"/>
      <c r="L35" s="152"/>
      <c r="R35" s="115"/>
      <c r="S35" s="114"/>
      <c r="T35" s="139"/>
      <c r="U35" s="156"/>
      <c r="V35" s="133"/>
      <c r="W35" s="132"/>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3"/>
      <c r="BQ35" s="123"/>
      <c r="BR35" s="123"/>
    </row>
    <row r="36" spans="1:70" ht="15.6">
      <c r="A36" s="968" t="s">
        <v>434</v>
      </c>
      <c r="B36" s="964"/>
      <c r="C36" s="965" t="s">
        <v>433</v>
      </c>
      <c r="D36" s="965"/>
      <c r="E36" s="965"/>
      <c r="F36" s="965"/>
      <c r="G36" s="965"/>
      <c r="H36" s="966" t="s">
        <v>432</v>
      </c>
      <c r="I36" s="150"/>
      <c r="J36" s="982">
        <f>IF(J35=0,0,J35/J18)</f>
        <v>8.8531854085853023E-3</v>
      </c>
      <c r="K36" s="920"/>
      <c r="L36" s="152">
        <f>J36</f>
        <v>8.8531854085853023E-3</v>
      </c>
      <c r="R36" s="115"/>
      <c r="S36" s="114"/>
      <c r="T36" s="139"/>
      <c r="U36" s="156"/>
      <c r="V36" s="133"/>
      <c r="W36" s="132"/>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c r="BD36" s="123"/>
      <c r="BE36" s="123"/>
      <c r="BF36" s="123"/>
      <c r="BG36" s="123"/>
      <c r="BH36" s="123"/>
      <c r="BI36" s="123"/>
      <c r="BJ36" s="123"/>
      <c r="BK36" s="123"/>
      <c r="BL36" s="123"/>
      <c r="BM36" s="123"/>
      <c r="BN36" s="123"/>
      <c r="BO36" s="123"/>
      <c r="BP36" s="123"/>
      <c r="BQ36" s="123"/>
      <c r="BR36" s="123"/>
    </row>
    <row r="37" spans="1:70" ht="15.6">
      <c r="A37" s="968"/>
      <c r="B37" s="964"/>
      <c r="C37" s="965"/>
      <c r="D37" s="965"/>
      <c r="E37" s="965"/>
      <c r="F37" s="965"/>
      <c r="G37" s="965"/>
      <c r="H37" s="966"/>
      <c r="I37" s="150"/>
      <c r="J37" s="982"/>
      <c r="K37" s="117"/>
      <c r="L37" s="152"/>
      <c r="R37" s="115"/>
      <c r="S37" s="114"/>
      <c r="T37" s="139"/>
      <c r="U37" s="156"/>
      <c r="V37" s="133"/>
      <c r="W37" s="132"/>
      <c r="X37" s="123"/>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c r="BD37" s="123"/>
      <c r="BE37" s="123"/>
      <c r="BF37" s="123"/>
      <c r="BG37" s="123"/>
      <c r="BH37" s="123"/>
      <c r="BI37" s="123"/>
      <c r="BJ37" s="123"/>
      <c r="BK37" s="123"/>
      <c r="BL37" s="123"/>
      <c r="BM37" s="123"/>
      <c r="BN37" s="123"/>
      <c r="BO37" s="123"/>
      <c r="BP37" s="123"/>
      <c r="BQ37" s="123"/>
      <c r="BR37" s="123"/>
    </row>
    <row r="38" spans="1:70" ht="15.6">
      <c r="A38" s="970"/>
      <c r="B38" s="971"/>
      <c r="C38" s="965" t="s">
        <v>389</v>
      </c>
      <c r="D38" s="965"/>
      <c r="E38" s="965"/>
      <c r="F38" s="965"/>
      <c r="G38" s="965"/>
      <c r="H38" s="972"/>
      <c r="I38" s="118"/>
      <c r="J38" s="978"/>
      <c r="K38" s="115"/>
      <c r="L38" s="978"/>
      <c r="N38" s="123"/>
      <c r="O38" s="123"/>
      <c r="P38" s="123"/>
      <c r="R38" s="115"/>
      <c r="S38" s="114"/>
      <c r="T38" s="139"/>
      <c r="U38" s="156"/>
      <c r="V38" s="133"/>
      <c r="W38" s="132"/>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3"/>
      <c r="BQ38" s="123"/>
      <c r="BR38" s="123"/>
    </row>
    <row r="39" spans="1:70" ht="15.6">
      <c r="A39" s="970" t="s">
        <v>388</v>
      </c>
      <c r="B39" s="971"/>
      <c r="C39" s="965" t="s">
        <v>387</v>
      </c>
      <c r="D39" s="965"/>
      <c r="E39" s="965"/>
      <c r="F39" s="965"/>
      <c r="G39" s="965"/>
      <c r="H39" s="966" t="s">
        <v>501</v>
      </c>
      <c r="I39" s="150"/>
      <c r="J39" s="175">
        <f>'ATC Attach O ER15-358'!I169+'ATC Attach O ER15-358'!I170</f>
        <v>9499152</v>
      </c>
      <c r="K39" s="921"/>
      <c r="L39" s="971"/>
      <c r="N39" s="123"/>
      <c r="O39" s="123"/>
      <c r="P39" s="123"/>
      <c r="R39" s="115"/>
      <c r="S39" s="114"/>
      <c r="T39" s="139"/>
      <c r="U39" s="156"/>
      <c r="V39" s="133"/>
      <c r="W39" s="132"/>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3"/>
      <c r="BQ39" s="123"/>
      <c r="BR39" s="123"/>
    </row>
    <row r="40" spans="1:70" ht="15.6">
      <c r="A40" s="970" t="s">
        <v>386</v>
      </c>
      <c r="B40" s="971"/>
      <c r="C40" s="965" t="s">
        <v>385</v>
      </c>
      <c r="D40" s="965"/>
      <c r="E40" s="965"/>
      <c r="F40" s="965"/>
      <c r="G40" s="965"/>
      <c r="H40" s="966" t="s">
        <v>384</v>
      </c>
      <c r="I40" s="150"/>
      <c r="J40" s="982">
        <f>IF(J39=0,0,J39/J18)</f>
        <v>2.0177128062390534E-3</v>
      </c>
      <c r="K40" s="920"/>
      <c r="L40" s="152">
        <f>J40</f>
        <v>2.0177128062390534E-3</v>
      </c>
      <c r="N40" s="123"/>
      <c r="O40" s="123"/>
      <c r="P40" s="123"/>
      <c r="R40" s="115"/>
      <c r="S40" s="114"/>
      <c r="T40" s="139"/>
      <c r="U40" s="156"/>
      <c r="V40" s="133"/>
      <c r="W40" s="132"/>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c r="BP40" s="123"/>
      <c r="BQ40" s="123"/>
      <c r="BR40" s="123"/>
    </row>
    <row r="41" spans="1:70" ht="15.6">
      <c r="A41" s="968"/>
      <c r="B41" s="964"/>
      <c r="C41" s="965"/>
      <c r="D41" s="965"/>
      <c r="E41" s="965"/>
      <c r="F41" s="965"/>
      <c r="G41" s="965"/>
      <c r="H41" s="966"/>
      <c r="I41" s="150"/>
      <c r="J41" s="982"/>
      <c r="K41" s="117"/>
      <c r="L41" s="152"/>
      <c r="R41" s="115"/>
      <c r="S41" s="114"/>
      <c r="T41" s="139"/>
      <c r="U41" s="156"/>
      <c r="V41" s="133"/>
      <c r="W41" s="132"/>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c r="BE41" s="123"/>
      <c r="BF41" s="123"/>
      <c r="BG41" s="123"/>
      <c r="BH41" s="123"/>
      <c r="BI41" s="123"/>
      <c r="BJ41" s="123"/>
      <c r="BK41" s="123"/>
      <c r="BL41" s="123"/>
      <c r="BM41" s="123"/>
      <c r="BN41" s="123"/>
      <c r="BO41" s="123"/>
      <c r="BP41" s="123"/>
      <c r="BQ41" s="123"/>
      <c r="BR41" s="123"/>
    </row>
    <row r="42" spans="1:70">
      <c r="A42" s="973"/>
      <c r="B42" s="964"/>
      <c r="C42" s="965" t="s">
        <v>383</v>
      </c>
      <c r="D42" s="965"/>
      <c r="E42" s="965"/>
      <c r="F42" s="965"/>
      <c r="G42" s="965"/>
      <c r="H42" s="972"/>
      <c r="I42" s="118"/>
      <c r="J42" s="978"/>
      <c r="K42" s="115"/>
      <c r="L42" s="978"/>
      <c r="R42" s="115"/>
      <c r="S42" s="115"/>
      <c r="T42" s="133"/>
      <c r="U42" s="115"/>
      <c r="V42" s="133"/>
      <c r="W42" s="132"/>
      <c r="X42" s="123"/>
      <c r="Y42" s="123"/>
      <c r="Z42" s="123"/>
      <c r="AA42" s="123"/>
      <c r="AB42" s="123"/>
      <c r="AC42" s="123"/>
      <c r="AD42" s="123"/>
      <c r="AE42" s="123"/>
      <c r="AF42" s="123"/>
      <c r="AG42" s="123"/>
      <c r="AH42" s="123"/>
      <c r="AI42" s="123"/>
      <c r="AJ42" s="123"/>
      <c r="AK42" s="123"/>
      <c r="AL42" s="123"/>
      <c r="AM42" s="123"/>
      <c r="AN42" s="123"/>
      <c r="AO42" s="123"/>
      <c r="AP42" s="123"/>
      <c r="AQ42" s="123"/>
      <c r="AR42" s="123"/>
      <c r="AS42" s="123"/>
      <c r="AT42" s="123"/>
      <c r="AU42" s="123"/>
      <c r="AV42" s="123"/>
      <c r="AW42" s="123"/>
      <c r="AX42" s="123"/>
      <c r="AY42" s="123"/>
      <c r="AZ42" s="123"/>
      <c r="BA42" s="123"/>
      <c r="BB42" s="123"/>
      <c r="BC42" s="123"/>
      <c r="BD42" s="123"/>
      <c r="BE42" s="123"/>
      <c r="BF42" s="123"/>
      <c r="BG42" s="123"/>
      <c r="BH42" s="123"/>
      <c r="BI42" s="123"/>
      <c r="BJ42" s="123"/>
      <c r="BK42" s="123"/>
      <c r="BL42" s="123"/>
      <c r="BM42" s="123"/>
      <c r="BN42" s="123"/>
      <c r="BO42" s="123"/>
      <c r="BP42" s="123"/>
      <c r="BQ42" s="123"/>
      <c r="BR42" s="123"/>
    </row>
    <row r="43" spans="1:70" ht="15.6">
      <c r="A43" s="973" t="s">
        <v>382</v>
      </c>
      <c r="B43" s="964"/>
      <c r="C43" s="965" t="s">
        <v>381</v>
      </c>
      <c r="D43" s="965"/>
      <c r="E43" s="965"/>
      <c r="F43" s="965"/>
      <c r="G43" s="965"/>
      <c r="H43" s="966" t="s">
        <v>500</v>
      </c>
      <c r="I43" s="150"/>
      <c r="J43" s="175">
        <f>'ATC Attach O ER15-358'!I182</f>
        <v>23103977</v>
      </c>
      <c r="K43" s="921"/>
      <c r="L43" s="964"/>
      <c r="R43" s="115"/>
      <c r="S43" s="157"/>
      <c r="T43" s="133"/>
      <c r="U43" s="145"/>
      <c r="V43" s="144"/>
      <c r="W43" s="132"/>
      <c r="X43" s="123"/>
      <c r="Y43" s="123"/>
      <c r="Z43" s="123"/>
      <c r="AA43" s="123"/>
      <c r="AB43" s="123"/>
      <c r="AC43" s="123"/>
      <c r="AD43" s="123"/>
      <c r="AE43" s="123"/>
      <c r="AF43" s="123"/>
      <c r="AG43" s="123"/>
      <c r="AH43" s="123"/>
      <c r="AI43" s="123"/>
      <c r="AJ43" s="123"/>
      <c r="AK43" s="123"/>
      <c r="AL43" s="123"/>
      <c r="AM43" s="123"/>
      <c r="AN43" s="123"/>
      <c r="AO43" s="123"/>
      <c r="AP43" s="123"/>
      <c r="AQ43" s="123"/>
      <c r="AR43" s="123"/>
      <c r="AS43" s="123"/>
      <c r="AT43" s="123"/>
      <c r="AU43" s="123"/>
      <c r="AV43" s="123"/>
      <c r="AW43" s="123"/>
      <c r="AX43" s="123"/>
      <c r="AY43" s="123"/>
      <c r="AZ43" s="123"/>
      <c r="BA43" s="123"/>
      <c r="BB43" s="123"/>
      <c r="BC43" s="123"/>
      <c r="BD43" s="123"/>
      <c r="BE43" s="123"/>
      <c r="BF43" s="123"/>
      <c r="BG43" s="123"/>
      <c r="BH43" s="123"/>
      <c r="BI43" s="123"/>
      <c r="BJ43" s="123"/>
      <c r="BK43" s="123"/>
      <c r="BL43" s="123"/>
      <c r="BM43" s="123"/>
      <c r="BN43" s="123"/>
      <c r="BO43" s="123"/>
      <c r="BP43" s="123"/>
      <c r="BQ43" s="123"/>
      <c r="BR43" s="123"/>
    </row>
    <row r="44" spans="1:70" ht="15.6">
      <c r="A44" s="973" t="s">
        <v>380</v>
      </c>
      <c r="B44" s="964"/>
      <c r="C44" s="965" t="s">
        <v>379</v>
      </c>
      <c r="D44" s="965"/>
      <c r="E44" s="965"/>
      <c r="F44" s="965"/>
      <c r="G44" s="965"/>
      <c r="H44" s="966" t="s">
        <v>378</v>
      </c>
      <c r="I44" s="150"/>
      <c r="J44" s="982">
        <f>IF(J43=0,0,J43/J18)</f>
        <v>4.9075107196887196E-3</v>
      </c>
      <c r="K44" s="920"/>
      <c r="L44" s="152">
        <f>J44</f>
        <v>4.9075107196887196E-3</v>
      </c>
      <c r="R44" s="115"/>
      <c r="S44" s="114"/>
      <c r="T44" s="133"/>
      <c r="U44" s="156"/>
      <c r="V44" s="144"/>
      <c r="W44" s="132"/>
      <c r="X44" s="123"/>
      <c r="Y44" s="123"/>
      <c r="Z44" s="123"/>
      <c r="AA44" s="123"/>
      <c r="AB44" s="123"/>
      <c r="AC44" s="123"/>
      <c r="AD44" s="123"/>
      <c r="AE44" s="123"/>
      <c r="AF44" s="123"/>
      <c r="AG44" s="123"/>
      <c r="AH44" s="123"/>
      <c r="AI44" s="123"/>
      <c r="AJ44" s="123"/>
      <c r="AK44" s="123"/>
      <c r="AL44" s="123"/>
      <c r="AM44" s="123"/>
      <c r="AN44" s="123"/>
      <c r="AO44" s="123"/>
      <c r="AP44" s="123"/>
      <c r="AQ44" s="123"/>
      <c r="AR44" s="123"/>
      <c r="AS44" s="123"/>
      <c r="AT44" s="123"/>
      <c r="AU44" s="123"/>
      <c r="AV44" s="123"/>
      <c r="AW44" s="123"/>
      <c r="AX44" s="123"/>
      <c r="AY44" s="123"/>
      <c r="AZ44" s="123"/>
      <c r="BA44" s="123"/>
      <c r="BB44" s="123"/>
      <c r="BC44" s="123"/>
      <c r="BD44" s="123"/>
      <c r="BE44" s="123"/>
      <c r="BF44" s="123"/>
      <c r="BG44" s="123"/>
      <c r="BH44" s="123"/>
      <c r="BI44" s="123"/>
      <c r="BJ44" s="123"/>
      <c r="BK44" s="123"/>
      <c r="BL44" s="123"/>
      <c r="BM44" s="123"/>
      <c r="BN44" s="123"/>
      <c r="BO44" s="123"/>
      <c r="BP44" s="123"/>
      <c r="BQ44" s="123"/>
      <c r="BR44" s="123"/>
    </row>
    <row r="45" spans="1:70">
      <c r="A45" s="119"/>
      <c r="B45" s="123"/>
      <c r="C45" s="128"/>
      <c r="D45" s="128"/>
      <c r="E45" s="128"/>
      <c r="F45" s="128"/>
      <c r="G45" s="128"/>
      <c r="H45" s="150"/>
      <c r="I45" s="150"/>
      <c r="J45" s="978"/>
      <c r="K45" s="115"/>
      <c r="L45" s="978"/>
      <c r="R45" s="115"/>
      <c r="V45" s="133"/>
      <c r="W45" s="132"/>
      <c r="X45" s="123"/>
      <c r="Y45" s="123"/>
      <c r="Z45" s="123"/>
      <c r="AA45" s="123"/>
      <c r="AB45" s="123"/>
      <c r="AC45" s="123"/>
      <c r="AD45" s="123"/>
      <c r="AE45" s="123"/>
      <c r="AF45" s="123"/>
      <c r="AG45" s="123"/>
      <c r="AH45" s="123"/>
      <c r="AI45" s="123"/>
      <c r="AJ45" s="123"/>
      <c r="AK45" s="123"/>
      <c r="AL45" s="123"/>
      <c r="AM45" s="123"/>
      <c r="AN45" s="123"/>
      <c r="AO45" s="123"/>
      <c r="AP45" s="123"/>
      <c r="AQ45" s="123"/>
      <c r="AR45" s="123"/>
      <c r="AS45" s="123"/>
      <c r="AT45" s="123"/>
      <c r="AU45" s="123"/>
      <c r="AV45" s="123"/>
      <c r="AW45" s="123"/>
      <c r="AX45" s="123"/>
      <c r="AY45" s="123"/>
      <c r="AZ45" s="123"/>
      <c r="BA45" s="123"/>
      <c r="BB45" s="123"/>
      <c r="BC45" s="123"/>
      <c r="BD45" s="123"/>
      <c r="BE45" s="123"/>
      <c r="BF45" s="123"/>
      <c r="BG45" s="123"/>
      <c r="BH45" s="123"/>
      <c r="BI45" s="123"/>
      <c r="BJ45" s="123"/>
      <c r="BK45" s="123"/>
      <c r="BL45" s="123"/>
      <c r="BM45" s="123"/>
      <c r="BN45" s="123"/>
      <c r="BO45" s="123"/>
      <c r="BP45" s="123"/>
      <c r="BQ45" s="123"/>
      <c r="BR45" s="123"/>
    </row>
    <row r="46" spans="1:70" ht="15.6">
      <c r="A46" s="974" t="s">
        <v>377</v>
      </c>
      <c r="B46" s="975"/>
      <c r="C46" s="969" t="s">
        <v>431</v>
      </c>
      <c r="D46" s="969"/>
      <c r="E46" s="969"/>
      <c r="F46" s="969"/>
      <c r="G46" s="969"/>
      <c r="H46" s="976" t="s">
        <v>430</v>
      </c>
      <c r="I46" s="149"/>
      <c r="J46" s="586">
        <f>J36+J40+J44</f>
        <v>1.5778408934513075E-2</v>
      </c>
      <c r="K46" s="920"/>
      <c r="L46" s="586">
        <f>L36+L40+L44</f>
        <v>1.5778408934513075E-2</v>
      </c>
      <c r="R46" s="115"/>
      <c r="V46" s="133"/>
      <c r="W46" s="132"/>
      <c r="X46" s="123"/>
      <c r="Y46" s="123"/>
      <c r="Z46" s="123"/>
      <c r="AA46" s="123"/>
      <c r="AB46" s="123"/>
      <c r="AC46" s="123"/>
      <c r="AD46" s="123"/>
      <c r="AE46" s="123"/>
      <c r="AF46" s="123"/>
      <c r="AG46" s="123"/>
      <c r="AH46" s="123"/>
      <c r="AI46" s="123"/>
      <c r="AJ46" s="123"/>
      <c r="AK46" s="123"/>
      <c r="AL46" s="123"/>
      <c r="AM46" s="123"/>
      <c r="AN46" s="123"/>
      <c r="AO46" s="123"/>
      <c r="AP46" s="123"/>
      <c r="AQ46" s="123"/>
      <c r="AR46" s="123"/>
      <c r="AS46" s="123"/>
      <c r="AT46" s="123"/>
      <c r="AU46" s="123"/>
      <c r="AV46" s="123"/>
      <c r="AW46" s="123"/>
      <c r="AX46" s="123"/>
      <c r="AY46" s="123"/>
      <c r="AZ46" s="123"/>
      <c r="BA46" s="123"/>
      <c r="BB46" s="123"/>
      <c r="BC46" s="123"/>
      <c r="BD46" s="123"/>
      <c r="BE46" s="123"/>
      <c r="BF46" s="123"/>
      <c r="BG46" s="123"/>
      <c r="BH46" s="123"/>
      <c r="BI46" s="123"/>
      <c r="BJ46" s="123"/>
      <c r="BK46" s="123"/>
      <c r="BL46" s="123"/>
      <c r="BM46" s="123"/>
      <c r="BN46" s="123"/>
      <c r="BO46" s="123"/>
      <c r="BP46" s="123"/>
      <c r="BQ46" s="123"/>
      <c r="BR46" s="123"/>
    </row>
    <row r="47" spans="1:70">
      <c r="A47" s="973"/>
      <c r="B47" s="964"/>
      <c r="C47" s="965"/>
      <c r="D47" s="965"/>
      <c r="E47" s="965"/>
      <c r="F47" s="965"/>
      <c r="G47" s="965"/>
      <c r="H47" s="966"/>
      <c r="I47" s="150"/>
      <c r="J47" s="978"/>
      <c r="K47" s="115"/>
      <c r="L47" s="978"/>
      <c r="R47" s="115"/>
      <c r="S47" s="115"/>
      <c r="T47" s="133"/>
      <c r="U47" s="155"/>
      <c r="V47" s="133"/>
      <c r="W47" s="132"/>
      <c r="X47" s="123"/>
      <c r="Y47" s="123"/>
      <c r="Z47" s="123"/>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3"/>
      <c r="AX47" s="123"/>
      <c r="AY47" s="123"/>
      <c r="AZ47" s="123"/>
      <c r="BA47" s="123"/>
      <c r="BB47" s="123"/>
      <c r="BC47" s="123"/>
      <c r="BD47" s="123"/>
      <c r="BE47" s="123"/>
      <c r="BF47" s="123"/>
      <c r="BG47" s="123"/>
      <c r="BH47" s="123"/>
      <c r="BI47" s="123"/>
      <c r="BJ47" s="123"/>
      <c r="BK47" s="123"/>
      <c r="BL47" s="123"/>
      <c r="BM47" s="123"/>
      <c r="BN47" s="123"/>
      <c r="BO47" s="123"/>
      <c r="BP47" s="123"/>
      <c r="BQ47" s="123"/>
      <c r="BR47" s="123"/>
    </row>
    <row r="48" spans="1:70">
      <c r="A48" s="970"/>
      <c r="B48" s="977"/>
      <c r="C48" s="978" t="s">
        <v>375</v>
      </c>
      <c r="D48" s="978"/>
      <c r="E48" s="978"/>
      <c r="F48" s="978"/>
      <c r="G48" s="978"/>
      <c r="H48" s="966"/>
      <c r="I48" s="150"/>
      <c r="J48" s="978"/>
      <c r="K48" s="115"/>
      <c r="L48" s="978"/>
      <c r="R48" s="154"/>
      <c r="S48" s="129"/>
      <c r="V48" s="144"/>
      <c r="W48" s="133" t="s">
        <v>67</v>
      </c>
      <c r="X48" s="123"/>
      <c r="Y48" s="123"/>
      <c r="Z48" s="123"/>
      <c r="AA48" s="123"/>
      <c r="AB48" s="123"/>
      <c r="AC48" s="123"/>
      <c r="AD48" s="123"/>
      <c r="AE48" s="123"/>
      <c r="AF48" s="123"/>
      <c r="AG48" s="123"/>
      <c r="AH48" s="123"/>
      <c r="AI48" s="123"/>
      <c r="AJ48" s="123"/>
      <c r="AK48" s="123"/>
      <c r="AL48" s="123"/>
      <c r="AM48" s="123"/>
      <c r="AN48" s="123"/>
      <c r="AO48" s="123"/>
      <c r="AP48" s="123"/>
      <c r="AQ48" s="123"/>
      <c r="AR48" s="123"/>
      <c r="AS48" s="123"/>
      <c r="AT48" s="123"/>
      <c r="AU48" s="123"/>
      <c r="AV48" s="123"/>
      <c r="AW48" s="123"/>
      <c r="AX48" s="123"/>
      <c r="AY48" s="123"/>
      <c r="AZ48" s="123"/>
      <c r="BA48" s="123"/>
      <c r="BB48" s="123"/>
      <c r="BC48" s="123"/>
      <c r="BD48" s="123"/>
      <c r="BE48" s="123"/>
      <c r="BF48" s="123"/>
      <c r="BG48" s="123"/>
      <c r="BH48" s="123"/>
      <c r="BI48" s="123"/>
      <c r="BJ48" s="123"/>
      <c r="BK48" s="123"/>
      <c r="BL48" s="123"/>
      <c r="BM48" s="123"/>
      <c r="BN48" s="123"/>
      <c r="BO48" s="123"/>
      <c r="BP48" s="123"/>
      <c r="BQ48" s="123"/>
      <c r="BR48" s="123"/>
    </row>
    <row r="49" spans="1:70">
      <c r="A49" s="973" t="s">
        <v>374</v>
      </c>
      <c r="B49" s="977"/>
      <c r="C49" s="978" t="s">
        <v>13</v>
      </c>
      <c r="D49" s="978"/>
      <c r="E49" s="978"/>
      <c r="F49" s="978"/>
      <c r="G49" s="978"/>
      <c r="H49" s="966" t="s">
        <v>499</v>
      </c>
      <c r="I49" s="150"/>
      <c r="J49" s="175">
        <f>'ATC Attach O ER15-358'!I197</f>
        <v>107444857.7621901</v>
      </c>
      <c r="K49" s="921"/>
      <c r="L49" s="978"/>
      <c r="R49" s="154"/>
      <c r="S49" s="129"/>
      <c r="V49" s="144"/>
      <c r="W49" s="133"/>
      <c r="X49" s="123"/>
      <c r="Y49" s="123"/>
      <c r="Z49" s="123"/>
      <c r="AA49" s="123"/>
      <c r="AB49" s="123"/>
      <c r="AC49" s="123"/>
      <c r="AD49" s="123"/>
      <c r="AE49" s="123"/>
      <c r="AF49" s="123"/>
      <c r="AG49" s="123"/>
      <c r="AH49" s="123"/>
      <c r="AI49" s="123"/>
      <c r="AJ49" s="123"/>
      <c r="AK49" s="123"/>
      <c r="AL49" s="123"/>
      <c r="AM49" s="123"/>
      <c r="AN49" s="123"/>
      <c r="AO49" s="123"/>
      <c r="AP49" s="123"/>
      <c r="AQ49" s="123"/>
      <c r="AR49" s="123"/>
      <c r="AS49" s="123"/>
      <c r="AT49" s="123"/>
      <c r="AU49" s="123"/>
      <c r="AV49" s="123"/>
      <c r="AW49" s="123"/>
      <c r="AX49" s="123"/>
      <c r="AY49" s="123"/>
      <c r="AZ49" s="123"/>
      <c r="BA49" s="123"/>
      <c r="BB49" s="123"/>
      <c r="BC49" s="123"/>
      <c r="BD49" s="123"/>
      <c r="BE49" s="123"/>
      <c r="BF49" s="123"/>
      <c r="BG49" s="123"/>
      <c r="BH49" s="123"/>
      <c r="BI49" s="123"/>
      <c r="BJ49" s="123"/>
      <c r="BK49" s="123"/>
      <c r="BL49" s="123"/>
      <c r="BM49" s="123"/>
      <c r="BN49" s="123"/>
      <c r="BO49" s="123"/>
      <c r="BP49" s="123"/>
      <c r="BQ49" s="123"/>
      <c r="BR49" s="123"/>
    </row>
    <row r="50" spans="1:70">
      <c r="A50" s="973" t="s">
        <v>373</v>
      </c>
      <c r="B50" s="977"/>
      <c r="C50" s="978" t="s">
        <v>372</v>
      </c>
      <c r="D50" s="978"/>
      <c r="E50" s="978"/>
      <c r="F50" s="978"/>
      <c r="G50" s="978"/>
      <c r="H50" s="966" t="s">
        <v>371</v>
      </c>
      <c r="I50" s="150"/>
      <c r="J50" s="982">
        <f>IF(J49=0,0,J49/J20)</f>
        <v>3.0343617061700318E-2</v>
      </c>
      <c r="K50" s="920"/>
      <c r="L50" s="152">
        <f>J50</f>
        <v>3.0343617061700318E-2</v>
      </c>
      <c r="R50" s="154"/>
      <c r="S50" s="129"/>
      <c r="T50" s="133"/>
      <c r="U50" s="133"/>
      <c r="V50" s="144"/>
      <c r="W50" s="133"/>
      <c r="X50" s="123"/>
      <c r="Y50" s="123"/>
      <c r="Z50" s="123"/>
      <c r="AA50" s="123"/>
      <c r="AB50" s="123"/>
      <c r="AC50" s="123"/>
      <c r="AD50" s="123"/>
      <c r="AE50" s="123"/>
      <c r="AF50" s="123"/>
      <c r="AG50" s="123"/>
      <c r="AH50" s="123"/>
      <c r="AI50" s="123"/>
      <c r="AJ50" s="123"/>
      <c r="AK50" s="123"/>
      <c r="AL50" s="123"/>
      <c r="AM50" s="123"/>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3"/>
      <c r="BQ50" s="123"/>
      <c r="BR50" s="123"/>
    </row>
    <row r="51" spans="1:70">
      <c r="A51" s="973"/>
      <c r="B51" s="964"/>
      <c r="C51" s="978"/>
      <c r="D51" s="978"/>
      <c r="E51" s="978"/>
      <c r="F51" s="978"/>
      <c r="G51" s="978"/>
      <c r="H51" s="966"/>
      <c r="I51" s="150"/>
      <c r="J51" s="978"/>
      <c r="K51" s="115"/>
      <c r="L51" s="978"/>
      <c r="R51" s="115"/>
      <c r="T51" s="134"/>
      <c r="U51" s="133"/>
      <c r="V51" s="134"/>
      <c r="W51" s="132"/>
      <c r="X51" s="123"/>
      <c r="Y51" s="123"/>
      <c r="Z51" s="123"/>
      <c r="AA51" s="123"/>
      <c r="AB51" s="123"/>
      <c r="AC51" s="123"/>
      <c r="AD51" s="123"/>
      <c r="AE51" s="123"/>
      <c r="AF51" s="123"/>
      <c r="AG51" s="123"/>
      <c r="AH51" s="123"/>
      <c r="AI51" s="123"/>
      <c r="AJ51" s="123"/>
      <c r="AK51" s="123"/>
      <c r="AL51" s="123"/>
      <c r="AM51" s="123"/>
      <c r="AN51" s="123"/>
      <c r="AO51" s="123"/>
      <c r="AP51" s="123"/>
      <c r="AQ51" s="123"/>
      <c r="AR51" s="123"/>
      <c r="AS51" s="123"/>
      <c r="AT51" s="123"/>
      <c r="AU51" s="123"/>
      <c r="AV51" s="123"/>
      <c r="AW51" s="123"/>
      <c r="AX51" s="123"/>
      <c r="AY51" s="123"/>
      <c r="AZ51" s="123"/>
      <c r="BA51" s="123"/>
      <c r="BB51" s="123"/>
      <c r="BC51" s="123"/>
      <c r="BD51" s="123"/>
      <c r="BE51" s="123"/>
      <c r="BF51" s="123"/>
      <c r="BG51" s="123"/>
      <c r="BH51" s="123"/>
      <c r="BI51" s="123"/>
      <c r="BJ51" s="123"/>
      <c r="BK51" s="123"/>
      <c r="BL51" s="123"/>
      <c r="BM51" s="123"/>
      <c r="BN51" s="123"/>
      <c r="BO51" s="123"/>
      <c r="BP51" s="123"/>
      <c r="BQ51" s="123"/>
      <c r="BR51" s="123"/>
    </row>
    <row r="52" spans="1:70">
      <c r="A52" s="973"/>
      <c r="B52" s="964"/>
      <c r="C52" s="965" t="s">
        <v>189</v>
      </c>
      <c r="D52" s="965"/>
      <c r="E52" s="965"/>
      <c r="F52" s="965"/>
      <c r="G52" s="965"/>
      <c r="H52" s="979"/>
      <c r="I52" s="147"/>
      <c r="J52" s="964"/>
      <c r="L52" s="964"/>
      <c r="R52" s="115"/>
      <c r="T52" s="133"/>
      <c r="U52" s="133"/>
      <c r="V52" s="133"/>
      <c r="W52" s="132"/>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row>
    <row r="53" spans="1:70">
      <c r="A53" s="973" t="s">
        <v>370</v>
      </c>
      <c r="B53" s="964"/>
      <c r="C53" s="965" t="s">
        <v>369</v>
      </c>
      <c r="D53" s="965"/>
      <c r="E53" s="965"/>
      <c r="F53" s="965"/>
      <c r="G53" s="965"/>
      <c r="H53" s="966" t="s">
        <v>498</v>
      </c>
      <c r="I53" s="150"/>
      <c r="J53" s="175">
        <f>'ATC Attach O ER15-358'!I199</f>
        <v>259008067.49765936</v>
      </c>
      <c r="K53" s="921"/>
      <c r="L53" s="978"/>
      <c r="R53" s="115"/>
      <c r="T53" s="133"/>
      <c r="U53" s="133"/>
      <c r="V53" s="133"/>
      <c r="W53" s="132"/>
      <c r="X53" s="123"/>
      <c r="Y53" s="123"/>
      <c r="Z53" s="123"/>
      <c r="AA53" s="123"/>
      <c r="AB53" s="123"/>
      <c r="AC53" s="123"/>
      <c r="AD53" s="123"/>
      <c r="AE53" s="123"/>
      <c r="AF53" s="123"/>
      <c r="AG53" s="123"/>
      <c r="AH53" s="123"/>
      <c r="AI53" s="123"/>
      <c r="AJ53" s="123"/>
      <c r="AK53" s="123"/>
      <c r="AL53" s="123"/>
      <c r="AM53" s="123"/>
      <c r="AN53" s="123"/>
      <c r="AO53" s="123"/>
      <c r="AP53" s="123"/>
      <c r="AQ53" s="123"/>
      <c r="AR53" s="123"/>
      <c r="AS53" s="123"/>
      <c r="AT53" s="123"/>
      <c r="AU53" s="123"/>
      <c r="AV53" s="123"/>
      <c r="AW53" s="123"/>
      <c r="AX53" s="123"/>
      <c r="AY53" s="123"/>
      <c r="AZ53" s="123"/>
      <c r="BA53" s="123"/>
      <c r="BB53" s="123"/>
      <c r="BC53" s="123"/>
      <c r="BD53" s="123"/>
      <c r="BE53" s="123"/>
      <c r="BF53" s="123"/>
      <c r="BG53" s="123"/>
      <c r="BH53" s="123"/>
      <c r="BI53" s="123"/>
      <c r="BJ53" s="123"/>
      <c r="BK53" s="123"/>
      <c r="BL53" s="123"/>
      <c r="BM53" s="123"/>
      <c r="BN53" s="123"/>
      <c r="BO53" s="123"/>
      <c r="BP53" s="123"/>
      <c r="BQ53" s="123"/>
      <c r="BR53" s="123"/>
    </row>
    <row r="54" spans="1:70">
      <c r="A54" s="973" t="s">
        <v>368</v>
      </c>
      <c r="B54" s="977"/>
      <c r="C54" s="978" t="s">
        <v>367</v>
      </c>
      <c r="D54" s="978"/>
      <c r="E54" s="978"/>
      <c r="F54" s="978"/>
      <c r="G54" s="978"/>
      <c r="H54" s="966" t="s">
        <v>366</v>
      </c>
      <c r="I54" s="150"/>
      <c r="J54" s="569">
        <f>IF(J53=0,0,J53/J20)</f>
        <v>7.3146745034881278E-2</v>
      </c>
      <c r="K54" s="920"/>
      <c r="L54" s="152">
        <f>J54</f>
        <v>7.3146745034881278E-2</v>
      </c>
      <c r="R54" s="115"/>
      <c r="U54" s="151"/>
      <c r="V54" s="144"/>
      <c r="W54" s="133"/>
      <c r="X54" s="123"/>
      <c r="Y54" s="123"/>
      <c r="Z54" s="123"/>
      <c r="AA54" s="123"/>
      <c r="AB54" s="123"/>
      <c r="AC54" s="123"/>
      <c r="AD54" s="123"/>
      <c r="AE54" s="123"/>
      <c r="AF54" s="123"/>
      <c r="AG54" s="123"/>
      <c r="AH54" s="123"/>
      <c r="AI54" s="123"/>
      <c r="AJ54" s="123"/>
      <c r="AK54" s="123"/>
      <c r="AL54" s="123"/>
      <c r="AM54" s="123"/>
      <c r="AN54" s="123"/>
      <c r="AO54" s="123"/>
      <c r="AP54" s="123"/>
      <c r="AQ54" s="123"/>
      <c r="AR54" s="123"/>
      <c r="AS54" s="123"/>
      <c r="AT54" s="123"/>
      <c r="AU54" s="123"/>
      <c r="AV54" s="123"/>
      <c r="AW54" s="123"/>
      <c r="AX54" s="123"/>
      <c r="AY54" s="123"/>
      <c r="AZ54" s="123"/>
      <c r="BA54" s="123"/>
      <c r="BB54" s="123"/>
      <c r="BC54" s="123"/>
      <c r="BD54" s="123"/>
      <c r="BE54" s="123"/>
      <c r="BF54" s="123"/>
      <c r="BG54" s="123"/>
      <c r="BH54" s="123"/>
      <c r="BI54" s="123"/>
      <c r="BJ54" s="123"/>
      <c r="BK54" s="123"/>
      <c r="BL54" s="123"/>
      <c r="BM54" s="123"/>
      <c r="BN54" s="123"/>
      <c r="BO54" s="123"/>
      <c r="BP54" s="123"/>
      <c r="BQ54" s="123"/>
      <c r="BR54" s="123"/>
    </row>
    <row r="55" spans="1:70">
      <c r="A55" s="973"/>
      <c r="B55" s="964"/>
      <c r="C55" s="965"/>
      <c r="D55" s="965"/>
      <c r="E55" s="965"/>
      <c r="F55" s="965"/>
      <c r="G55" s="965"/>
      <c r="H55" s="966"/>
      <c r="I55" s="150"/>
      <c r="J55" s="115"/>
      <c r="K55" s="115"/>
      <c r="L55" s="978"/>
      <c r="R55" s="115"/>
      <c r="S55" s="147"/>
      <c r="T55" s="133"/>
      <c r="U55" s="133"/>
      <c r="V55" s="133"/>
      <c r="W55" s="132"/>
      <c r="X55" s="123"/>
      <c r="Y55" s="123"/>
      <c r="Z55" s="123"/>
      <c r="AA55" s="123"/>
      <c r="AB55" s="123"/>
      <c r="AC55" s="123"/>
      <c r="AD55" s="123"/>
      <c r="AE55" s="123"/>
      <c r="AF55" s="123"/>
      <c r="AG55" s="123"/>
      <c r="AH55" s="123"/>
      <c r="AI55" s="123"/>
      <c r="AJ55" s="123"/>
      <c r="AK55" s="123"/>
      <c r="AL55" s="123"/>
      <c r="AM55" s="123"/>
      <c r="AN55" s="123"/>
      <c r="AO55" s="123"/>
      <c r="AP55" s="123"/>
      <c r="AQ55" s="123"/>
      <c r="AR55" s="123"/>
      <c r="AS55" s="123"/>
      <c r="AT55" s="123"/>
      <c r="AU55" s="123"/>
      <c r="AV55" s="123"/>
      <c r="AW55" s="123"/>
      <c r="AX55" s="123"/>
      <c r="AY55" s="123"/>
      <c r="AZ55" s="123"/>
      <c r="BA55" s="123"/>
      <c r="BB55" s="123"/>
      <c r="BC55" s="123"/>
      <c r="BD55" s="123"/>
      <c r="BE55" s="123"/>
      <c r="BF55" s="123"/>
      <c r="BG55" s="123"/>
      <c r="BH55" s="123"/>
      <c r="BI55" s="123"/>
      <c r="BJ55" s="123"/>
      <c r="BK55" s="123"/>
      <c r="BL55" s="123"/>
      <c r="BM55" s="123"/>
      <c r="BN55" s="123"/>
      <c r="BO55" s="123"/>
      <c r="BP55" s="123"/>
      <c r="BQ55" s="123"/>
      <c r="BR55" s="123"/>
    </row>
    <row r="56" spans="1:70" ht="15.6">
      <c r="A56" s="974" t="s">
        <v>365</v>
      </c>
      <c r="B56" s="975"/>
      <c r="C56" s="969" t="s">
        <v>9</v>
      </c>
      <c r="D56" s="969"/>
      <c r="E56" s="969"/>
      <c r="F56" s="969"/>
      <c r="G56" s="969"/>
      <c r="H56" s="976" t="s">
        <v>364</v>
      </c>
      <c r="I56" s="149"/>
      <c r="J56" s="148"/>
      <c r="K56" s="920"/>
      <c r="L56" s="586">
        <f>L50+L54</f>
        <v>0.10349036209658159</v>
      </c>
      <c r="R56" s="115"/>
      <c r="S56" s="147"/>
      <c r="T56" s="133"/>
      <c r="U56" s="133"/>
      <c r="V56" s="133"/>
      <c r="W56" s="132"/>
      <c r="X56" s="123"/>
      <c r="Y56" s="123"/>
      <c r="Z56" s="123"/>
      <c r="AA56" s="123"/>
      <c r="AB56" s="123"/>
      <c r="AC56" s="123"/>
      <c r="AD56" s="123"/>
      <c r="AE56" s="123"/>
      <c r="AF56" s="123"/>
      <c r="AG56" s="123"/>
      <c r="AH56" s="123"/>
      <c r="AI56" s="123"/>
      <c r="AJ56" s="123"/>
      <c r="AK56" s="123"/>
      <c r="AL56" s="123"/>
      <c r="AM56" s="123"/>
      <c r="AN56" s="123"/>
      <c r="AO56" s="123"/>
      <c r="AP56" s="123"/>
      <c r="AQ56" s="123"/>
      <c r="AR56" s="123"/>
      <c r="AS56" s="123"/>
      <c r="AT56" s="123"/>
      <c r="AU56" s="123"/>
      <c r="AV56" s="123"/>
      <c r="AW56" s="123"/>
      <c r="AX56" s="123"/>
      <c r="AY56" s="123"/>
      <c r="AZ56" s="123"/>
      <c r="BA56" s="123"/>
      <c r="BB56" s="123"/>
      <c r="BC56" s="123"/>
      <c r="BD56" s="123"/>
      <c r="BE56" s="123"/>
      <c r="BF56" s="123"/>
      <c r="BG56" s="123"/>
      <c r="BH56" s="123"/>
      <c r="BI56" s="123"/>
      <c r="BJ56" s="123"/>
      <c r="BK56" s="123"/>
      <c r="BL56" s="123"/>
      <c r="BM56" s="123"/>
      <c r="BN56" s="123"/>
      <c r="BO56" s="123"/>
      <c r="BP56" s="123"/>
      <c r="BQ56" s="123"/>
      <c r="BR56" s="123"/>
    </row>
    <row r="57" spans="1:70">
      <c r="A57" s="123"/>
      <c r="B57" s="123"/>
      <c r="C57" s="123"/>
      <c r="D57" s="123"/>
      <c r="E57" s="123"/>
      <c r="F57" s="123"/>
      <c r="G57" s="123"/>
      <c r="H57" s="123"/>
      <c r="I57" s="123"/>
      <c r="R57" s="146"/>
      <c r="S57" s="146"/>
      <c r="T57" s="133"/>
      <c r="U57" s="133"/>
      <c r="V57" s="133"/>
      <c r="W57" s="132"/>
      <c r="X57" s="123"/>
      <c r="Y57" s="123"/>
      <c r="Z57" s="123"/>
      <c r="AA57" s="123"/>
      <c r="AB57" s="123"/>
      <c r="AC57" s="123"/>
      <c r="AD57" s="123"/>
      <c r="AE57" s="123"/>
      <c r="AF57" s="123"/>
      <c r="AG57" s="123"/>
      <c r="AH57" s="123"/>
      <c r="AI57" s="123"/>
      <c r="AJ57" s="123"/>
      <c r="AK57" s="123"/>
      <c r="AL57" s="123"/>
      <c r="AM57" s="123"/>
      <c r="AN57" s="123"/>
      <c r="AO57" s="123"/>
      <c r="AP57" s="123"/>
      <c r="AQ57" s="123"/>
      <c r="AR57" s="123"/>
      <c r="AS57" s="123"/>
      <c r="AT57" s="123"/>
      <c r="AU57" s="123"/>
      <c r="AV57" s="123"/>
      <c r="AW57" s="123"/>
      <c r="AX57" s="123"/>
      <c r="AY57" s="123"/>
      <c r="AZ57" s="123"/>
      <c r="BA57" s="123"/>
      <c r="BB57" s="123"/>
      <c r="BC57" s="123"/>
      <c r="BD57" s="123"/>
      <c r="BE57" s="123"/>
      <c r="BF57" s="123"/>
      <c r="BG57" s="123"/>
      <c r="BH57" s="123"/>
      <c r="BI57" s="123"/>
      <c r="BJ57" s="123"/>
      <c r="BK57" s="123"/>
      <c r="BL57" s="123"/>
      <c r="BM57" s="123"/>
      <c r="BN57" s="123"/>
      <c r="BO57" s="123"/>
      <c r="BP57" s="123"/>
      <c r="BQ57" s="123"/>
      <c r="BR57" s="123"/>
    </row>
    <row r="58" spans="1:70">
      <c r="A58" s="315"/>
      <c r="B58" s="123"/>
      <c r="C58" s="116"/>
      <c r="D58" s="116"/>
      <c r="E58" s="116"/>
      <c r="F58" s="116"/>
      <c r="G58" s="116"/>
      <c r="H58" s="116"/>
      <c r="I58" s="116"/>
      <c r="J58" s="115"/>
      <c r="K58" s="115"/>
      <c r="L58" s="116"/>
      <c r="M58" s="116"/>
      <c r="N58" s="116"/>
      <c r="O58" s="116"/>
      <c r="P58" s="116"/>
      <c r="R58" s="115"/>
      <c r="S58" s="115"/>
      <c r="T58" s="133"/>
      <c r="U58" s="133"/>
      <c r="V58" s="144"/>
      <c r="W58" s="133" t="s">
        <v>67</v>
      </c>
      <c r="X58" s="123"/>
      <c r="Y58" s="123"/>
      <c r="Z58" s="123"/>
      <c r="AA58" s="123"/>
      <c r="AB58" s="123"/>
      <c r="AC58" s="123"/>
      <c r="AD58" s="123"/>
      <c r="AE58" s="123"/>
      <c r="AF58" s="123"/>
      <c r="AG58" s="123"/>
      <c r="AH58" s="123"/>
      <c r="AI58" s="123"/>
      <c r="AJ58" s="123"/>
      <c r="AK58" s="123"/>
      <c r="AL58" s="123"/>
      <c r="AM58" s="123"/>
      <c r="AN58" s="123"/>
      <c r="AO58" s="123"/>
      <c r="AP58" s="123"/>
      <c r="AQ58" s="123"/>
      <c r="AR58" s="123"/>
      <c r="AS58" s="123"/>
      <c r="AT58" s="123"/>
      <c r="AU58" s="123"/>
      <c r="AV58" s="123"/>
      <c r="AW58" s="123"/>
      <c r="AX58" s="123"/>
      <c r="AY58" s="123"/>
      <c r="AZ58" s="123"/>
      <c r="BA58" s="123"/>
      <c r="BB58" s="123"/>
      <c r="BC58" s="123"/>
      <c r="BD58" s="123"/>
      <c r="BE58" s="123"/>
      <c r="BF58" s="123"/>
      <c r="BG58" s="123"/>
      <c r="BH58" s="123"/>
      <c r="BI58" s="123"/>
      <c r="BJ58" s="123"/>
      <c r="BK58" s="123"/>
      <c r="BL58" s="123"/>
      <c r="BM58" s="123"/>
      <c r="BN58" s="123"/>
      <c r="BO58" s="123"/>
      <c r="BP58" s="123"/>
      <c r="BQ58" s="123"/>
      <c r="BR58" s="123"/>
    </row>
    <row r="59" spans="1:70">
      <c r="S59" s="143"/>
    </row>
    <row r="60" spans="1:70">
      <c r="S60" s="143"/>
    </row>
    <row r="62" spans="1:70">
      <c r="A62" s="141"/>
      <c r="C62" s="116"/>
      <c r="D62" s="116"/>
      <c r="E62" s="116"/>
      <c r="F62" s="116"/>
      <c r="G62" s="116"/>
      <c r="H62" s="116"/>
      <c r="I62" s="116"/>
      <c r="J62" s="115"/>
      <c r="K62" s="115"/>
      <c r="L62" s="116"/>
      <c r="M62" s="116"/>
      <c r="N62" s="116"/>
      <c r="O62" s="116"/>
      <c r="P62" s="116"/>
      <c r="R62" s="115"/>
      <c r="S62" s="143" t="s">
        <v>491</v>
      </c>
      <c r="T62" s="133"/>
      <c r="U62" s="134"/>
      <c r="V62" s="133"/>
      <c r="W62" s="132"/>
      <c r="X62" s="123"/>
      <c r="Y62" s="123"/>
      <c r="Z62" s="123"/>
      <c r="AA62" s="123"/>
      <c r="AB62" s="123"/>
      <c r="AC62" s="123"/>
      <c r="AD62" s="123"/>
      <c r="AE62" s="123"/>
      <c r="AF62" s="123"/>
      <c r="AG62" s="123"/>
      <c r="AH62" s="123"/>
      <c r="AI62" s="123"/>
      <c r="AJ62" s="123"/>
      <c r="AK62" s="123"/>
      <c r="AL62" s="123"/>
      <c r="AM62" s="123"/>
      <c r="AN62" s="123"/>
      <c r="AO62" s="123"/>
      <c r="AP62" s="123"/>
      <c r="AQ62" s="123"/>
      <c r="AR62" s="123"/>
      <c r="AS62" s="123"/>
      <c r="AT62" s="123"/>
      <c r="AU62" s="123"/>
      <c r="AV62" s="123"/>
      <c r="AW62" s="123"/>
      <c r="AX62" s="123"/>
      <c r="AY62" s="123"/>
      <c r="AZ62" s="123"/>
      <c r="BA62" s="123"/>
      <c r="BB62" s="123"/>
      <c r="BC62" s="123"/>
      <c r="BD62" s="123"/>
      <c r="BE62" s="123"/>
      <c r="BF62" s="123"/>
      <c r="BG62" s="123"/>
      <c r="BH62" s="123"/>
      <c r="BI62" s="123"/>
      <c r="BJ62" s="123"/>
      <c r="BK62" s="123"/>
      <c r="BL62" s="123"/>
      <c r="BM62" s="123"/>
      <c r="BN62" s="123"/>
      <c r="BO62" s="123"/>
      <c r="BP62" s="123"/>
      <c r="BQ62" s="123"/>
      <c r="BR62" s="123"/>
    </row>
    <row r="63" spans="1:70">
      <c r="A63" s="141"/>
      <c r="C63" s="965" t="str">
        <f>C5</f>
        <v>Formula Rate calculation</v>
      </c>
      <c r="D63" s="965"/>
      <c r="E63" s="965"/>
      <c r="F63" s="965"/>
      <c r="G63" s="965"/>
      <c r="H63" s="984"/>
      <c r="I63" s="984"/>
      <c r="J63" s="984" t="str">
        <f>J5</f>
        <v xml:space="preserve">     Rate Formula Template</v>
      </c>
      <c r="K63" s="116"/>
      <c r="L63" s="116"/>
      <c r="M63" s="116"/>
      <c r="N63" s="116"/>
      <c r="O63" s="116"/>
      <c r="P63" s="116"/>
      <c r="R63" s="115"/>
      <c r="S63" s="319" t="str">
        <f>S5</f>
        <v>For  the 12 months ended 12/31/2015</v>
      </c>
      <c r="T63" s="133"/>
      <c r="U63" s="134"/>
      <c r="V63" s="133"/>
      <c r="W63" s="132"/>
      <c r="X63" s="123"/>
      <c r="Y63" s="123"/>
      <c r="Z63" s="123"/>
      <c r="AA63" s="123"/>
      <c r="AB63" s="123"/>
      <c r="AC63" s="123"/>
      <c r="AD63" s="123"/>
      <c r="AE63" s="123"/>
      <c r="AF63" s="123"/>
      <c r="AG63" s="123"/>
      <c r="AH63" s="123"/>
      <c r="AI63" s="123"/>
      <c r="AJ63" s="123"/>
      <c r="AK63" s="123"/>
      <c r="AL63" s="123"/>
      <c r="AM63" s="123"/>
      <c r="AN63" s="123"/>
      <c r="AO63" s="123"/>
      <c r="AP63" s="123"/>
      <c r="AQ63" s="123"/>
      <c r="AR63" s="123"/>
      <c r="AS63" s="123"/>
      <c r="AT63" s="123"/>
      <c r="AU63" s="123"/>
      <c r="AV63" s="123"/>
      <c r="AW63" s="123"/>
      <c r="AX63" s="123"/>
      <c r="AY63" s="123"/>
      <c r="AZ63" s="123"/>
      <c r="BA63" s="123"/>
      <c r="BB63" s="123"/>
      <c r="BC63" s="123"/>
      <c r="BD63" s="123"/>
      <c r="BE63" s="123"/>
      <c r="BF63" s="123"/>
      <c r="BG63" s="123"/>
      <c r="BH63" s="123"/>
      <c r="BI63" s="123"/>
      <c r="BJ63" s="123"/>
      <c r="BK63" s="123"/>
      <c r="BL63" s="123"/>
      <c r="BM63" s="123"/>
      <c r="BN63" s="123"/>
      <c r="BO63" s="123"/>
      <c r="BP63" s="123"/>
      <c r="BQ63" s="123"/>
      <c r="BR63" s="123"/>
    </row>
    <row r="64" spans="1:70">
      <c r="A64" s="141"/>
      <c r="C64" s="965"/>
      <c r="D64" s="965"/>
      <c r="E64" s="965"/>
      <c r="F64" s="965"/>
      <c r="G64" s="965"/>
      <c r="H64" s="984"/>
      <c r="I64" s="984"/>
      <c r="J64" s="984" t="s">
        <v>497</v>
      </c>
      <c r="K64" s="116"/>
      <c r="L64" s="116"/>
      <c r="M64" s="116"/>
      <c r="N64" s="116"/>
      <c r="O64" s="116"/>
      <c r="P64" s="116"/>
      <c r="Q64" s="115"/>
      <c r="R64" s="115"/>
      <c r="T64" s="133"/>
      <c r="U64" s="134"/>
      <c r="V64" s="133"/>
      <c r="W64" s="132"/>
      <c r="X64" s="123"/>
      <c r="Y64" s="123"/>
      <c r="Z64" s="123"/>
      <c r="AA64" s="123"/>
      <c r="AB64" s="123"/>
      <c r="AC64" s="123"/>
      <c r="AD64" s="123"/>
      <c r="AE64" s="123"/>
      <c r="AF64" s="123"/>
      <c r="AG64" s="123"/>
      <c r="AH64" s="123"/>
      <c r="AI64" s="123"/>
      <c r="AJ64" s="123"/>
      <c r="AK64" s="123"/>
      <c r="AL64" s="123"/>
      <c r="AM64" s="123"/>
      <c r="AN64" s="123"/>
      <c r="AO64" s="123"/>
      <c r="AP64" s="123"/>
      <c r="AQ64" s="123"/>
      <c r="AR64" s="123"/>
      <c r="AS64" s="123"/>
      <c r="AT64" s="123"/>
      <c r="AU64" s="123"/>
      <c r="AV64" s="123"/>
      <c r="AW64" s="123"/>
      <c r="AX64" s="123"/>
      <c r="AY64" s="123"/>
      <c r="AZ64" s="123"/>
      <c r="BA64" s="123"/>
      <c r="BB64" s="123"/>
      <c r="BC64" s="123"/>
      <c r="BD64" s="123"/>
      <c r="BE64" s="123"/>
      <c r="BF64" s="123"/>
      <c r="BG64" s="123"/>
      <c r="BH64" s="123"/>
      <c r="BI64" s="123"/>
      <c r="BJ64" s="123"/>
      <c r="BK64" s="123"/>
      <c r="BL64" s="123"/>
      <c r="BM64" s="123"/>
      <c r="BN64" s="123"/>
      <c r="BO64" s="123"/>
      <c r="BP64" s="123"/>
      <c r="BQ64" s="123"/>
      <c r="BR64" s="123"/>
    </row>
    <row r="65" spans="1:70" ht="14.25" customHeight="1">
      <c r="A65" s="141"/>
      <c r="C65" s="984"/>
      <c r="D65" s="984"/>
      <c r="E65" s="984"/>
      <c r="F65" s="984"/>
      <c r="G65" s="984"/>
      <c r="H65" s="984"/>
      <c r="I65" s="984"/>
      <c r="J65" s="984"/>
      <c r="K65" s="116"/>
      <c r="L65" s="116"/>
      <c r="M65" s="116"/>
      <c r="N65" s="116"/>
      <c r="O65" s="116"/>
      <c r="P65" s="116"/>
      <c r="R65" s="115"/>
      <c r="S65" s="116" t="s">
        <v>363</v>
      </c>
      <c r="T65" s="133"/>
      <c r="U65" s="134"/>
      <c r="V65" s="133"/>
      <c r="W65" s="132"/>
      <c r="X65" s="123"/>
      <c r="Y65" s="123"/>
      <c r="Z65" s="123"/>
      <c r="AA65" s="123"/>
      <c r="AB65" s="123"/>
      <c r="AC65" s="123"/>
      <c r="AD65" s="123"/>
      <c r="AE65" s="123"/>
      <c r="AF65" s="123"/>
      <c r="AG65" s="123"/>
      <c r="AH65" s="123"/>
      <c r="AI65" s="123"/>
      <c r="AJ65" s="123"/>
      <c r="AK65" s="123"/>
      <c r="AL65" s="123"/>
      <c r="AM65" s="123"/>
      <c r="AN65" s="123"/>
      <c r="AO65" s="123"/>
      <c r="AP65" s="123"/>
      <c r="AQ65" s="123"/>
      <c r="AR65" s="123"/>
      <c r="AS65" s="123"/>
      <c r="AT65" s="123"/>
      <c r="AU65" s="123"/>
      <c r="AV65" s="123"/>
      <c r="AW65" s="123"/>
      <c r="AX65" s="123"/>
      <c r="AY65" s="123"/>
      <c r="AZ65" s="123"/>
      <c r="BA65" s="123"/>
      <c r="BB65" s="123"/>
      <c r="BC65" s="123"/>
      <c r="BD65" s="123"/>
      <c r="BE65" s="123"/>
      <c r="BF65" s="123"/>
      <c r="BG65" s="123"/>
      <c r="BH65" s="123"/>
      <c r="BI65" s="123"/>
      <c r="BJ65" s="123"/>
      <c r="BK65" s="123"/>
      <c r="BL65" s="123"/>
      <c r="BM65" s="123"/>
      <c r="BN65" s="123"/>
      <c r="BO65" s="123"/>
      <c r="BP65" s="123"/>
      <c r="BQ65" s="123"/>
      <c r="BR65" s="123"/>
    </row>
    <row r="66" spans="1:70">
      <c r="A66" s="141"/>
      <c r="C66" s="964"/>
      <c r="D66" s="964"/>
      <c r="E66" s="964"/>
      <c r="F66" s="964"/>
      <c r="G66" s="964"/>
      <c r="H66" s="984"/>
      <c r="I66" s="984"/>
      <c r="J66" s="984" t="str">
        <f>J8</f>
        <v>American Transmission Company LLC</v>
      </c>
      <c r="K66" s="116"/>
      <c r="L66" s="116"/>
      <c r="M66" s="116"/>
      <c r="N66" s="116"/>
      <c r="O66" s="116"/>
      <c r="P66" s="116"/>
      <c r="Q66" s="116"/>
      <c r="R66" s="115"/>
      <c r="S66" s="115"/>
      <c r="T66" s="133"/>
      <c r="U66" s="134"/>
      <c r="V66" s="133"/>
      <c r="W66" s="132"/>
      <c r="X66" s="123"/>
      <c r="Y66" s="123"/>
      <c r="Z66" s="123"/>
      <c r="AA66" s="123"/>
      <c r="AB66" s="123"/>
      <c r="AC66" s="123"/>
      <c r="AD66" s="123"/>
      <c r="AE66" s="123"/>
      <c r="AF66" s="123"/>
      <c r="AG66" s="123"/>
      <c r="AH66" s="123"/>
      <c r="AI66" s="123"/>
      <c r="AJ66" s="123"/>
      <c r="AK66" s="123"/>
      <c r="AL66" s="123"/>
      <c r="AM66" s="123"/>
      <c r="AN66" s="123"/>
      <c r="AO66" s="123"/>
      <c r="AP66" s="123"/>
      <c r="AQ66" s="123"/>
      <c r="AR66" s="123"/>
      <c r="AS66" s="123"/>
      <c r="AT66" s="123"/>
      <c r="AU66" s="123"/>
      <c r="AV66" s="123"/>
      <c r="AW66" s="123"/>
      <c r="AX66" s="123"/>
      <c r="AY66" s="123"/>
      <c r="AZ66" s="123"/>
      <c r="BA66" s="123"/>
      <c r="BB66" s="123"/>
      <c r="BC66" s="123"/>
      <c r="BD66" s="123"/>
      <c r="BE66" s="123"/>
      <c r="BF66" s="123"/>
      <c r="BG66" s="123"/>
      <c r="BH66" s="123"/>
      <c r="BI66" s="123"/>
      <c r="BJ66" s="123"/>
      <c r="BK66" s="123"/>
      <c r="BL66" s="123"/>
      <c r="BM66" s="123"/>
      <c r="BN66" s="123"/>
      <c r="BO66" s="123"/>
      <c r="BP66" s="123"/>
      <c r="BQ66" s="123"/>
      <c r="BR66" s="123"/>
    </row>
    <row r="67" spans="1:70">
      <c r="A67" s="141"/>
      <c r="C67" s="964"/>
      <c r="D67" s="964"/>
      <c r="E67" s="964"/>
      <c r="F67" s="964"/>
      <c r="G67" s="964"/>
      <c r="H67" s="965"/>
      <c r="I67" s="965"/>
      <c r="J67" s="965"/>
      <c r="K67" s="128"/>
      <c r="L67" s="128"/>
      <c r="M67" s="128"/>
      <c r="N67" s="128"/>
      <c r="O67" s="128"/>
      <c r="P67" s="128"/>
      <c r="Q67" s="128"/>
      <c r="R67" s="128"/>
      <c r="S67" s="128"/>
      <c r="T67" s="133"/>
      <c r="U67" s="134"/>
      <c r="V67" s="133"/>
      <c r="W67" s="132"/>
      <c r="X67" s="123"/>
      <c r="Y67" s="123"/>
      <c r="Z67" s="123"/>
      <c r="AA67" s="123"/>
      <c r="AB67" s="123"/>
      <c r="AC67" s="123"/>
      <c r="AD67" s="123"/>
      <c r="AE67" s="123"/>
      <c r="AF67" s="123"/>
      <c r="AG67" s="123"/>
      <c r="AH67" s="123"/>
      <c r="AI67" s="123"/>
      <c r="AJ67" s="123"/>
      <c r="AK67" s="123"/>
      <c r="AL67" s="123"/>
      <c r="AM67" s="123"/>
      <c r="AN67" s="123"/>
      <c r="AO67" s="123"/>
      <c r="AP67" s="123"/>
      <c r="AQ67" s="123"/>
      <c r="AR67" s="123"/>
      <c r="AS67" s="123"/>
      <c r="AT67" s="123"/>
      <c r="AU67" s="123"/>
      <c r="AV67" s="123"/>
      <c r="AW67" s="123"/>
      <c r="AX67" s="123"/>
      <c r="AY67" s="123"/>
      <c r="AZ67" s="123"/>
      <c r="BA67" s="123"/>
      <c r="BB67" s="123"/>
      <c r="BC67" s="123"/>
      <c r="BD67" s="123"/>
      <c r="BE67" s="123"/>
      <c r="BF67" s="123"/>
      <c r="BG67" s="123"/>
      <c r="BH67" s="123"/>
      <c r="BI67" s="123"/>
      <c r="BJ67" s="123"/>
      <c r="BK67" s="123"/>
      <c r="BL67" s="123"/>
      <c r="BM67" s="123"/>
      <c r="BN67" s="123"/>
      <c r="BO67" s="123"/>
      <c r="BP67" s="123"/>
      <c r="BQ67" s="123"/>
      <c r="BR67" s="123"/>
    </row>
    <row r="68" spans="1:70" ht="15.6">
      <c r="A68" s="141"/>
      <c r="C68" s="984"/>
      <c r="D68" s="984"/>
      <c r="E68" s="984"/>
      <c r="F68" s="984"/>
      <c r="G68" s="984"/>
      <c r="H68" s="964"/>
      <c r="I68" s="985" t="s">
        <v>401</v>
      </c>
      <c r="J68" s="964"/>
      <c r="L68" s="137"/>
      <c r="M68" s="137"/>
      <c r="N68" s="137"/>
      <c r="O68" s="137"/>
      <c r="P68" s="137"/>
      <c r="Q68" s="137"/>
      <c r="R68" s="115"/>
      <c r="S68" s="115"/>
      <c r="T68" s="133"/>
      <c r="U68" s="134"/>
      <c r="V68" s="133"/>
      <c r="W68" s="132"/>
      <c r="X68" s="123"/>
      <c r="Y68" s="123"/>
      <c r="Z68" s="123"/>
      <c r="AA68" s="123"/>
      <c r="AB68" s="123"/>
      <c r="AC68" s="123"/>
      <c r="AD68" s="123"/>
      <c r="AE68" s="123"/>
      <c r="AF68" s="123"/>
      <c r="AG68" s="123"/>
      <c r="AH68" s="123"/>
      <c r="AI68" s="123"/>
      <c r="AJ68" s="123"/>
      <c r="AK68" s="123"/>
      <c r="AL68" s="123"/>
      <c r="AM68" s="123"/>
      <c r="AN68" s="123"/>
      <c r="AO68" s="123"/>
      <c r="AP68" s="123"/>
      <c r="AQ68" s="123"/>
      <c r="AR68" s="123"/>
      <c r="AS68" s="123"/>
      <c r="AT68" s="123"/>
      <c r="AU68" s="123"/>
      <c r="AV68" s="123"/>
      <c r="AW68" s="123"/>
      <c r="AX68" s="123"/>
      <c r="AY68" s="123"/>
      <c r="AZ68" s="123"/>
      <c r="BA68" s="123"/>
      <c r="BB68" s="123"/>
      <c r="BC68" s="123"/>
      <c r="BD68" s="123"/>
      <c r="BE68" s="123"/>
      <c r="BF68" s="123"/>
      <c r="BG68" s="123"/>
      <c r="BH68" s="123"/>
      <c r="BI68" s="123"/>
      <c r="BJ68" s="123"/>
      <c r="BK68" s="123"/>
      <c r="BL68" s="123"/>
      <c r="BM68" s="123"/>
      <c r="BN68" s="123"/>
      <c r="BO68" s="123"/>
      <c r="BP68" s="123"/>
      <c r="BQ68" s="123"/>
      <c r="BR68" s="123"/>
    </row>
    <row r="69" spans="1:70" ht="15.6">
      <c r="A69" s="141"/>
      <c r="C69" s="116"/>
      <c r="D69" s="116"/>
      <c r="E69" s="116"/>
      <c r="F69" s="116"/>
      <c r="G69" s="116"/>
      <c r="H69" s="142"/>
      <c r="I69" s="142"/>
      <c r="L69" s="137"/>
      <c r="M69" s="137"/>
      <c r="N69" s="137"/>
      <c r="O69" s="137"/>
      <c r="P69" s="137"/>
      <c r="Q69" s="137"/>
      <c r="R69" s="115"/>
      <c r="S69" s="115"/>
      <c r="T69" s="133"/>
      <c r="U69" s="134"/>
      <c r="V69" s="133"/>
      <c r="W69" s="132"/>
      <c r="X69" s="123"/>
      <c r="Y69" s="123"/>
      <c r="Z69" s="123"/>
      <c r="AA69" s="123"/>
      <c r="AB69" s="123"/>
      <c r="AC69" s="123"/>
      <c r="AD69" s="123"/>
      <c r="AE69" s="123"/>
      <c r="AF69" s="123"/>
      <c r="AG69" s="123"/>
      <c r="AH69" s="123"/>
      <c r="AI69" s="123"/>
      <c r="AJ69" s="123"/>
      <c r="AK69" s="123"/>
      <c r="AL69" s="123"/>
      <c r="AM69" s="123"/>
      <c r="AN69" s="123"/>
      <c r="AO69" s="123"/>
      <c r="AP69" s="123"/>
      <c r="AQ69" s="123"/>
      <c r="AR69" s="123"/>
      <c r="AS69" s="123"/>
      <c r="AT69" s="123"/>
      <c r="AU69" s="123"/>
      <c r="AV69" s="123"/>
      <c r="AW69" s="123"/>
      <c r="AX69" s="123"/>
      <c r="AY69" s="123"/>
      <c r="AZ69" s="123"/>
      <c r="BA69" s="123"/>
      <c r="BB69" s="123"/>
      <c r="BC69" s="123"/>
      <c r="BD69" s="123"/>
      <c r="BE69" s="123"/>
      <c r="BF69" s="123"/>
      <c r="BG69" s="123"/>
      <c r="BH69" s="123"/>
      <c r="BI69" s="123"/>
      <c r="BJ69" s="123"/>
      <c r="BK69" s="123"/>
      <c r="BL69" s="123"/>
      <c r="BM69" s="123"/>
      <c r="BN69" s="123"/>
      <c r="BO69" s="123"/>
      <c r="BP69" s="123"/>
      <c r="BQ69" s="123"/>
      <c r="BR69" s="123"/>
    </row>
    <row r="70" spans="1:70" ht="15.6">
      <c r="A70" s="174"/>
      <c r="C70" s="173" t="s">
        <v>245</v>
      </c>
      <c r="D70" s="173" t="s">
        <v>244</v>
      </c>
      <c r="E70" s="173" t="s">
        <v>243</v>
      </c>
      <c r="F70" s="173" t="s">
        <v>242</v>
      </c>
      <c r="G70" s="173" t="s">
        <v>241</v>
      </c>
      <c r="H70" s="173" t="s">
        <v>429</v>
      </c>
      <c r="I70" s="173" t="s">
        <v>428</v>
      </c>
      <c r="J70" s="173" t="s">
        <v>427</v>
      </c>
      <c r="K70" s="173" t="s">
        <v>426</v>
      </c>
      <c r="L70" s="173" t="s">
        <v>425</v>
      </c>
      <c r="M70" s="173" t="s">
        <v>424</v>
      </c>
      <c r="N70" s="173" t="s">
        <v>423</v>
      </c>
      <c r="O70" s="173" t="s">
        <v>422</v>
      </c>
      <c r="P70" s="173" t="s">
        <v>490</v>
      </c>
      <c r="Q70" s="173" t="s">
        <v>421</v>
      </c>
      <c r="R70" s="173" t="s">
        <v>420</v>
      </c>
      <c r="S70" s="173" t="s">
        <v>419</v>
      </c>
      <c r="T70" s="133"/>
      <c r="U70" s="134"/>
      <c r="V70" s="133"/>
      <c r="W70" s="132"/>
      <c r="X70" s="123"/>
      <c r="Y70" s="123"/>
      <c r="Z70" s="123"/>
      <c r="AA70" s="123"/>
      <c r="AB70" s="123"/>
      <c r="AC70" s="123"/>
      <c r="AD70" s="123"/>
      <c r="AE70" s="123"/>
      <c r="AF70" s="123"/>
      <c r="AG70" s="123"/>
      <c r="AH70" s="123"/>
      <c r="AI70" s="123"/>
      <c r="AJ70" s="123"/>
      <c r="AK70" s="123"/>
      <c r="AL70" s="123"/>
      <c r="AM70" s="123"/>
      <c r="AN70" s="123"/>
      <c r="AO70" s="123"/>
      <c r="AP70" s="123"/>
      <c r="AQ70" s="123"/>
      <c r="AR70" s="123"/>
      <c r="AS70" s="123"/>
      <c r="AT70" s="123"/>
      <c r="AU70" s="123"/>
      <c r="AV70" s="123"/>
      <c r="AW70" s="123"/>
      <c r="AX70" s="123"/>
      <c r="AY70" s="123"/>
      <c r="AZ70" s="123"/>
      <c r="BA70" s="123"/>
      <c r="BB70" s="123"/>
      <c r="BC70" s="123"/>
      <c r="BD70" s="123"/>
      <c r="BE70" s="123"/>
      <c r="BF70" s="123"/>
      <c r="BG70" s="123"/>
      <c r="BH70" s="123"/>
      <c r="BI70" s="123"/>
      <c r="BJ70" s="123"/>
      <c r="BK70" s="123"/>
      <c r="BL70" s="123"/>
      <c r="BM70" s="123"/>
      <c r="BN70" s="123"/>
      <c r="BO70" s="123"/>
      <c r="BP70" s="123"/>
      <c r="BQ70" s="123"/>
      <c r="BR70" s="123"/>
    </row>
    <row r="71" spans="1:70" s="964" customFormat="1" ht="85.5" customHeight="1">
      <c r="A71" s="986" t="s">
        <v>361</v>
      </c>
      <c r="B71" s="987"/>
      <c r="C71" s="988" t="s">
        <v>360</v>
      </c>
      <c r="D71" s="988" t="s">
        <v>359</v>
      </c>
      <c r="E71" s="988" t="s">
        <v>418</v>
      </c>
      <c r="F71" s="988" t="s">
        <v>417</v>
      </c>
      <c r="G71" s="988" t="s">
        <v>416</v>
      </c>
      <c r="H71" s="989" t="s">
        <v>415</v>
      </c>
      <c r="I71" s="989" t="s">
        <v>414</v>
      </c>
      <c r="J71" s="990" t="s">
        <v>413</v>
      </c>
      <c r="K71" s="991" t="s">
        <v>357</v>
      </c>
      <c r="L71" s="989" t="s">
        <v>356</v>
      </c>
      <c r="M71" s="989" t="s">
        <v>9</v>
      </c>
      <c r="N71" s="991" t="s">
        <v>355</v>
      </c>
      <c r="O71" s="989" t="s">
        <v>2</v>
      </c>
      <c r="P71" s="989" t="s">
        <v>930</v>
      </c>
      <c r="Q71" s="992" t="s">
        <v>354</v>
      </c>
      <c r="R71" s="993" t="s">
        <v>353</v>
      </c>
      <c r="S71" s="992" t="s">
        <v>400</v>
      </c>
      <c r="T71" s="994"/>
      <c r="U71" s="995"/>
      <c r="V71" s="996"/>
      <c r="W71" s="997"/>
      <c r="X71" s="971"/>
      <c r="Y71" s="971"/>
      <c r="Z71" s="971"/>
      <c r="AA71" s="971"/>
      <c r="AB71" s="971"/>
      <c r="AC71" s="971"/>
      <c r="AD71" s="971"/>
      <c r="AE71" s="971"/>
      <c r="AF71" s="971"/>
      <c r="AG71" s="971"/>
      <c r="AH71" s="971"/>
      <c r="AI71" s="971"/>
      <c r="AJ71" s="971"/>
      <c r="AK71" s="971"/>
      <c r="AL71" s="971"/>
      <c r="AM71" s="971"/>
      <c r="AN71" s="971"/>
      <c r="AO71" s="971"/>
      <c r="AP71" s="971"/>
      <c r="AQ71" s="971"/>
      <c r="AR71" s="971"/>
      <c r="AS71" s="971"/>
      <c r="AT71" s="971"/>
      <c r="AU71" s="971"/>
      <c r="AV71" s="971"/>
      <c r="AW71" s="971"/>
      <c r="AX71" s="971"/>
      <c r="AY71" s="971"/>
      <c r="AZ71" s="971"/>
      <c r="BA71" s="971"/>
      <c r="BB71" s="971"/>
      <c r="BC71" s="971"/>
      <c r="BD71" s="971"/>
      <c r="BE71" s="971"/>
      <c r="BF71" s="971"/>
      <c r="BG71" s="971"/>
      <c r="BH71" s="971"/>
      <c r="BI71" s="971"/>
      <c r="BJ71" s="971"/>
      <c r="BK71" s="971"/>
      <c r="BL71" s="971"/>
      <c r="BM71" s="971"/>
      <c r="BN71" s="971"/>
      <c r="BO71" s="971"/>
      <c r="BP71" s="971"/>
      <c r="BQ71" s="971"/>
      <c r="BR71" s="971"/>
    </row>
    <row r="72" spans="1:70" s="964" customFormat="1" ht="46.5" customHeight="1">
      <c r="A72" s="998"/>
      <c r="B72" s="999"/>
      <c r="C72" s="999"/>
      <c r="D72" s="999"/>
      <c r="E72" s="1000" t="s">
        <v>318</v>
      </c>
      <c r="F72" s="999"/>
      <c r="G72" s="999" t="s">
        <v>412</v>
      </c>
      <c r="H72" s="1000" t="s">
        <v>411</v>
      </c>
      <c r="I72" s="1001" t="s">
        <v>410</v>
      </c>
      <c r="J72" s="1000" t="s">
        <v>409</v>
      </c>
      <c r="K72" s="1002" t="s">
        <v>408</v>
      </c>
      <c r="L72" s="1000" t="s">
        <v>407</v>
      </c>
      <c r="M72" s="1001" t="s">
        <v>349</v>
      </c>
      <c r="N72" s="1003" t="s">
        <v>406</v>
      </c>
      <c r="O72" s="1001" t="s">
        <v>294</v>
      </c>
      <c r="P72" s="1001" t="s">
        <v>488</v>
      </c>
      <c r="Q72" s="1004" t="s">
        <v>512</v>
      </c>
      <c r="R72" s="1005" t="s">
        <v>347</v>
      </c>
      <c r="S72" s="1006" t="s">
        <v>405</v>
      </c>
      <c r="T72" s="996"/>
      <c r="U72" s="995"/>
      <c r="V72" s="996"/>
      <c r="W72" s="997"/>
      <c r="X72" s="971"/>
      <c r="Y72" s="971"/>
      <c r="Z72" s="971"/>
      <c r="AA72" s="971"/>
      <c r="AB72" s="971"/>
      <c r="AC72" s="971"/>
      <c r="AD72" s="971"/>
      <c r="AE72" s="971"/>
      <c r="AF72" s="971"/>
      <c r="AG72" s="971"/>
      <c r="AH72" s="971"/>
      <c r="AI72" s="971"/>
      <c r="AJ72" s="971"/>
      <c r="AK72" s="971"/>
      <c r="AL72" s="971"/>
      <c r="AM72" s="971"/>
      <c r="AN72" s="971"/>
      <c r="AO72" s="971"/>
      <c r="AP72" s="971"/>
      <c r="AQ72" s="971"/>
      <c r="AR72" s="971"/>
      <c r="AS72" s="971"/>
      <c r="AT72" s="971"/>
      <c r="AU72" s="971"/>
      <c r="AV72" s="971"/>
      <c r="AW72" s="971"/>
      <c r="AX72" s="971"/>
      <c r="AY72" s="971"/>
      <c r="AZ72" s="971"/>
      <c r="BA72" s="971"/>
      <c r="BB72" s="971"/>
      <c r="BC72" s="971"/>
      <c r="BD72" s="971"/>
      <c r="BE72" s="971"/>
      <c r="BF72" s="971"/>
      <c r="BG72" s="971"/>
      <c r="BH72" s="971"/>
      <c r="BI72" s="971"/>
      <c r="BJ72" s="971"/>
      <c r="BK72" s="971"/>
      <c r="BL72" s="971"/>
      <c r="BM72" s="971"/>
      <c r="BN72" s="971"/>
      <c r="BO72" s="971"/>
      <c r="BP72" s="971"/>
      <c r="BQ72" s="971"/>
      <c r="BR72" s="971"/>
    </row>
    <row r="73" spans="1:70">
      <c r="A73" s="138" t="s">
        <v>399</v>
      </c>
      <c r="B73" s="137"/>
      <c r="C73" s="137"/>
      <c r="D73" s="137"/>
      <c r="E73" s="137"/>
      <c r="F73" s="137"/>
      <c r="G73" s="137"/>
      <c r="H73" s="137"/>
      <c r="I73" s="137"/>
      <c r="J73" s="137"/>
      <c r="K73" s="136"/>
      <c r="L73" s="137"/>
      <c r="M73" s="137"/>
      <c r="N73" s="136"/>
      <c r="O73" s="137"/>
      <c r="P73" s="137"/>
      <c r="Q73" s="136"/>
      <c r="R73" s="115"/>
      <c r="S73" s="135"/>
      <c r="T73" s="133"/>
      <c r="U73" s="134"/>
      <c r="V73" s="133"/>
      <c r="W73" s="132"/>
      <c r="X73" s="123"/>
      <c r="Y73" s="123"/>
      <c r="Z73" s="123"/>
      <c r="AA73" s="123"/>
      <c r="AB73" s="123"/>
      <c r="AC73" s="123"/>
      <c r="AD73" s="123"/>
      <c r="AE73" s="123"/>
      <c r="AF73" s="123"/>
      <c r="AG73" s="123"/>
      <c r="AH73" s="123"/>
      <c r="AI73" s="123"/>
      <c r="AJ73" s="123"/>
      <c r="AK73" s="123"/>
      <c r="AL73" s="123"/>
      <c r="AM73" s="123"/>
      <c r="AN73" s="123"/>
      <c r="AO73" s="123"/>
      <c r="AP73" s="123"/>
      <c r="AQ73" s="123"/>
      <c r="AR73" s="123"/>
      <c r="AS73" s="123"/>
      <c r="AT73" s="123"/>
      <c r="AU73" s="123"/>
      <c r="AV73" s="123"/>
      <c r="AW73" s="123"/>
      <c r="AX73" s="123"/>
      <c r="AY73" s="123"/>
      <c r="AZ73" s="123"/>
      <c r="BA73" s="123"/>
      <c r="BB73" s="123"/>
      <c r="BC73" s="123"/>
      <c r="BD73" s="123"/>
      <c r="BE73" s="123"/>
      <c r="BF73" s="123"/>
      <c r="BG73" s="123"/>
      <c r="BH73" s="123"/>
      <c r="BI73" s="123"/>
      <c r="BJ73" s="123"/>
      <c r="BK73" s="123"/>
      <c r="BL73" s="123"/>
      <c r="BM73" s="123"/>
      <c r="BN73" s="123"/>
      <c r="BO73" s="123"/>
      <c r="BP73" s="123"/>
      <c r="BQ73" s="123"/>
      <c r="BR73" s="123"/>
    </row>
    <row r="74" spans="1:70" s="123" customFormat="1">
      <c r="A74" s="314" t="s">
        <v>234</v>
      </c>
      <c r="C74" s="239" t="s">
        <v>730</v>
      </c>
      <c r="D74" s="328">
        <v>2844</v>
      </c>
      <c r="E74" s="240">
        <f>IF(ISNA(HLOOKUP($D74,'MM Support Data'!$C$8:$N$67,17,FALSE)),0,HLOOKUP($D74,'MM Support Data'!$C$8:$N$67,17,FALSE))</f>
        <v>33529945.765384611</v>
      </c>
      <c r="F74" s="240">
        <f>IF(ISNA(HLOOKUP($D74,'MM Support Data'!$C$8:$N$67,17,FALSE)),0,HLOOKUP($D74,'MM Support Data'!$C$8:$N$67,33,FALSE))</f>
        <v>1163090.3230769229</v>
      </c>
      <c r="G74" s="131">
        <f t="shared" ref="G74:G76" si="0">$L$31</f>
        <v>7.7816992833042303E-2</v>
      </c>
      <c r="H74" s="235">
        <f>F74*G74</f>
        <v>90508.191335057767</v>
      </c>
      <c r="I74" s="131">
        <f t="shared" ref="I74:I76" si="1">$L$46</f>
        <v>1.5778408934513075E-2</v>
      </c>
      <c r="J74" s="235">
        <f>E74*I74</f>
        <v>529049.1958382834</v>
      </c>
      <c r="K74" s="172">
        <f t="shared" ref="K74:K76" si="2">H74+J74</f>
        <v>619557.38717334112</v>
      </c>
      <c r="L74" s="240">
        <f>IF(ISNA(HLOOKUP($D74,'MM Support Data'!$C$8:$N$67,17,FALSE)),0,HLOOKUP($D74,'MM Support Data'!$C$8:$N$67,50,FALSE))</f>
        <v>32366855.442307696</v>
      </c>
      <c r="M74" s="131">
        <f t="shared" ref="M74:M76" si="3">$L$56</f>
        <v>0.10349036209658159</v>
      </c>
      <c r="N74" s="172">
        <f t="shared" ref="N74:N76" si="4">L74*M74</f>
        <v>3349657.589652136</v>
      </c>
      <c r="O74" s="240">
        <f>IF(ISNA(HLOOKUP($D74,'MM Support Data'!$C$8:$N$67,17,FALSE)),0,HLOOKUP($D74,'MM Support Data'!$C$8:$N$67,55,FALSE))</f>
        <v>758174.92999999993</v>
      </c>
      <c r="P74" s="240">
        <f>IF(ISNA(HLOOKUP($D74,'MM Support Data'!$C$8:$N$67,17,FALSE)),0,HLOOKUP($D74,'MM Support Data'!$C$8:$N$67,60,FALSE))</f>
        <v>0</v>
      </c>
      <c r="Q74" s="172">
        <f t="shared" ref="Q74:Q76" si="5">K74+N74+O74+P74</f>
        <v>4727389.9068254773</v>
      </c>
      <c r="R74" s="264">
        <f>'2013 Sch. 26A True-up Adj'!AO56</f>
        <v>238909.54973011985</v>
      </c>
      <c r="S74" s="172">
        <f t="shared" ref="S74:S76" si="6">Q74+R74</f>
        <v>4966299.4565555975</v>
      </c>
      <c r="U74" s="242"/>
    </row>
    <row r="75" spans="1:70" s="123" customFormat="1">
      <c r="A75" s="314" t="s">
        <v>648</v>
      </c>
      <c r="C75" s="239" t="s">
        <v>731</v>
      </c>
      <c r="D75" s="328">
        <v>3127</v>
      </c>
      <c r="E75" s="240">
        <f>IF(ISNA(HLOOKUP($D75,'MM Support Data'!$C$8:$N$67,17,FALSE)),0,HLOOKUP($D75,'MM Support Data'!$C$8:$N$67,17,FALSE))</f>
        <v>6052270.0392307695</v>
      </c>
      <c r="F75" s="240">
        <f>IF(ISNA(HLOOKUP($D75,'MM Support Data'!$C$8:$N$67,17,FALSE)),0,HLOOKUP($D75,'MM Support Data'!$C$8:$N$67,33,FALSE))</f>
        <v>0</v>
      </c>
      <c r="G75" s="131">
        <f t="shared" si="0"/>
        <v>7.7816992833042303E-2</v>
      </c>
      <c r="H75" s="235">
        <f t="shared" ref="H75:H76" si="7">F75*G75</f>
        <v>0</v>
      </c>
      <c r="I75" s="131">
        <f t="shared" si="1"/>
        <v>1.5778408934513075E-2</v>
      </c>
      <c r="J75" s="235">
        <f t="shared" ref="J75:J76" si="8">E75*I75</f>
        <v>95495.19166108458</v>
      </c>
      <c r="K75" s="172">
        <f t="shared" si="2"/>
        <v>95495.19166108458</v>
      </c>
      <c r="L75" s="240">
        <f>IF(ISNA(HLOOKUP($D75,'MM Support Data'!$C$8:$N$67,17,FALSE)),0,HLOOKUP($D75,'MM Support Data'!$C$8:$N$67,50,FALSE))</f>
        <v>6052270.0392307695</v>
      </c>
      <c r="M75" s="131">
        <f t="shared" si="3"/>
        <v>0.10349036209658159</v>
      </c>
      <c r="N75" s="172">
        <f t="shared" si="4"/>
        <v>626351.61786628445</v>
      </c>
      <c r="O75" s="240">
        <f>IF(ISNA(HLOOKUP($D75,'MM Support Data'!$C$8:$N$67,17,FALSE)),0,HLOOKUP($D75,'MM Support Data'!$C$8:$N$67,55,FALSE))</f>
        <v>0</v>
      </c>
      <c r="P75" s="240">
        <f>IF(ISNA(HLOOKUP($D75,'MM Support Data'!$C$8:$N$67,17,FALSE)),0,HLOOKUP($D75,'MM Support Data'!$C$8:$N$67,60,FALSE))</f>
        <v>1797820.74</v>
      </c>
      <c r="Q75" s="172">
        <f t="shared" si="5"/>
        <v>2519667.549527369</v>
      </c>
      <c r="R75" s="768">
        <f>'2013 Sch. 26A True-up Adj'!AO57</f>
        <v>-4776898.4117673943</v>
      </c>
      <c r="S75" s="172">
        <f t="shared" si="6"/>
        <v>-2257230.8622400253</v>
      </c>
      <c r="U75" s="242"/>
    </row>
    <row r="76" spans="1:70" s="123" customFormat="1">
      <c r="A76" s="314"/>
      <c r="C76" s="239"/>
      <c r="D76" s="328"/>
      <c r="E76" s="240">
        <f>IF(ISNA(HLOOKUP($D76,'MM Support Data'!$C$8:$N$67,17,FALSE)),0,HLOOKUP($D76,'MM Support Data'!$C$8:$N$67,17,FALSE))</f>
        <v>0</v>
      </c>
      <c r="F76" s="240">
        <v>0</v>
      </c>
      <c r="G76" s="131">
        <f t="shared" si="0"/>
        <v>7.7816992833042303E-2</v>
      </c>
      <c r="H76" s="235">
        <f t="shared" si="7"/>
        <v>0</v>
      </c>
      <c r="I76" s="131">
        <f t="shared" si="1"/>
        <v>1.5778408934513075E-2</v>
      </c>
      <c r="J76" s="235">
        <f t="shared" si="8"/>
        <v>0</v>
      </c>
      <c r="K76" s="172">
        <f t="shared" si="2"/>
        <v>0</v>
      </c>
      <c r="L76" s="240">
        <f>IF(ISNA(HLOOKUP($D76,'MM Support Data'!$C$8:$N$67,50,FALSE)),0,HLOOKUP($D76,'MM Support Data'!$C$8:$N$67,50,FALSE))</f>
        <v>0</v>
      </c>
      <c r="M76" s="131">
        <f t="shared" si="3"/>
        <v>0.10349036209658159</v>
      </c>
      <c r="N76" s="172">
        <f t="shared" si="4"/>
        <v>0</v>
      </c>
      <c r="O76" s="240">
        <v>0</v>
      </c>
      <c r="P76" s="240">
        <v>0</v>
      </c>
      <c r="Q76" s="172">
        <f t="shared" si="5"/>
        <v>0</v>
      </c>
      <c r="R76" s="264">
        <v>0</v>
      </c>
      <c r="S76" s="172">
        <f t="shared" si="6"/>
        <v>0</v>
      </c>
      <c r="U76" s="242"/>
    </row>
    <row r="77" spans="1:70" s="123" customFormat="1">
      <c r="A77" s="314"/>
      <c r="C77" s="239" t="s">
        <v>578</v>
      </c>
      <c r="D77" s="328" t="s">
        <v>578</v>
      </c>
      <c r="E77" s="235"/>
      <c r="F77" s="235"/>
      <c r="G77" s="131"/>
      <c r="H77" s="235"/>
      <c r="I77" s="131"/>
      <c r="J77" s="235"/>
      <c r="K77" s="172"/>
      <c r="L77" s="235"/>
      <c r="M77" s="131"/>
      <c r="N77" s="172"/>
      <c r="O77" s="235"/>
      <c r="P77" s="235"/>
      <c r="Q77" s="172"/>
      <c r="R77" s="235"/>
      <c r="S77" s="172"/>
      <c r="U77" s="242"/>
    </row>
    <row r="78" spans="1:70" s="123" customFormat="1">
      <c r="A78" s="314"/>
      <c r="C78" s="239" t="s">
        <v>578</v>
      </c>
      <c r="D78" s="328" t="s">
        <v>578</v>
      </c>
      <c r="E78" s="235"/>
      <c r="F78" s="235"/>
      <c r="G78" s="131"/>
      <c r="H78" s="235"/>
      <c r="I78" s="131"/>
      <c r="J78" s="235"/>
      <c r="K78" s="172"/>
      <c r="L78" s="235"/>
      <c r="M78" s="131"/>
      <c r="N78" s="172"/>
      <c r="O78" s="235"/>
      <c r="P78" s="235"/>
      <c r="Q78" s="172"/>
      <c r="R78" s="235"/>
      <c r="S78" s="172"/>
      <c r="U78" s="242"/>
    </row>
    <row r="79" spans="1:70" s="123" customFormat="1">
      <c r="A79" s="314"/>
      <c r="C79" s="239" t="s">
        <v>578</v>
      </c>
      <c r="D79" s="328" t="s">
        <v>578</v>
      </c>
      <c r="E79" s="235"/>
      <c r="F79" s="235"/>
      <c r="G79" s="131"/>
      <c r="H79" s="235"/>
      <c r="I79" s="131"/>
      <c r="J79" s="235"/>
      <c r="K79" s="172"/>
      <c r="L79" s="235"/>
      <c r="M79" s="131"/>
      <c r="N79" s="172"/>
      <c r="O79" s="235"/>
      <c r="P79" s="235"/>
      <c r="Q79" s="172"/>
      <c r="R79" s="235"/>
      <c r="S79" s="172"/>
      <c r="U79" s="242"/>
    </row>
    <row r="80" spans="1:70" s="123" customFormat="1">
      <c r="A80" s="314"/>
      <c r="C80" s="239" t="s">
        <v>578</v>
      </c>
      <c r="D80" s="328" t="s">
        <v>578</v>
      </c>
      <c r="E80" s="235"/>
      <c r="F80" s="235"/>
      <c r="G80" s="131"/>
      <c r="H80" s="235"/>
      <c r="I80" s="131"/>
      <c r="J80" s="235"/>
      <c r="K80" s="172"/>
      <c r="L80" s="235"/>
      <c r="M80" s="131"/>
      <c r="N80" s="172"/>
      <c r="O80" s="235"/>
      <c r="P80" s="235"/>
      <c r="Q80" s="172"/>
      <c r="R80" s="235"/>
      <c r="S80" s="172"/>
      <c r="U80" s="242"/>
    </row>
    <row r="81" spans="1:21" s="123" customFormat="1">
      <c r="A81" s="314"/>
      <c r="C81" s="239" t="s">
        <v>578</v>
      </c>
      <c r="D81" s="328" t="s">
        <v>578</v>
      </c>
      <c r="E81" s="235"/>
      <c r="F81" s="235"/>
      <c r="G81" s="131"/>
      <c r="H81" s="235"/>
      <c r="I81" s="131"/>
      <c r="J81" s="235"/>
      <c r="K81" s="172"/>
      <c r="L81" s="235"/>
      <c r="M81" s="131"/>
      <c r="N81" s="172"/>
      <c r="O81" s="235"/>
      <c r="P81" s="235"/>
      <c r="Q81" s="172"/>
      <c r="R81" s="235"/>
      <c r="S81" s="172"/>
      <c r="U81" s="242"/>
    </row>
    <row r="82" spans="1:21" s="123" customFormat="1">
      <c r="A82" s="314"/>
      <c r="C82" s="239" t="s">
        <v>578</v>
      </c>
      <c r="D82" s="328" t="s">
        <v>578</v>
      </c>
      <c r="E82" s="235"/>
      <c r="F82" s="235"/>
      <c r="G82" s="131"/>
      <c r="H82" s="235"/>
      <c r="I82" s="131"/>
      <c r="J82" s="235"/>
      <c r="K82" s="172"/>
      <c r="L82" s="235"/>
      <c r="M82" s="131"/>
      <c r="N82" s="172"/>
      <c r="O82" s="235"/>
      <c r="P82" s="235"/>
      <c r="Q82" s="172"/>
      <c r="R82" s="235"/>
      <c r="S82" s="172"/>
      <c r="U82" s="242"/>
    </row>
    <row r="83" spans="1:21" s="123" customFormat="1">
      <c r="A83" s="314"/>
      <c r="C83" s="239" t="s">
        <v>578</v>
      </c>
      <c r="D83" s="328" t="s">
        <v>578</v>
      </c>
      <c r="E83" s="235"/>
      <c r="F83" s="235"/>
      <c r="G83" s="131"/>
      <c r="H83" s="235"/>
      <c r="I83" s="131"/>
      <c r="J83" s="235"/>
      <c r="K83" s="172"/>
      <c r="L83" s="235"/>
      <c r="M83" s="131"/>
      <c r="N83" s="172"/>
      <c r="O83" s="235"/>
      <c r="P83" s="235"/>
      <c r="Q83" s="172"/>
      <c r="R83" s="235"/>
      <c r="S83" s="172"/>
      <c r="U83" s="242"/>
    </row>
    <row r="84" spans="1:21" s="123" customFormat="1">
      <c r="A84" s="314"/>
      <c r="C84" s="239" t="s">
        <v>578</v>
      </c>
      <c r="D84" s="328" t="s">
        <v>578</v>
      </c>
      <c r="E84" s="235"/>
      <c r="F84" s="235"/>
      <c r="G84" s="131"/>
      <c r="H84" s="235"/>
      <c r="I84" s="131"/>
      <c r="J84" s="235"/>
      <c r="K84" s="172"/>
      <c r="L84" s="235"/>
      <c r="M84" s="131"/>
      <c r="N84" s="172"/>
      <c r="O84" s="235"/>
      <c r="P84" s="235"/>
      <c r="Q84" s="172"/>
      <c r="R84" s="235"/>
      <c r="S84" s="172"/>
      <c r="U84" s="242"/>
    </row>
    <row r="85" spans="1:21" s="123" customFormat="1">
      <c r="A85" s="314"/>
      <c r="C85" s="239" t="s">
        <v>578</v>
      </c>
      <c r="D85" s="328" t="s">
        <v>578</v>
      </c>
      <c r="E85" s="235"/>
      <c r="F85" s="235"/>
      <c r="G85" s="131"/>
      <c r="H85" s="235"/>
      <c r="I85" s="131"/>
      <c r="J85" s="235"/>
      <c r="K85" s="172"/>
      <c r="L85" s="235"/>
      <c r="M85" s="131"/>
      <c r="N85" s="172"/>
      <c r="O85" s="235"/>
      <c r="P85" s="235"/>
      <c r="Q85" s="172"/>
      <c r="R85" s="235"/>
      <c r="S85" s="172"/>
      <c r="U85" s="242"/>
    </row>
    <row r="86" spans="1:21" s="123" customFormat="1">
      <c r="A86" s="314"/>
      <c r="C86" s="239" t="s">
        <v>578</v>
      </c>
      <c r="D86" s="328" t="s">
        <v>578</v>
      </c>
      <c r="E86" s="235"/>
      <c r="F86" s="235"/>
      <c r="G86" s="131"/>
      <c r="H86" s="235"/>
      <c r="I86" s="131"/>
      <c r="J86" s="235"/>
      <c r="K86" s="172"/>
      <c r="L86" s="235"/>
      <c r="M86" s="131"/>
      <c r="N86" s="172"/>
      <c r="O86" s="235"/>
      <c r="P86" s="235"/>
      <c r="Q86" s="172"/>
      <c r="R86" s="235"/>
      <c r="S86" s="172"/>
      <c r="U86" s="242"/>
    </row>
    <row r="87" spans="1:21" s="123" customFormat="1">
      <c r="A87" s="314"/>
      <c r="C87" s="239" t="s">
        <v>578</v>
      </c>
      <c r="D87" s="328" t="s">
        <v>578</v>
      </c>
      <c r="E87" s="235"/>
      <c r="F87" s="235"/>
      <c r="G87" s="131"/>
      <c r="H87" s="235"/>
      <c r="I87" s="131"/>
      <c r="J87" s="235"/>
      <c r="K87" s="172"/>
      <c r="L87" s="235"/>
      <c r="M87" s="131"/>
      <c r="N87" s="172"/>
      <c r="O87" s="235"/>
      <c r="P87" s="235"/>
      <c r="Q87" s="172"/>
      <c r="R87" s="235"/>
      <c r="S87" s="172"/>
      <c r="U87" s="242"/>
    </row>
    <row r="88" spans="1:21" s="123" customFormat="1">
      <c r="A88" s="314"/>
      <c r="C88" s="239" t="s">
        <v>578</v>
      </c>
      <c r="D88" s="328" t="s">
        <v>578</v>
      </c>
      <c r="E88" s="235"/>
      <c r="F88" s="235"/>
      <c r="G88" s="131"/>
      <c r="H88" s="235"/>
      <c r="I88" s="131"/>
      <c r="J88" s="235"/>
      <c r="K88" s="172"/>
      <c r="L88" s="235"/>
      <c r="M88" s="131"/>
      <c r="N88" s="172"/>
      <c r="O88" s="235"/>
      <c r="P88" s="235"/>
      <c r="Q88" s="172"/>
      <c r="R88" s="235"/>
      <c r="S88" s="172"/>
      <c r="U88" s="242"/>
    </row>
    <row r="89" spans="1:21" s="123" customFormat="1">
      <c r="A89" s="314"/>
      <c r="C89" s="239" t="s">
        <v>578</v>
      </c>
      <c r="D89" s="328" t="s">
        <v>578</v>
      </c>
      <c r="E89" s="235"/>
      <c r="F89" s="235"/>
      <c r="G89" s="131"/>
      <c r="H89" s="235"/>
      <c r="I89" s="131"/>
      <c r="J89" s="235"/>
      <c r="K89" s="172"/>
      <c r="L89" s="235"/>
      <c r="M89" s="131"/>
      <c r="N89" s="172"/>
      <c r="O89" s="235"/>
      <c r="P89" s="235"/>
      <c r="Q89" s="172"/>
      <c r="R89" s="235"/>
      <c r="S89" s="172"/>
      <c r="U89" s="242"/>
    </row>
    <row r="90" spans="1:21" s="123" customFormat="1">
      <c r="A90" s="314"/>
      <c r="C90" s="239" t="s">
        <v>578</v>
      </c>
      <c r="D90" s="328" t="s">
        <v>578</v>
      </c>
      <c r="E90" s="235"/>
      <c r="F90" s="235"/>
      <c r="G90" s="131"/>
      <c r="H90" s="235"/>
      <c r="I90" s="131"/>
      <c r="J90" s="235"/>
      <c r="K90" s="172"/>
      <c r="L90" s="235"/>
      <c r="M90" s="131"/>
      <c r="N90" s="172"/>
      <c r="O90" s="235"/>
      <c r="P90" s="235"/>
      <c r="Q90" s="172"/>
      <c r="R90" s="235"/>
      <c r="S90" s="172"/>
      <c r="U90" s="242"/>
    </row>
    <row r="91" spans="1:21" s="123" customFormat="1">
      <c r="A91" s="314"/>
      <c r="C91" s="239" t="s">
        <v>578</v>
      </c>
      <c r="D91" s="328" t="s">
        <v>578</v>
      </c>
      <c r="E91" s="235"/>
      <c r="F91" s="235"/>
      <c r="G91" s="131"/>
      <c r="H91" s="235"/>
      <c r="I91" s="131"/>
      <c r="J91" s="235"/>
      <c r="K91" s="172"/>
      <c r="L91" s="235"/>
      <c r="M91" s="131"/>
      <c r="N91" s="172"/>
      <c r="O91" s="235"/>
      <c r="P91" s="235"/>
      <c r="Q91" s="172"/>
      <c r="R91" s="235"/>
      <c r="S91" s="172"/>
      <c r="U91" s="242"/>
    </row>
    <row r="92" spans="1:21" s="123" customFormat="1">
      <c r="A92" s="314"/>
      <c r="C92" s="239" t="s">
        <v>578</v>
      </c>
      <c r="D92" s="328" t="s">
        <v>578</v>
      </c>
      <c r="E92" s="235"/>
      <c r="F92" s="235"/>
      <c r="G92" s="131"/>
      <c r="H92" s="235"/>
      <c r="I92" s="131"/>
      <c r="J92" s="235"/>
      <c r="K92" s="172"/>
      <c r="L92" s="235"/>
      <c r="M92" s="131"/>
      <c r="N92" s="172"/>
      <c r="O92" s="235"/>
      <c r="P92" s="235"/>
      <c r="Q92" s="172"/>
      <c r="R92" s="235"/>
      <c r="S92" s="172"/>
      <c r="U92" s="242"/>
    </row>
    <row r="93" spans="1:21" s="123" customFormat="1">
      <c r="A93" s="314"/>
      <c r="C93" s="239" t="s">
        <v>578</v>
      </c>
      <c r="D93" s="328" t="s">
        <v>578</v>
      </c>
      <c r="E93" s="235"/>
      <c r="F93" s="235"/>
      <c r="G93" s="131"/>
      <c r="H93" s="235"/>
      <c r="I93" s="131"/>
      <c r="J93" s="235"/>
      <c r="K93" s="172"/>
      <c r="L93" s="235"/>
      <c r="M93" s="131"/>
      <c r="N93" s="172"/>
      <c r="O93" s="235"/>
      <c r="P93" s="235"/>
      <c r="Q93" s="172"/>
      <c r="R93" s="235"/>
      <c r="S93" s="172"/>
      <c r="U93" s="242"/>
    </row>
    <row r="94" spans="1:21" s="123" customFormat="1">
      <c r="A94" s="314"/>
      <c r="C94" s="239" t="s">
        <v>578</v>
      </c>
      <c r="D94" s="328" t="s">
        <v>578</v>
      </c>
      <c r="E94" s="235"/>
      <c r="F94" s="235"/>
      <c r="G94" s="131"/>
      <c r="H94" s="235"/>
      <c r="I94" s="131"/>
      <c r="J94" s="235"/>
      <c r="K94" s="172"/>
      <c r="L94" s="235"/>
      <c r="M94" s="131"/>
      <c r="N94" s="172"/>
      <c r="O94" s="235"/>
      <c r="P94" s="235"/>
      <c r="Q94" s="172"/>
      <c r="R94" s="235"/>
      <c r="S94" s="172"/>
      <c r="U94" s="242"/>
    </row>
    <row r="95" spans="1:21" s="123" customFormat="1">
      <c r="A95" s="314"/>
      <c r="C95" s="239" t="s">
        <v>578</v>
      </c>
      <c r="D95" s="328" t="s">
        <v>578</v>
      </c>
      <c r="E95" s="235"/>
      <c r="F95" s="235"/>
      <c r="G95" s="131"/>
      <c r="H95" s="235"/>
      <c r="I95" s="131"/>
      <c r="J95" s="235"/>
      <c r="K95" s="172"/>
      <c r="L95" s="235"/>
      <c r="M95" s="131"/>
      <c r="N95" s="172"/>
      <c r="O95" s="235"/>
      <c r="P95" s="235"/>
      <c r="Q95" s="172"/>
      <c r="R95" s="235"/>
      <c r="S95" s="172"/>
      <c r="U95" s="242"/>
    </row>
    <row r="96" spans="1:21" s="123" customFormat="1">
      <c r="A96" s="314"/>
      <c r="C96" s="239" t="s">
        <v>578</v>
      </c>
      <c r="D96" s="328" t="s">
        <v>578</v>
      </c>
      <c r="E96" s="235"/>
      <c r="F96" s="235"/>
      <c r="G96" s="131"/>
      <c r="H96" s="235"/>
      <c r="I96" s="131"/>
      <c r="J96" s="235"/>
      <c r="K96" s="172"/>
      <c r="L96" s="235"/>
      <c r="M96" s="131"/>
      <c r="N96" s="172"/>
      <c r="O96" s="235"/>
      <c r="P96" s="235"/>
      <c r="Q96" s="172"/>
      <c r="R96" s="235"/>
      <c r="S96" s="172"/>
      <c r="U96" s="242"/>
    </row>
    <row r="97" spans="1:26" s="123" customFormat="1">
      <c r="A97" s="314"/>
      <c r="C97" s="239" t="s">
        <v>578</v>
      </c>
      <c r="D97" s="328" t="s">
        <v>578</v>
      </c>
      <c r="E97" s="235"/>
      <c r="F97" s="235"/>
      <c r="G97" s="131"/>
      <c r="H97" s="235"/>
      <c r="I97" s="131"/>
      <c r="J97" s="235"/>
      <c r="K97" s="172"/>
      <c r="L97" s="235"/>
      <c r="M97" s="131"/>
      <c r="N97" s="172"/>
      <c r="O97" s="235"/>
      <c r="P97" s="235"/>
      <c r="Q97" s="172"/>
      <c r="R97" s="235"/>
      <c r="S97" s="172"/>
      <c r="U97" s="242"/>
    </row>
    <row r="98" spans="1:26">
      <c r="A98" s="313"/>
      <c r="B98" s="312"/>
      <c r="C98" s="311"/>
      <c r="D98" s="311"/>
      <c r="E98" s="311"/>
      <c r="F98" s="311"/>
      <c r="G98" s="311"/>
      <c r="H98" s="311"/>
      <c r="I98" s="311"/>
      <c r="J98" s="311"/>
      <c r="K98" s="310"/>
      <c r="L98" s="311"/>
      <c r="M98" s="311"/>
      <c r="N98" s="310"/>
      <c r="O98" s="311"/>
      <c r="P98" s="311"/>
      <c r="Q98" s="310"/>
      <c r="R98" s="311"/>
      <c r="S98" s="310"/>
      <c r="T98" s="113"/>
      <c r="U98" s="113"/>
      <c r="V98" s="113"/>
      <c r="W98" s="113"/>
      <c r="X98" s="113"/>
      <c r="Y98" s="113"/>
      <c r="Z98" s="113"/>
    </row>
    <row r="99" spans="1:26">
      <c r="A99" s="130" t="s">
        <v>346</v>
      </c>
      <c r="B99" s="129"/>
      <c r="C99" s="128" t="s">
        <v>398</v>
      </c>
      <c r="D99" s="128"/>
      <c r="E99" s="128"/>
      <c r="F99" s="128"/>
      <c r="G99" s="128"/>
      <c r="H99" s="118"/>
      <c r="I99" s="118"/>
      <c r="J99" s="115"/>
      <c r="K99" s="115"/>
      <c r="L99" s="115"/>
      <c r="M99" s="115"/>
      <c r="N99" s="115"/>
      <c r="O99" s="115"/>
      <c r="P99" s="306">
        <f>SUM(P74:P98)</f>
        <v>1797820.74</v>
      </c>
      <c r="Q99" s="306">
        <f>SUM(Q74:Q98)</f>
        <v>7247057.4563528467</v>
      </c>
      <c r="R99" s="306">
        <f>SUM(R74:R98)</f>
        <v>-4537988.8620372741</v>
      </c>
      <c r="S99" s="306">
        <f>SUM(S74:S98)</f>
        <v>2709068.5943155722</v>
      </c>
      <c r="T99" s="113"/>
      <c r="U99" s="113"/>
      <c r="V99" s="113"/>
      <c r="W99" s="113"/>
      <c r="X99" s="113"/>
      <c r="Y99" s="113"/>
      <c r="Z99" s="113"/>
    </row>
    <row r="100" spans="1:26">
      <c r="A100" s="127"/>
      <c r="B100" s="113"/>
      <c r="C100" s="113"/>
      <c r="D100" s="113"/>
      <c r="E100" s="113"/>
      <c r="F100" s="113"/>
      <c r="G100" s="113"/>
      <c r="H100" s="113"/>
      <c r="I100" s="113"/>
      <c r="J100" s="113"/>
      <c r="K100" s="113"/>
      <c r="L100" s="113"/>
      <c r="M100" s="113"/>
      <c r="N100" s="113"/>
      <c r="O100" s="113"/>
      <c r="P100" s="113"/>
      <c r="Q100" s="113"/>
      <c r="R100" s="113"/>
      <c r="S100" s="113"/>
      <c r="T100" s="113"/>
      <c r="U100" s="113"/>
      <c r="V100" s="113"/>
      <c r="W100" s="113"/>
      <c r="X100" s="113"/>
      <c r="Y100" s="113"/>
      <c r="Z100" s="113"/>
    </row>
    <row r="101" spans="1:26">
      <c r="A101" s="126">
        <v>3</v>
      </c>
      <c r="B101" s="113"/>
      <c r="C101" s="116" t="s">
        <v>487</v>
      </c>
      <c r="D101" s="116"/>
      <c r="E101" s="116"/>
      <c r="F101" s="116"/>
      <c r="G101" s="113"/>
      <c r="H101" s="113"/>
      <c r="I101" s="113"/>
      <c r="J101" s="113"/>
      <c r="K101" s="113"/>
      <c r="L101" s="113"/>
      <c r="M101" s="113"/>
      <c r="N101" s="113"/>
      <c r="O101" s="113"/>
      <c r="P101" s="113"/>
      <c r="Q101" s="309">
        <f>Q99</f>
        <v>7247057.4563528467</v>
      </c>
      <c r="R101" s="113"/>
      <c r="S101" s="113"/>
      <c r="T101" s="113"/>
      <c r="U101" s="113"/>
      <c r="V101" s="113"/>
      <c r="W101" s="113"/>
      <c r="X101" s="113"/>
      <c r="Y101" s="113"/>
      <c r="Z101" s="113"/>
    </row>
    <row r="102" spans="1:26">
      <c r="A102" s="113"/>
      <c r="B102" s="113"/>
      <c r="C102" s="113"/>
      <c r="D102" s="113"/>
      <c r="E102" s="113"/>
      <c r="F102" s="113"/>
      <c r="G102" s="113"/>
      <c r="H102" s="113"/>
      <c r="I102" s="113"/>
      <c r="J102" s="113"/>
      <c r="K102" s="113"/>
      <c r="L102" s="113"/>
      <c r="M102" s="113"/>
      <c r="N102" s="113"/>
      <c r="O102" s="113"/>
      <c r="P102" s="113"/>
      <c r="Q102" s="113"/>
      <c r="R102" s="113"/>
      <c r="S102" s="513"/>
      <c r="T102" s="113"/>
      <c r="U102" s="113"/>
      <c r="V102" s="113"/>
      <c r="W102" s="113"/>
      <c r="X102" s="113"/>
      <c r="Y102" s="113"/>
      <c r="Z102" s="113"/>
    </row>
    <row r="103" spans="1:26">
      <c r="A103" s="113"/>
      <c r="B103" s="113"/>
      <c r="C103" s="113"/>
      <c r="D103" s="113"/>
      <c r="E103" s="113"/>
      <c r="F103" s="113"/>
      <c r="G103" s="113"/>
      <c r="H103" s="113"/>
      <c r="I103" s="113"/>
      <c r="J103" s="113"/>
      <c r="K103" s="113"/>
      <c r="L103" s="113"/>
      <c r="M103" s="113"/>
      <c r="N103" s="113"/>
      <c r="O103" s="113"/>
      <c r="P103" s="113"/>
      <c r="Q103" s="113"/>
      <c r="R103" s="113"/>
      <c r="S103" s="113"/>
      <c r="T103" s="113"/>
      <c r="U103" s="113"/>
      <c r="V103" s="113"/>
      <c r="W103" s="113"/>
      <c r="X103" s="113"/>
      <c r="Y103" s="113"/>
      <c r="Z103" s="113"/>
    </row>
    <row r="104" spans="1:26">
      <c r="A104" s="984" t="s">
        <v>89</v>
      </c>
      <c r="B104" s="1007"/>
      <c r="C104" s="1007"/>
      <c r="D104" s="1007"/>
      <c r="E104" s="1007"/>
      <c r="F104" s="1007"/>
      <c r="G104" s="1007"/>
      <c r="H104" s="1007"/>
      <c r="I104" s="1007"/>
      <c r="J104" s="1007"/>
      <c r="K104" s="1007"/>
      <c r="L104" s="1007"/>
      <c r="M104" s="1007"/>
      <c r="N104" s="1007"/>
      <c r="O104" s="1007"/>
      <c r="P104" s="1007"/>
      <c r="Q104" s="1007"/>
      <c r="R104" s="1007"/>
      <c r="S104" s="1007"/>
      <c r="T104" s="113"/>
      <c r="U104" s="113"/>
      <c r="V104" s="113"/>
      <c r="W104" s="113"/>
      <c r="X104" s="113"/>
      <c r="Y104" s="113"/>
      <c r="Z104" s="113"/>
    </row>
    <row r="105" spans="1:26" ht="15.6" thickBot="1">
      <c r="A105" s="1008" t="s">
        <v>88</v>
      </c>
      <c r="B105" s="1007"/>
      <c r="C105" s="1007"/>
      <c r="D105" s="1007"/>
      <c r="E105" s="1007"/>
      <c r="F105" s="1007"/>
      <c r="G105" s="1007"/>
      <c r="H105" s="1007"/>
      <c r="I105" s="1007"/>
      <c r="J105" s="1007"/>
      <c r="K105" s="1007"/>
      <c r="L105" s="1007"/>
      <c r="M105" s="1007"/>
      <c r="N105" s="1007"/>
      <c r="O105" s="1007"/>
      <c r="P105" s="1007"/>
      <c r="Q105" s="1007"/>
      <c r="R105" s="1007"/>
      <c r="S105" s="1007"/>
      <c r="T105" s="113"/>
      <c r="U105" s="113"/>
      <c r="V105" s="113"/>
      <c r="W105" s="113"/>
      <c r="X105" s="113"/>
      <c r="Y105" s="113"/>
      <c r="Z105" s="113"/>
    </row>
    <row r="106" spans="1:26" ht="17.100000000000001" customHeight="1">
      <c r="A106" s="1009" t="s">
        <v>87</v>
      </c>
      <c r="B106" s="1010"/>
      <c r="C106" s="1028" t="s">
        <v>935</v>
      </c>
      <c r="D106" s="1029"/>
      <c r="E106" s="1029"/>
      <c r="F106" s="1029"/>
      <c r="G106" s="1029"/>
      <c r="H106" s="1029"/>
      <c r="I106" s="1029"/>
      <c r="J106" s="1029"/>
      <c r="K106" s="1029"/>
      <c r="L106" s="1029"/>
      <c r="M106" s="1029"/>
      <c r="N106" s="1029"/>
      <c r="O106" s="1029"/>
      <c r="P106" s="1029"/>
      <c r="Q106" s="1029"/>
      <c r="R106" s="1029"/>
      <c r="S106" s="1029"/>
      <c r="T106" s="113"/>
      <c r="U106" s="113"/>
      <c r="V106" s="113"/>
      <c r="W106" s="113"/>
      <c r="X106" s="113"/>
      <c r="Y106" s="113"/>
      <c r="Z106" s="113"/>
    </row>
    <row r="107" spans="1:26" ht="17.100000000000001" customHeight="1">
      <c r="A107" s="1009" t="s">
        <v>85</v>
      </c>
      <c r="B107" s="1010"/>
      <c r="C107" s="1028" t="s">
        <v>496</v>
      </c>
      <c r="D107" s="1029"/>
      <c r="E107" s="1029"/>
      <c r="F107" s="1029"/>
      <c r="G107" s="1029"/>
      <c r="H107" s="1029"/>
      <c r="I107" s="1029"/>
      <c r="J107" s="1029"/>
      <c r="K107" s="1029"/>
      <c r="L107" s="1029"/>
      <c r="M107" s="1029"/>
      <c r="N107" s="1029"/>
      <c r="O107" s="1029"/>
      <c r="P107" s="1029"/>
      <c r="Q107" s="1029"/>
      <c r="R107" s="1029"/>
      <c r="S107" s="1029"/>
      <c r="T107" s="113"/>
      <c r="U107" s="113"/>
      <c r="V107" s="113"/>
      <c r="W107" s="113"/>
      <c r="X107" s="113"/>
      <c r="Y107" s="113"/>
      <c r="Z107" s="113"/>
    </row>
    <row r="108" spans="1:26" ht="17.100000000000001" customHeight="1">
      <c r="A108" s="1009" t="s">
        <v>83</v>
      </c>
      <c r="B108" s="1010"/>
      <c r="C108" s="1028" t="s">
        <v>931</v>
      </c>
      <c r="D108" s="1029"/>
      <c r="E108" s="1029"/>
      <c r="F108" s="1029"/>
      <c r="G108" s="1029"/>
      <c r="H108" s="1029"/>
      <c r="I108" s="1029"/>
      <c r="J108" s="1029"/>
      <c r="K108" s="1029"/>
      <c r="L108" s="1029"/>
      <c r="M108" s="1029"/>
      <c r="N108" s="1029"/>
      <c r="O108" s="1029"/>
      <c r="P108" s="1029"/>
      <c r="Q108" s="1029"/>
      <c r="R108" s="1029"/>
      <c r="S108" s="1029"/>
      <c r="T108" s="113"/>
      <c r="U108" s="113"/>
      <c r="V108" s="113"/>
      <c r="W108" s="113"/>
      <c r="X108" s="113"/>
      <c r="Y108" s="113"/>
      <c r="Z108" s="113"/>
    </row>
    <row r="109" spans="1:26" ht="17.100000000000001" customHeight="1">
      <c r="A109" s="1009"/>
      <c r="B109" s="1010"/>
      <c r="C109" s="1028" t="s">
        <v>932</v>
      </c>
      <c r="D109" s="1029"/>
      <c r="E109" s="1029"/>
      <c r="F109" s="1029"/>
      <c r="G109" s="1029"/>
      <c r="H109" s="1029"/>
      <c r="I109" s="1029"/>
      <c r="J109" s="1029"/>
      <c r="K109" s="1029"/>
      <c r="L109" s="1029"/>
      <c r="M109" s="1029"/>
      <c r="N109" s="1029"/>
      <c r="O109" s="1029"/>
      <c r="P109" s="1029"/>
      <c r="Q109" s="1029"/>
      <c r="R109" s="1029"/>
      <c r="S109" s="1029"/>
      <c r="T109" s="113"/>
      <c r="U109" s="113"/>
      <c r="V109" s="113"/>
      <c r="W109" s="113"/>
      <c r="X109" s="113"/>
      <c r="Y109" s="113"/>
      <c r="Z109" s="113"/>
    </row>
    <row r="110" spans="1:26" ht="17.100000000000001" customHeight="1">
      <c r="A110" s="1009" t="s">
        <v>82</v>
      </c>
      <c r="B110" s="1010"/>
      <c r="C110" s="1028" t="s">
        <v>404</v>
      </c>
      <c r="D110" s="1029"/>
      <c r="E110" s="1029"/>
      <c r="F110" s="1029"/>
      <c r="G110" s="1029"/>
      <c r="H110" s="1029"/>
      <c r="I110" s="1029"/>
      <c r="J110" s="1029"/>
      <c r="K110" s="1029"/>
      <c r="L110" s="1029"/>
      <c r="M110" s="1029"/>
      <c r="N110" s="1029"/>
      <c r="O110" s="1029"/>
      <c r="P110" s="1029"/>
      <c r="Q110" s="1029"/>
      <c r="R110" s="1029"/>
      <c r="S110" s="1029"/>
      <c r="T110" s="113"/>
      <c r="U110" s="113"/>
      <c r="V110" s="113"/>
      <c r="W110" s="113"/>
      <c r="X110" s="113"/>
      <c r="Y110" s="113"/>
      <c r="Z110" s="113"/>
    </row>
    <row r="111" spans="1:26" ht="17.100000000000001" customHeight="1">
      <c r="A111" s="1011" t="s">
        <v>80</v>
      </c>
      <c r="B111" s="1010"/>
      <c r="C111" s="1028" t="s">
        <v>495</v>
      </c>
      <c r="D111" s="1029"/>
      <c r="E111" s="1029"/>
      <c r="F111" s="1029"/>
      <c r="G111" s="1029"/>
      <c r="H111" s="1029"/>
      <c r="I111" s="1029"/>
      <c r="J111" s="1029"/>
      <c r="K111" s="1029"/>
      <c r="L111" s="1029"/>
      <c r="M111" s="1029"/>
      <c r="N111" s="1029"/>
      <c r="O111" s="1029"/>
      <c r="P111" s="1029"/>
      <c r="Q111" s="1029"/>
      <c r="R111" s="1029"/>
      <c r="S111" s="1029"/>
      <c r="T111" s="113"/>
      <c r="U111" s="113"/>
      <c r="V111" s="113"/>
      <c r="W111" s="113"/>
      <c r="X111" s="113"/>
      <c r="Y111" s="113"/>
      <c r="Z111" s="113"/>
    </row>
    <row r="112" spans="1:26" ht="17.100000000000001" customHeight="1">
      <c r="A112" s="1011" t="s">
        <v>78</v>
      </c>
      <c r="B112" s="1010"/>
      <c r="C112" s="1028" t="s">
        <v>494</v>
      </c>
      <c r="D112" s="1029"/>
      <c r="E112" s="1029"/>
      <c r="F112" s="1029"/>
      <c r="G112" s="1029"/>
      <c r="H112" s="1029"/>
      <c r="I112" s="1029"/>
      <c r="J112" s="1029"/>
      <c r="K112" s="1029"/>
      <c r="L112" s="1029"/>
      <c r="M112" s="1029"/>
      <c r="N112" s="1029"/>
      <c r="O112" s="1029"/>
      <c r="P112" s="1029"/>
      <c r="Q112" s="1029"/>
      <c r="R112" s="1029"/>
      <c r="S112" s="1029"/>
      <c r="T112" s="113"/>
      <c r="U112" s="113"/>
      <c r="V112" s="113"/>
      <c r="W112" s="113"/>
      <c r="X112" s="113"/>
      <c r="Y112" s="113"/>
      <c r="Z112" s="113"/>
    </row>
    <row r="113" spans="1:26" ht="17.100000000000001" customHeight="1">
      <c r="A113" s="1011" t="s">
        <v>76</v>
      </c>
      <c r="B113" s="1010"/>
      <c r="C113" s="1028" t="s">
        <v>403</v>
      </c>
      <c r="D113" s="1029"/>
      <c r="E113" s="1029"/>
      <c r="F113" s="1029"/>
      <c r="G113" s="1029"/>
      <c r="H113" s="1029"/>
      <c r="I113" s="1029"/>
      <c r="J113" s="1029"/>
      <c r="K113" s="1029"/>
      <c r="L113" s="1029"/>
      <c r="M113" s="1029"/>
      <c r="N113" s="1029"/>
      <c r="O113" s="1029"/>
      <c r="P113" s="1029"/>
      <c r="Q113" s="1029"/>
      <c r="R113" s="1029"/>
      <c r="S113" s="1029"/>
      <c r="T113" s="113"/>
      <c r="U113" s="113"/>
      <c r="V113" s="113"/>
      <c r="W113" s="113"/>
      <c r="X113" s="113"/>
      <c r="Y113" s="113"/>
      <c r="Z113" s="113"/>
    </row>
    <row r="114" spans="1:26" ht="17.100000000000001" customHeight="1">
      <c r="A114" s="1011" t="s">
        <v>74</v>
      </c>
      <c r="B114" s="971"/>
      <c r="C114" s="1028" t="s">
        <v>402</v>
      </c>
      <c r="D114" s="1029"/>
      <c r="E114" s="1029"/>
      <c r="F114" s="1029"/>
      <c r="G114" s="1029"/>
      <c r="H114" s="1029"/>
      <c r="I114" s="1029"/>
      <c r="J114" s="1029"/>
      <c r="K114" s="1029"/>
      <c r="L114" s="1029"/>
      <c r="M114" s="1029"/>
      <c r="N114" s="1029"/>
      <c r="O114" s="1029"/>
      <c r="P114" s="1029"/>
      <c r="Q114" s="1029"/>
      <c r="R114" s="1029"/>
      <c r="S114" s="1029"/>
      <c r="T114" s="113"/>
      <c r="U114" s="113"/>
      <c r="V114" s="113"/>
      <c r="W114" s="113"/>
      <c r="X114" s="113"/>
      <c r="Y114" s="113"/>
      <c r="Z114" s="113"/>
    </row>
    <row r="115" spans="1:26" ht="17.100000000000001" customHeight="1">
      <c r="A115" s="1011" t="s">
        <v>72</v>
      </c>
      <c r="B115" s="967"/>
      <c r="C115" s="1028" t="s">
        <v>933</v>
      </c>
      <c r="D115" s="1029"/>
      <c r="E115" s="1029"/>
      <c r="F115" s="1029"/>
      <c r="G115" s="1029"/>
      <c r="H115" s="1029"/>
      <c r="I115" s="1029"/>
      <c r="J115" s="1029"/>
      <c r="K115" s="1029"/>
      <c r="L115" s="1029"/>
      <c r="M115" s="1029"/>
      <c r="N115" s="1029"/>
      <c r="O115" s="1029"/>
      <c r="P115" s="1029"/>
      <c r="Q115" s="1029"/>
      <c r="R115" s="1029"/>
      <c r="S115" s="1029"/>
      <c r="T115" s="113"/>
      <c r="U115" s="113"/>
      <c r="V115" s="113"/>
      <c r="W115" s="113"/>
      <c r="X115" s="113"/>
      <c r="Y115" s="113"/>
      <c r="Z115" s="113"/>
    </row>
    <row r="116" spans="1:26" ht="17.100000000000001" customHeight="1">
      <c r="A116" s="1011" t="s">
        <v>70</v>
      </c>
      <c r="B116" s="1012"/>
      <c r="C116" s="1013" t="s">
        <v>934</v>
      </c>
      <c r="D116" s="1013"/>
      <c r="E116" s="1013"/>
      <c r="F116" s="1013"/>
      <c r="G116" s="1013"/>
      <c r="H116" s="1013"/>
      <c r="I116" s="1013"/>
      <c r="J116" s="1013"/>
      <c r="K116" s="1013"/>
      <c r="L116" s="1013"/>
      <c r="M116" s="1013"/>
      <c r="N116" s="1013"/>
      <c r="O116" s="1013"/>
      <c r="P116" s="1013"/>
      <c r="Q116" s="1013"/>
      <c r="R116" s="1013"/>
      <c r="S116" s="1013"/>
      <c r="T116" s="113"/>
      <c r="U116" s="113"/>
      <c r="V116" s="113"/>
      <c r="W116" s="113"/>
      <c r="X116" s="113"/>
      <c r="Y116" s="113"/>
      <c r="Z116" s="113"/>
    </row>
    <row r="117" spans="1:26" ht="17.100000000000001" customHeight="1">
      <c r="A117" s="124"/>
      <c r="B117" s="113"/>
      <c r="C117" s="1013"/>
      <c r="D117" s="1013"/>
      <c r="E117" s="1013"/>
      <c r="F117" s="1013"/>
      <c r="G117" s="1013"/>
      <c r="H117" s="1013"/>
      <c r="I117" s="1013"/>
      <c r="J117" s="1013"/>
      <c r="K117" s="1013"/>
      <c r="L117" s="1013"/>
      <c r="M117" s="1013"/>
      <c r="N117" s="1013"/>
      <c r="O117" s="1013"/>
      <c r="P117" s="1013"/>
      <c r="Q117" s="1013"/>
      <c r="R117" s="1013"/>
      <c r="S117" s="1013"/>
      <c r="T117" s="113"/>
      <c r="U117" s="113"/>
      <c r="V117" s="113"/>
      <c r="W117" s="113"/>
      <c r="X117" s="113"/>
      <c r="Y117" s="113"/>
      <c r="Z117" s="113"/>
    </row>
    <row r="118" spans="1:26" ht="17.100000000000001" customHeight="1">
      <c r="A118" s="124"/>
      <c r="B118" s="121"/>
      <c r="C118" s="1013"/>
      <c r="D118" s="1013"/>
      <c r="E118" s="1013"/>
      <c r="F118" s="1013"/>
      <c r="G118" s="1013"/>
      <c r="H118" s="1013"/>
      <c r="I118" s="1013"/>
      <c r="J118" s="1013"/>
      <c r="K118" s="1013"/>
      <c r="L118" s="1013"/>
      <c r="M118" s="1013"/>
      <c r="N118" s="1013"/>
      <c r="O118" s="1013"/>
      <c r="P118" s="1013"/>
      <c r="Q118" s="1013"/>
      <c r="R118" s="1013"/>
      <c r="S118" s="1013"/>
      <c r="T118" s="113"/>
      <c r="U118" s="113"/>
      <c r="V118" s="113"/>
      <c r="W118" s="113"/>
      <c r="X118" s="113"/>
      <c r="Y118" s="113"/>
      <c r="Z118" s="113"/>
    </row>
    <row r="119" spans="1:26" ht="15.6">
      <c r="A119" s="122"/>
      <c r="B119" s="121"/>
      <c r="C119" s="120"/>
      <c r="D119" s="120"/>
      <c r="E119" s="120"/>
      <c r="F119" s="120"/>
      <c r="G119" s="119"/>
      <c r="H119" s="118"/>
      <c r="I119" s="118"/>
      <c r="J119" s="115"/>
      <c r="K119" s="115"/>
      <c r="L119" s="116"/>
      <c r="M119" s="116"/>
      <c r="N119" s="117"/>
      <c r="O119" s="116"/>
      <c r="P119" s="116"/>
      <c r="R119" s="115"/>
      <c r="S119" s="114"/>
      <c r="T119" s="113"/>
      <c r="U119" s="113"/>
      <c r="V119" s="113"/>
      <c r="W119" s="113"/>
      <c r="X119" s="113"/>
      <c r="Y119" s="113"/>
      <c r="Z119" s="113"/>
    </row>
    <row r="120" spans="1:26">
      <c r="C120" s="113"/>
      <c r="D120" s="113"/>
      <c r="E120" s="113"/>
      <c r="F120" s="113"/>
      <c r="G120" s="113"/>
      <c r="H120" s="113"/>
      <c r="I120" s="113"/>
      <c r="J120" s="113"/>
      <c r="K120" s="113"/>
      <c r="L120" s="113"/>
      <c r="M120" s="113"/>
      <c r="N120" s="113"/>
      <c r="O120" s="113"/>
      <c r="P120" s="113"/>
      <c r="Q120" s="113"/>
      <c r="R120" s="113"/>
      <c r="S120" s="113"/>
      <c r="T120" s="113"/>
      <c r="U120" s="113"/>
      <c r="V120" s="113"/>
      <c r="W120" s="113"/>
      <c r="X120" s="113"/>
      <c r="Y120" s="113"/>
      <c r="Z120" s="113"/>
    </row>
    <row r="121" spans="1:26">
      <c r="C121" s="113"/>
      <c r="D121" s="113"/>
      <c r="E121" s="113"/>
      <c r="F121" s="113"/>
      <c r="G121" s="113"/>
      <c r="H121" s="113"/>
      <c r="I121" s="113"/>
      <c r="J121" s="113"/>
      <c r="K121" s="113"/>
      <c r="L121" s="113"/>
      <c r="M121" s="113"/>
      <c r="N121" s="113"/>
      <c r="O121" s="113"/>
      <c r="P121" s="113"/>
      <c r="Q121" s="113"/>
      <c r="R121" s="113"/>
      <c r="S121" s="113"/>
      <c r="T121" s="113"/>
      <c r="U121" s="113"/>
      <c r="V121" s="113"/>
      <c r="W121" s="113"/>
      <c r="X121" s="113"/>
      <c r="Y121" s="113"/>
      <c r="Z121" s="113"/>
    </row>
    <row r="122" spans="1:26">
      <c r="C122" s="113"/>
      <c r="D122" s="113"/>
      <c r="E122" s="113"/>
      <c r="F122" s="113"/>
      <c r="G122" s="113"/>
      <c r="H122" s="113"/>
      <c r="I122" s="113"/>
      <c r="J122" s="113"/>
      <c r="K122" s="113"/>
      <c r="L122" s="113"/>
      <c r="M122" s="113"/>
      <c r="N122" s="113"/>
      <c r="O122" s="113"/>
      <c r="P122" s="113"/>
      <c r="Q122" s="113"/>
      <c r="R122" s="113"/>
      <c r="S122" s="113"/>
      <c r="T122" s="113"/>
      <c r="U122" s="113"/>
      <c r="V122" s="113"/>
      <c r="W122" s="113"/>
      <c r="X122" s="113"/>
      <c r="Y122" s="113"/>
      <c r="Z122" s="113"/>
    </row>
    <row r="123" spans="1:26">
      <c r="C123" s="113"/>
      <c r="D123" s="113"/>
      <c r="E123" s="113"/>
      <c r="F123" s="113"/>
      <c r="G123" s="113"/>
      <c r="H123" s="113"/>
      <c r="I123" s="113"/>
      <c r="J123" s="113"/>
      <c r="K123" s="113"/>
      <c r="L123" s="113"/>
      <c r="M123" s="113"/>
      <c r="N123" s="113"/>
      <c r="O123" s="113"/>
      <c r="P123" s="113"/>
      <c r="Q123" s="113"/>
      <c r="R123" s="113"/>
      <c r="S123" s="113"/>
      <c r="T123" s="113"/>
      <c r="U123" s="113"/>
      <c r="V123" s="113"/>
      <c r="W123" s="113"/>
      <c r="X123" s="113"/>
      <c r="Y123" s="113"/>
      <c r="Z123" s="113"/>
    </row>
    <row r="124" spans="1:26">
      <c r="C124" s="113"/>
      <c r="D124" s="113"/>
      <c r="E124" s="113"/>
      <c r="F124" s="113"/>
      <c r="G124" s="113"/>
      <c r="H124" s="113"/>
      <c r="I124" s="113"/>
      <c r="J124" s="113"/>
      <c r="K124" s="113"/>
      <c r="L124" s="113"/>
      <c r="M124" s="113"/>
      <c r="N124" s="113"/>
      <c r="O124" s="113"/>
      <c r="P124" s="113"/>
      <c r="Q124" s="113"/>
      <c r="R124" s="113"/>
      <c r="S124" s="113"/>
      <c r="T124" s="113"/>
      <c r="U124" s="113"/>
      <c r="V124" s="113"/>
      <c r="W124" s="113"/>
      <c r="X124" s="113"/>
      <c r="Y124" s="113"/>
      <c r="Z124" s="113"/>
    </row>
    <row r="125" spans="1:26">
      <c r="C125" s="113"/>
      <c r="D125" s="113"/>
      <c r="E125" s="113"/>
      <c r="F125" s="113"/>
      <c r="G125" s="113"/>
      <c r="H125" s="113"/>
      <c r="I125" s="113"/>
      <c r="J125" s="113"/>
      <c r="K125" s="113"/>
      <c r="L125" s="113"/>
      <c r="M125" s="113"/>
      <c r="N125" s="113"/>
      <c r="O125" s="113"/>
      <c r="P125" s="113"/>
      <c r="Q125" s="113"/>
      <c r="R125" s="113"/>
      <c r="S125" s="113"/>
      <c r="T125" s="113"/>
      <c r="U125" s="113"/>
      <c r="V125" s="113"/>
      <c r="W125" s="113"/>
      <c r="X125" s="113"/>
      <c r="Y125" s="113"/>
      <c r="Z125" s="113"/>
    </row>
    <row r="126" spans="1:26">
      <c r="C126" s="113"/>
      <c r="D126" s="113"/>
      <c r="E126" s="113"/>
      <c r="F126" s="113"/>
      <c r="G126" s="113"/>
      <c r="H126" s="113"/>
      <c r="I126" s="113"/>
      <c r="J126" s="113"/>
      <c r="K126" s="113"/>
      <c r="L126" s="113"/>
      <c r="M126" s="113"/>
      <c r="N126" s="113"/>
      <c r="O126" s="113"/>
      <c r="P126" s="113"/>
      <c r="Q126" s="113"/>
      <c r="R126" s="113"/>
      <c r="S126" s="113"/>
      <c r="T126" s="113"/>
      <c r="U126" s="113"/>
      <c r="V126" s="113"/>
      <c r="W126" s="113"/>
      <c r="X126" s="113"/>
      <c r="Y126" s="113"/>
      <c r="Z126" s="113"/>
    </row>
    <row r="127" spans="1:26">
      <c r="C127" s="113"/>
      <c r="D127" s="113"/>
      <c r="E127" s="113"/>
      <c r="F127" s="113"/>
      <c r="G127" s="113"/>
      <c r="H127" s="113"/>
      <c r="I127" s="113"/>
      <c r="J127" s="113"/>
      <c r="K127" s="113"/>
      <c r="L127" s="113"/>
      <c r="M127" s="113"/>
      <c r="N127" s="113"/>
      <c r="O127" s="113"/>
      <c r="P127" s="113"/>
      <c r="Q127" s="113"/>
      <c r="R127" s="113"/>
      <c r="S127" s="113"/>
      <c r="T127" s="113"/>
      <c r="U127" s="113"/>
      <c r="V127" s="113"/>
      <c r="W127" s="113"/>
      <c r="X127" s="113"/>
      <c r="Y127" s="113"/>
      <c r="Z127" s="113"/>
    </row>
    <row r="128" spans="1:26">
      <c r="C128" s="113"/>
      <c r="D128" s="113"/>
      <c r="E128" s="113"/>
      <c r="F128" s="113"/>
      <c r="G128" s="113"/>
      <c r="H128" s="113"/>
      <c r="I128" s="113"/>
      <c r="J128" s="113"/>
      <c r="K128" s="113"/>
      <c r="L128" s="113"/>
      <c r="M128" s="113"/>
      <c r="N128" s="113"/>
      <c r="O128" s="113"/>
      <c r="P128" s="113"/>
      <c r="Q128" s="113"/>
      <c r="R128" s="113"/>
      <c r="S128" s="113"/>
      <c r="T128" s="113"/>
      <c r="U128" s="113"/>
      <c r="V128" s="113"/>
      <c r="W128" s="113"/>
      <c r="X128" s="113"/>
      <c r="Y128" s="113"/>
      <c r="Z128" s="113"/>
    </row>
    <row r="129" spans="3:26">
      <c r="C129" s="113"/>
      <c r="D129" s="113"/>
      <c r="E129" s="113"/>
      <c r="F129" s="113"/>
      <c r="G129" s="113"/>
      <c r="H129" s="113"/>
      <c r="I129" s="113"/>
      <c r="J129" s="113"/>
      <c r="K129" s="113"/>
      <c r="L129" s="113"/>
      <c r="M129" s="113"/>
      <c r="N129" s="113"/>
      <c r="O129" s="113"/>
      <c r="P129" s="113"/>
      <c r="Q129" s="113"/>
      <c r="R129" s="113"/>
      <c r="S129" s="113"/>
      <c r="T129" s="113"/>
      <c r="U129" s="113"/>
      <c r="V129" s="113"/>
      <c r="W129" s="113"/>
      <c r="X129" s="113"/>
      <c r="Y129" s="113"/>
      <c r="Z129" s="113"/>
    </row>
    <row r="130" spans="3:26">
      <c r="C130" s="113"/>
      <c r="D130" s="113"/>
      <c r="E130" s="113"/>
      <c r="F130" s="113"/>
      <c r="G130" s="113"/>
      <c r="H130" s="113"/>
      <c r="I130" s="113"/>
      <c r="J130" s="113"/>
      <c r="K130" s="113"/>
      <c r="L130" s="113"/>
      <c r="M130" s="113"/>
      <c r="N130" s="113"/>
      <c r="O130" s="113"/>
      <c r="P130" s="113"/>
      <c r="Q130" s="113"/>
      <c r="R130" s="113"/>
      <c r="S130" s="113"/>
      <c r="T130" s="113"/>
      <c r="U130" s="113"/>
      <c r="V130" s="113"/>
      <c r="W130" s="113"/>
      <c r="X130" s="113"/>
      <c r="Y130" s="113"/>
      <c r="Z130" s="113"/>
    </row>
    <row r="131" spans="3:26">
      <c r="C131" s="113"/>
      <c r="D131" s="113"/>
      <c r="E131" s="113"/>
      <c r="F131" s="113"/>
      <c r="G131" s="113"/>
      <c r="H131" s="113"/>
      <c r="I131" s="113"/>
      <c r="J131" s="113"/>
      <c r="K131" s="113"/>
      <c r="L131" s="113"/>
      <c r="M131" s="113"/>
      <c r="N131" s="113"/>
      <c r="O131" s="113"/>
      <c r="P131" s="113"/>
      <c r="Q131" s="113"/>
      <c r="R131" s="113"/>
      <c r="S131" s="113"/>
      <c r="T131" s="113"/>
      <c r="U131" s="113"/>
      <c r="V131" s="113"/>
      <c r="W131" s="113"/>
      <c r="X131" s="113"/>
      <c r="Y131" s="113"/>
      <c r="Z131" s="113"/>
    </row>
    <row r="132" spans="3:26">
      <c r="C132" s="113"/>
      <c r="D132" s="113"/>
      <c r="E132" s="113"/>
      <c r="F132" s="113"/>
      <c r="G132" s="113"/>
      <c r="H132" s="113"/>
      <c r="I132" s="113"/>
      <c r="J132" s="113"/>
      <c r="K132" s="113"/>
      <c r="L132" s="113"/>
      <c r="M132" s="113"/>
      <c r="N132" s="113"/>
      <c r="O132" s="113"/>
      <c r="P132" s="113"/>
      <c r="Q132" s="113"/>
      <c r="R132" s="113"/>
      <c r="S132" s="113"/>
      <c r="T132" s="113"/>
      <c r="U132" s="113"/>
      <c r="V132" s="113"/>
      <c r="W132" s="113"/>
      <c r="X132" s="113"/>
      <c r="Y132" s="113"/>
      <c r="Z132" s="113"/>
    </row>
    <row r="133" spans="3:26">
      <c r="C133" s="113"/>
      <c r="D133" s="113"/>
      <c r="E133" s="113"/>
      <c r="F133" s="113"/>
      <c r="G133" s="113"/>
      <c r="H133" s="113"/>
      <c r="I133" s="113"/>
      <c r="J133" s="113"/>
      <c r="K133" s="113"/>
      <c r="L133" s="113"/>
      <c r="M133" s="113"/>
      <c r="N133" s="113"/>
      <c r="O133" s="113"/>
      <c r="P133" s="113"/>
      <c r="Q133" s="113"/>
      <c r="R133" s="113"/>
      <c r="S133" s="113"/>
      <c r="T133" s="113"/>
      <c r="U133" s="113"/>
      <c r="V133" s="113"/>
      <c r="W133" s="113"/>
      <c r="X133" s="113"/>
      <c r="Y133" s="113"/>
      <c r="Z133" s="113"/>
    </row>
    <row r="134" spans="3:26">
      <c r="C134" s="113"/>
      <c r="D134" s="113"/>
      <c r="E134" s="113"/>
      <c r="F134" s="113"/>
      <c r="G134" s="113"/>
      <c r="H134" s="113"/>
      <c r="I134" s="113"/>
      <c r="J134" s="113"/>
      <c r="K134" s="113"/>
      <c r="L134" s="113"/>
      <c r="M134" s="113"/>
      <c r="N134" s="113"/>
      <c r="O134" s="113"/>
      <c r="P134" s="113"/>
      <c r="Q134" s="113"/>
      <c r="R134" s="113"/>
      <c r="S134" s="113"/>
      <c r="T134" s="113"/>
      <c r="U134" s="113"/>
      <c r="V134" s="113"/>
      <c r="W134" s="113"/>
      <c r="X134" s="113"/>
      <c r="Y134" s="113"/>
      <c r="Z134" s="113"/>
    </row>
    <row r="135" spans="3:26">
      <c r="C135" s="113"/>
      <c r="D135" s="113"/>
      <c r="E135" s="113"/>
      <c r="F135" s="113"/>
      <c r="G135" s="113"/>
      <c r="H135" s="113"/>
      <c r="I135" s="113"/>
      <c r="J135" s="113"/>
      <c r="K135" s="113"/>
      <c r="L135" s="113"/>
      <c r="M135" s="113"/>
      <c r="N135" s="113"/>
      <c r="O135" s="113"/>
      <c r="P135" s="113"/>
      <c r="Q135" s="113"/>
      <c r="R135" s="113"/>
      <c r="S135" s="113"/>
      <c r="T135" s="113"/>
      <c r="U135" s="113"/>
      <c r="V135" s="113"/>
      <c r="W135" s="113"/>
      <c r="X135" s="113"/>
      <c r="Y135" s="113"/>
      <c r="Z135" s="113"/>
    </row>
    <row r="136" spans="3:26">
      <c r="C136" s="113"/>
      <c r="D136" s="113"/>
      <c r="E136" s="113"/>
      <c r="F136" s="113"/>
      <c r="G136" s="113"/>
      <c r="H136" s="113"/>
      <c r="I136" s="113"/>
      <c r="J136" s="113"/>
      <c r="K136" s="113"/>
      <c r="L136" s="113"/>
      <c r="M136" s="113"/>
      <c r="N136" s="113"/>
      <c r="O136" s="113"/>
      <c r="P136" s="113"/>
      <c r="Q136" s="113"/>
      <c r="R136" s="113"/>
      <c r="S136" s="113"/>
      <c r="T136" s="113"/>
      <c r="U136" s="113"/>
      <c r="V136" s="113"/>
      <c r="W136" s="113"/>
      <c r="X136" s="113"/>
      <c r="Y136" s="113"/>
      <c r="Z136" s="113"/>
    </row>
    <row r="137" spans="3:26">
      <c r="C137" s="113"/>
      <c r="D137" s="113"/>
      <c r="E137" s="113"/>
      <c r="F137" s="113"/>
      <c r="G137" s="113"/>
      <c r="H137" s="113"/>
      <c r="I137" s="113"/>
      <c r="J137" s="113"/>
      <c r="K137" s="113"/>
      <c r="L137" s="113"/>
      <c r="M137" s="113"/>
      <c r="N137" s="113"/>
      <c r="O137" s="113"/>
      <c r="P137" s="113"/>
      <c r="Q137" s="113"/>
      <c r="R137" s="113"/>
      <c r="S137" s="113"/>
      <c r="T137" s="113"/>
      <c r="U137" s="113"/>
      <c r="V137" s="113"/>
      <c r="W137" s="113"/>
      <c r="X137" s="113"/>
      <c r="Y137" s="113"/>
      <c r="Z137" s="113"/>
    </row>
    <row r="138" spans="3:26">
      <c r="C138" s="113"/>
      <c r="D138" s="113"/>
      <c r="E138" s="113"/>
      <c r="F138" s="113"/>
      <c r="G138" s="113"/>
      <c r="H138" s="113"/>
      <c r="I138" s="113"/>
      <c r="J138" s="113"/>
      <c r="K138" s="113"/>
      <c r="L138" s="113"/>
      <c r="M138" s="113"/>
      <c r="N138" s="113"/>
      <c r="O138" s="113"/>
      <c r="P138" s="113"/>
      <c r="Q138" s="113"/>
      <c r="R138" s="113"/>
      <c r="S138" s="113"/>
      <c r="T138" s="113"/>
      <c r="U138" s="113"/>
      <c r="V138" s="113"/>
      <c r="W138" s="113"/>
      <c r="X138" s="113"/>
      <c r="Y138" s="113"/>
      <c r="Z138" s="113"/>
    </row>
    <row r="139" spans="3:26">
      <c r="C139" s="113"/>
      <c r="D139" s="113"/>
      <c r="E139" s="113"/>
      <c r="F139" s="113"/>
      <c r="G139" s="113"/>
      <c r="H139" s="113"/>
      <c r="I139" s="113"/>
      <c r="J139" s="113"/>
      <c r="K139" s="113"/>
      <c r="L139" s="113"/>
      <c r="M139" s="113"/>
      <c r="N139" s="113"/>
      <c r="O139" s="113"/>
      <c r="P139" s="113"/>
      <c r="Q139" s="113"/>
      <c r="R139" s="113"/>
      <c r="S139" s="113"/>
      <c r="T139" s="113"/>
      <c r="U139" s="113"/>
      <c r="V139" s="113"/>
      <c r="W139" s="113"/>
      <c r="X139" s="113"/>
      <c r="Y139" s="113"/>
      <c r="Z139" s="113"/>
    </row>
    <row r="140" spans="3:26">
      <c r="C140" s="113"/>
      <c r="D140" s="113"/>
      <c r="E140" s="113"/>
      <c r="F140" s="113"/>
      <c r="G140" s="113"/>
      <c r="H140" s="113"/>
      <c r="I140" s="113"/>
      <c r="J140" s="113"/>
      <c r="K140" s="113"/>
      <c r="L140" s="113"/>
      <c r="M140" s="113"/>
      <c r="N140" s="113"/>
      <c r="O140" s="113"/>
      <c r="P140" s="113"/>
      <c r="Q140" s="113"/>
      <c r="R140" s="113"/>
      <c r="S140" s="113"/>
      <c r="T140" s="113"/>
      <c r="U140" s="113"/>
      <c r="V140" s="113"/>
      <c r="W140" s="113"/>
      <c r="X140" s="113"/>
      <c r="Y140" s="113"/>
      <c r="Z140" s="113"/>
    </row>
    <row r="141" spans="3:26">
      <c r="C141" s="113"/>
      <c r="D141" s="113"/>
      <c r="E141" s="113"/>
      <c r="F141" s="113"/>
      <c r="G141" s="113"/>
      <c r="H141" s="113"/>
      <c r="I141" s="113"/>
      <c r="J141" s="113"/>
      <c r="K141" s="113"/>
      <c r="L141" s="113"/>
      <c r="M141" s="113"/>
      <c r="N141" s="113"/>
      <c r="O141" s="113"/>
      <c r="P141" s="113"/>
      <c r="Q141" s="113"/>
      <c r="R141" s="113"/>
      <c r="S141" s="113"/>
      <c r="T141" s="113"/>
      <c r="U141" s="113"/>
      <c r="V141" s="113"/>
      <c r="W141" s="113"/>
      <c r="X141" s="113"/>
      <c r="Y141" s="113"/>
      <c r="Z141" s="113"/>
    </row>
    <row r="142" spans="3:26">
      <c r="C142" s="113"/>
      <c r="D142" s="113"/>
      <c r="E142" s="113"/>
      <c r="F142" s="113"/>
      <c r="G142" s="113"/>
      <c r="H142" s="113"/>
      <c r="I142" s="113"/>
      <c r="J142" s="113"/>
      <c r="K142" s="113"/>
      <c r="L142" s="113"/>
      <c r="M142" s="113"/>
      <c r="N142" s="113"/>
      <c r="O142" s="113"/>
      <c r="P142" s="113"/>
      <c r="Q142" s="113"/>
      <c r="R142" s="113"/>
      <c r="S142" s="113"/>
      <c r="T142" s="113"/>
      <c r="U142" s="113"/>
      <c r="V142" s="113"/>
      <c r="W142" s="113"/>
      <c r="X142" s="113"/>
      <c r="Y142" s="113"/>
      <c r="Z142" s="113"/>
    </row>
    <row r="143" spans="3:26">
      <c r="C143" s="113"/>
      <c r="D143" s="113"/>
      <c r="E143" s="113"/>
      <c r="F143" s="113"/>
      <c r="G143" s="113"/>
      <c r="H143" s="113"/>
      <c r="I143" s="113"/>
      <c r="J143" s="113"/>
      <c r="K143" s="113"/>
      <c r="L143" s="113"/>
      <c r="M143" s="113"/>
      <c r="N143" s="113"/>
      <c r="O143" s="113"/>
      <c r="P143" s="113"/>
      <c r="Q143" s="113"/>
      <c r="R143" s="113"/>
      <c r="S143" s="113"/>
      <c r="T143" s="113"/>
      <c r="U143" s="113"/>
      <c r="V143" s="113"/>
      <c r="W143" s="113"/>
      <c r="X143" s="113"/>
      <c r="Y143" s="113"/>
      <c r="Z143" s="113"/>
    </row>
    <row r="144" spans="3:26">
      <c r="C144" s="113"/>
      <c r="D144" s="113"/>
      <c r="E144" s="113"/>
      <c r="F144" s="113"/>
      <c r="G144" s="113"/>
      <c r="H144" s="113"/>
      <c r="I144" s="113"/>
      <c r="J144" s="113"/>
      <c r="K144" s="113"/>
      <c r="L144" s="113"/>
      <c r="M144" s="113"/>
      <c r="N144" s="113"/>
      <c r="O144" s="113"/>
      <c r="P144" s="113"/>
      <c r="Q144" s="113"/>
      <c r="R144" s="113"/>
      <c r="S144" s="113"/>
      <c r="T144" s="113"/>
      <c r="U144" s="113"/>
      <c r="V144" s="113"/>
      <c r="W144" s="113"/>
      <c r="X144" s="113"/>
      <c r="Y144" s="113"/>
      <c r="Z144" s="113"/>
    </row>
    <row r="145" spans="3:26">
      <c r="C145" s="113"/>
      <c r="D145" s="113"/>
      <c r="E145" s="113"/>
      <c r="F145" s="113"/>
      <c r="G145" s="113"/>
      <c r="H145" s="113"/>
      <c r="I145" s="113"/>
      <c r="J145" s="113"/>
      <c r="K145" s="113"/>
      <c r="L145" s="113"/>
      <c r="M145" s="113"/>
      <c r="N145" s="113"/>
      <c r="O145" s="113"/>
      <c r="P145" s="113"/>
      <c r="Q145" s="113"/>
      <c r="R145" s="113"/>
      <c r="S145" s="113"/>
      <c r="T145" s="113"/>
      <c r="U145" s="113"/>
      <c r="V145" s="113"/>
      <c r="W145" s="113"/>
      <c r="X145" s="113"/>
      <c r="Y145" s="113"/>
      <c r="Z145" s="113"/>
    </row>
    <row r="146" spans="3:26">
      <c r="C146" s="113"/>
      <c r="D146" s="113"/>
      <c r="E146" s="113"/>
      <c r="F146" s="113"/>
      <c r="G146" s="113"/>
      <c r="H146" s="113"/>
      <c r="I146" s="113"/>
      <c r="J146" s="113"/>
      <c r="K146" s="113"/>
      <c r="L146" s="113"/>
      <c r="M146" s="113"/>
      <c r="N146" s="113"/>
      <c r="O146" s="113"/>
      <c r="P146" s="113"/>
      <c r="Q146" s="113"/>
      <c r="R146" s="113"/>
      <c r="S146" s="113"/>
      <c r="T146" s="113"/>
      <c r="U146" s="113"/>
      <c r="V146" s="113"/>
      <c r="W146" s="113"/>
      <c r="X146" s="113"/>
      <c r="Y146" s="113"/>
      <c r="Z146" s="113"/>
    </row>
    <row r="147" spans="3:26">
      <c r="C147" s="113"/>
      <c r="D147" s="113"/>
      <c r="E147" s="113"/>
      <c r="F147" s="113"/>
      <c r="G147" s="113"/>
      <c r="H147" s="113"/>
      <c r="I147" s="113"/>
      <c r="J147" s="113"/>
      <c r="K147" s="113"/>
      <c r="L147" s="113"/>
      <c r="M147" s="113"/>
      <c r="N147" s="113"/>
      <c r="O147" s="113"/>
      <c r="P147" s="113"/>
      <c r="Q147" s="113"/>
      <c r="R147" s="113"/>
      <c r="S147" s="113"/>
      <c r="T147" s="113"/>
      <c r="U147" s="113"/>
      <c r="V147" s="113"/>
      <c r="W147" s="113"/>
      <c r="X147" s="113"/>
      <c r="Y147" s="113"/>
      <c r="Z147" s="113"/>
    </row>
    <row r="148" spans="3:26">
      <c r="C148" s="113"/>
      <c r="D148" s="113"/>
      <c r="E148" s="113"/>
      <c r="F148" s="113"/>
      <c r="G148" s="113"/>
      <c r="H148" s="113"/>
      <c r="I148" s="113"/>
      <c r="J148" s="113"/>
      <c r="K148" s="113"/>
      <c r="L148" s="113"/>
      <c r="M148" s="113"/>
      <c r="N148" s="113"/>
      <c r="O148" s="113"/>
      <c r="P148" s="113"/>
      <c r="Q148" s="113"/>
      <c r="R148" s="113"/>
      <c r="S148" s="113"/>
      <c r="T148" s="113"/>
      <c r="U148" s="113"/>
      <c r="V148" s="113"/>
      <c r="W148" s="113"/>
      <c r="X148" s="113"/>
      <c r="Y148" s="113"/>
      <c r="Z148" s="113"/>
    </row>
    <row r="149" spans="3:26">
      <c r="C149" s="113"/>
      <c r="D149" s="113"/>
      <c r="E149" s="113"/>
      <c r="F149" s="113"/>
      <c r="G149" s="113"/>
      <c r="H149" s="113"/>
      <c r="I149" s="113"/>
      <c r="J149" s="113"/>
      <c r="K149" s="113"/>
      <c r="L149" s="113"/>
      <c r="M149" s="113"/>
      <c r="N149" s="113"/>
      <c r="O149" s="113"/>
      <c r="P149" s="113"/>
      <c r="Q149" s="113"/>
      <c r="R149" s="113"/>
      <c r="S149" s="113"/>
      <c r="T149" s="113"/>
      <c r="U149" s="113"/>
      <c r="V149" s="113"/>
      <c r="W149" s="113"/>
      <c r="X149" s="113"/>
      <c r="Y149" s="113"/>
      <c r="Z149" s="113"/>
    </row>
    <row r="150" spans="3:26">
      <c r="C150" s="113"/>
      <c r="D150" s="113"/>
      <c r="E150" s="113"/>
      <c r="F150" s="113"/>
      <c r="G150" s="113"/>
      <c r="H150" s="113"/>
      <c r="I150" s="113"/>
      <c r="J150" s="113"/>
      <c r="K150" s="113"/>
      <c r="L150" s="113"/>
      <c r="M150" s="113"/>
      <c r="N150" s="113"/>
      <c r="O150" s="113"/>
      <c r="P150" s="113"/>
      <c r="Q150" s="113"/>
      <c r="R150" s="113"/>
      <c r="S150" s="113"/>
      <c r="T150" s="113"/>
      <c r="U150" s="113"/>
      <c r="V150" s="113"/>
      <c r="W150" s="113"/>
      <c r="X150" s="113"/>
      <c r="Y150" s="113"/>
      <c r="Z150" s="113"/>
    </row>
    <row r="151" spans="3:26">
      <c r="C151" s="113"/>
      <c r="D151" s="113"/>
      <c r="E151" s="113"/>
      <c r="F151" s="113"/>
      <c r="G151" s="113"/>
      <c r="H151" s="113"/>
      <c r="I151" s="113"/>
      <c r="J151" s="113"/>
      <c r="K151" s="113"/>
      <c r="L151" s="113"/>
      <c r="M151" s="113"/>
      <c r="N151" s="113"/>
      <c r="O151" s="113"/>
      <c r="P151" s="113"/>
      <c r="Q151" s="113"/>
      <c r="R151" s="113"/>
      <c r="S151" s="113"/>
      <c r="T151" s="113"/>
      <c r="U151" s="113"/>
      <c r="V151" s="113"/>
      <c r="W151" s="113"/>
      <c r="X151" s="113"/>
      <c r="Y151" s="113"/>
      <c r="Z151" s="113"/>
    </row>
    <row r="152" spans="3:26">
      <c r="C152" s="113"/>
      <c r="D152" s="113"/>
      <c r="E152" s="113"/>
      <c r="F152" s="113"/>
      <c r="G152" s="113"/>
      <c r="H152" s="113"/>
      <c r="I152" s="113"/>
      <c r="J152" s="113"/>
      <c r="K152" s="113"/>
      <c r="L152" s="113"/>
      <c r="M152" s="113"/>
      <c r="N152" s="113"/>
      <c r="O152" s="113"/>
      <c r="P152" s="113"/>
      <c r="Q152" s="113"/>
      <c r="R152" s="113"/>
      <c r="S152" s="113"/>
      <c r="T152" s="113"/>
      <c r="U152" s="113"/>
      <c r="V152" s="113"/>
      <c r="W152" s="113"/>
      <c r="X152" s="113"/>
      <c r="Y152" s="113"/>
      <c r="Z152" s="113"/>
    </row>
    <row r="153" spans="3:26">
      <c r="C153" s="113"/>
      <c r="D153" s="113"/>
      <c r="E153" s="113"/>
      <c r="F153" s="113"/>
      <c r="G153" s="113"/>
      <c r="H153" s="113"/>
      <c r="I153" s="113"/>
      <c r="J153" s="113"/>
      <c r="K153" s="113"/>
      <c r="L153" s="113"/>
      <c r="M153" s="113"/>
      <c r="N153" s="113"/>
      <c r="O153" s="113"/>
      <c r="P153" s="113"/>
      <c r="Q153" s="113"/>
      <c r="R153" s="113"/>
      <c r="S153" s="113"/>
      <c r="T153" s="113"/>
      <c r="U153" s="113"/>
      <c r="V153" s="113"/>
      <c r="W153" s="113"/>
      <c r="X153" s="113"/>
      <c r="Y153" s="113"/>
      <c r="Z153" s="113"/>
    </row>
    <row r="154" spans="3:26">
      <c r="C154" s="113"/>
      <c r="D154" s="113"/>
      <c r="E154" s="113"/>
      <c r="F154" s="113"/>
      <c r="G154" s="113"/>
      <c r="H154" s="113"/>
      <c r="I154" s="113"/>
      <c r="J154" s="113"/>
      <c r="K154" s="113"/>
      <c r="L154" s="113"/>
      <c r="M154" s="113"/>
      <c r="N154" s="113"/>
      <c r="O154" s="113"/>
      <c r="P154" s="113"/>
      <c r="Q154" s="113"/>
      <c r="R154" s="113"/>
      <c r="S154" s="113"/>
      <c r="T154" s="113"/>
      <c r="U154" s="113"/>
      <c r="V154" s="113"/>
      <c r="W154" s="113"/>
      <c r="X154" s="113"/>
      <c r="Y154" s="113"/>
      <c r="Z154" s="113"/>
    </row>
    <row r="155" spans="3:26">
      <c r="C155" s="113"/>
      <c r="D155" s="113"/>
      <c r="E155" s="113"/>
      <c r="F155" s="113"/>
      <c r="G155" s="113"/>
      <c r="H155" s="113"/>
      <c r="I155" s="113"/>
      <c r="J155" s="113"/>
      <c r="K155" s="113"/>
      <c r="L155" s="113"/>
      <c r="M155" s="113"/>
      <c r="N155" s="113"/>
      <c r="O155" s="113"/>
      <c r="P155" s="113"/>
      <c r="Q155" s="113"/>
      <c r="R155" s="113"/>
      <c r="S155" s="113"/>
      <c r="T155" s="113"/>
      <c r="U155" s="113"/>
      <c r="V155" s="113"/>
      <c r="W155" s="113"/>
      <c r="X155" s="113"/>
      <c r="Y155" s="113"/>
      <c r="Z155" s="113"/>
    </row>
    <row r="156" spans="3:26">
      <c r="C156" s="113"/>
      <c r="D156" s="113"/>
      <c r="E156" s="113"/>
      <c r="F156" s="113"/>
      <c r="G156" s="113"/>
      <c r="H156" s="113"/>
      <c r="I156" s="113"/>
      <c r="J156" s="113"/>
      <c r="K156" s="113"/>
      <c r="L156" s="113"/>
      <c r="M156" s="113"/>
      <c r="N156" s="113"/>
      <c r="O156" s="113"/>
      <c r="P156" s="113"/>
      <c r="Q156" s="113"/>
      <c r="R156" s="113"/>
      <c r="S156" s="113"/>
      <c r="T156" s="113"/>
      <c r="U156" s="113"/>
      <c r="V156" s="113"/>
      <c r="W156" s="113"/>
      <c r="X156" s="113"/>
      <c r="Y156" s="113"/>
      <c r="Z156" s="113"/>
    </row>
    <row r="157" spans="3:26">
      <c r="C157" s="113"/>
      <c r="D157" s="113"/>
      <c r="E157" s="113"/>
      <c r="F157" s="113"/>
      <c r="G157" s="113"/>
      <c r="H157" s="113"/>
      <c r="I157" s="113"/>
      <c r="J157" s="113"/>
      <c r="K157" s="113"/>
      <c r="L157" s="113"/>
      <c r="M157" s="113"/>
      <c r="N157" s="113"/>
      <c r="O157" s="113"/>
      <c r="P157" s="113"/>
      <c r="Q157" s="113"/>
      <c r="R157" s="113"/>
      <c r="S157" s="113"/>
      <c r="T157" s="113"/>
      <c r="U157" s="113"/>
      <c r="V157" s="113"/>
      <c r="W157" s="113"/>
      <c r="X157" s="113"/>
      <c r="Y157" s="113"/>
      <c r="Z157" s="113"/>
    </row>
    <row r="158" spans="3:26">
      <c r="C158" s="113"/>
      <c r="D158" s="113"/>
      <c r="E158" s="113"/>
      <c r="F158" s="113"/>
      <c r="G158" s="113"/>
      <c r="H158" s="113"/>
      <c r="I158" s="113"/>
      <c r="J158" s="113"/>
      <c r="K158" s="113"/>
      <c r="L158" s="113"/>
      <c r="M158" s="113"/>
      <c r="N158" s="113"/>
      <c r="O158" s="113"/>
      <c r="P158" s="113"/>
      <c r="Q158" s="113"/>
      <c r="R158" s="113"/>
      <c r="S158" s="113"/>
      <c r="T158" s="113"/>
      <c r="U158" s="113"/>
      <c r="V158" s="113"/>
      <c r="W158" s="113"/>
      <c r="X158" s="113"/>
      <c r="Y158" s="113"/>
      <c r="Z158" s="113"/>
    </row>
    <row r="159" spans="3:26">
      <c r="C159" s="113"/>
      <c r="D159" s="113"/>
      <c r="E159" s="113"/>
      <c r="F159" s="113"/>
      <c r="G159" s="113"/>
      <c r="H159" s="113"/>
      <c r="I159" s="113"/>
      <c r="J159" s="113"/>
      <c r="K159" s="113"/>
      <c r="L159" s="113"/>
      <c r="M159" s="113"/>
      <c r="N159" s="113"/>
      <c r="O159" s="113"/>
      <c r="P159" s="113"/>
      <c r="Q159" s="113"/>
      <c r="R159" s="113"/>
      <c r="S159" s="113"/>
      <c r="T159" s="113"/>
      <c r="U159" s="113"/>
      <c r="V159" s="113"/>
      <c r="W159" s="113"/>
      <c r="X159" s="113"/>
      <c r="Y159" s="113"/>
      <c r="Z159" s="113"/>
    </row>
    <row r="160" spans="3:26">
      <c r="C160" s="113"/>
      <c r="D160" s="113"/>
      <c r="E160" s="113"/>
      <c r="F160" s="113"/>
      <c r="G160" s="113"/>
      <c r="H160" s="113"/>
      <c r="I160" s="113"/>
      <c r="J160" s="113"/>
      <c r="K160" s="113"/>
      <c r="L160" s="113"/>
      <c r="M160" s="113"/>
      <c r="N160" s="113"/>
      <c r="O160" s="113"/>
      <c r="P160" s="113"/>
      <c r="Q160" s="113"/>
      <c r="R160" s="113"/>
      <c r="S160" s="113"/>
      <c r="T160" s="113"/>
      <c r="U160" s="113"/>
      <c r="V160" s="113"/>
      <c r="W160" s="113"/>
      <c r="X160" s="113"/>
      <c r="Y160" s="113"/>
      <c r="Z160" s="113"/>
    </row>
    <row r="161" spans="3:26">
      <c r="C161" s="113"/>
      <c r="D161" s="113"/>
      <c r="E161" s="113"/>
      <c r="F161" s="113"/>
      <c r="G161" s="113"/>
      <c r="H161" s="113"/>
      <c r="I161" s="113"/>
      <c r="J161" s="113"/>
      <c r="K161" s="113"/>
      <c r="L161" s="113"/>
      <c r="M161" s="113"/>
      <c r="N161" s="113"/>
      <c r="O161" s="113"/>
      <c r="P161" s="113"/>
      <c r="Q161" s="113"/>
      <c r="R161" s="113"/>
      <c r="S161" s="113"/>
      <c r="T161" s="113"/>
      <c r="U161" s="113"/>
      <c r="V161" s="113"/>
      <c r="W161" s="113"/>
      <c r="X161" s="113"/>
      <c r="Y161" s="113"/>
      <c r="Z161" s="113"/>
    </row>
    <row r="162" spans="3:26">
      <c r="C162" s="113"/>
      <c r="D162" s="113"/>
      <c r="E162" s="113"/>
      <c r="F162" s="113"/>
      <c r="G162" s="113"/>
      <c r="H162" s="113"/>
      <c r="I162" s="113"/>
      <c r="J162" s="113"/>
      <c r="K162" s="113"/>
      <c r="L162" s="113"/>
      <c r="M162" s="113"/>
      <c r="N162" s="113"/>
      <c r="O162" s="113"/>
      <c r="P162" s="113"/>
      <c r="Q162" s="113"/>
      <c r="R162" s="113"/>
      <c r="S162" s="113"/>
      <c r="T162" s="113"/>
      <c r="U162" s="113"/>
      <c r="V162" s="113"/>
      <c r="W162" s="113"/>
      <c r="X162" s="113"/>
      <c r="Y162" s="113"/>
      <c r="Z162" s="113"/>
    </row>
    <row r="163" spans="3:26">
      <c r="C163" s="113"/>
      <c r="D163" s="113"/>
      <c r="E163" s="113"/>
      <c r="F163" s="113"/>
      <c r="G163" s="113"/>
      <c r="H163" s="113"/>
      <c r="I163" s="113"/>
      <c r="J163" s="113"/>
      <c r="K163" s="113"/>
      <c r="L163" s="113"/>
      <c r="M163" s="113"/>
      <c r="N163" s="113"/>
      <c r="O163" s="113"/>
      <c r="P163" s="113"/>
      <c r="Q163" s="113"/>
      <c r="R163" s="113"/>
      <c r="S163" s="113"/>
      <c r="T163" s="113"/>
      <c r="U163" s="113"/>
      <c r="V163" s="113"/>
      <c r="W163" s="113"/>
      <c r="X163" s="113"/>
      <c r="Y163" s="113"/>
      <c r="Z163" s="113"/>
    </row>
    <row r="164" spans="3:26">
      <c r="C164" s="113"/>
      <c r="D164" s="113"/>
      <c r="E164" s="113"/>
      <c r="F164" s="113"/>
      <c r="G164" s="113"/>
      <c r="H164" s="113"/>
      <c r="I164" s="113"/>
      <c r="J164" s="113"/>
      <c r="K164" s="113"/>
      <c r="L164" s="113"/>
      <c r="M164" s="113"/>
      <c r="N164" s="113"/>
      <c r="O164" s="113"/>
      <c r="P164" s="113"/>
      <c r="Q164" s="113"/>
      <c r="R164" s="113"/>
      <c r="S164" s="113"/>
      <c r="T164" s="113"/>
      <c r="U164" s="113"/>
      <c r="V164" s="113"/>
      <c r="W164" s="113"/>
      <c r="X164" s="113"/>
      <c r="Y164" s="113"/>
      <c r="Z164" s="113"/>
    </row>
    <row r="165" spans="3:26">
      <c r="C165" s="113"/>
      <c r="D165" s="113"/>
      <c r="E165" s="113"/>
      <c r="F165" s="113"/>
      <c r="G165" s="113"/>
      <c r="H165" s="113"/>
      <c r="I165" s="113"/>
      <c r="J165" s="113"/>
      <c r="K165" s="113"/>
      <c r="L165" s="113"/>
      <c r="M165" s="113"/>
      <c r="N165" s="113"/>
      <c r="O165" s="113"/>
      <c r="P165" s="113"/>
      <c r="Q165" s="113"/>
      <c r="R165" s="113"/>
      <c r="S165" s="113"/>
      <c r="T165" s="113"/>
      <c r="U165" s="113"/>
      <c r="V165" s="113"/>
      <c r="W165" s="113"/>
      <c r="X165" s="113"/>
      <c r="Y165" s="113"/>
      <c r="Z165" s="113"/>
    </row>
    <row r="166" spans="3:26">
      <c r="C166" s="113"/>
      <c r="D166" s="113"/>
      <c r="E166" s="113"/>
      <c r="F166" s="113"/>
      <c r="G166" s="113"/>
      <c r="H166" s="113"/>
      <c r="I166" s="113"/>
      <c r="J166" s="113"/>
      <c r="K166" s="113"/>
      <c r="L166" s="113"/>
      <c r="M166" s="113"/>
      <c r="N166" s="113"/>
      <c r="O166" s="113"/>
      <c r="P166" s="113"/>
      <c r="Q166" s="113"/>
      <c r="R166" s="113"/>
      <c r="S166" s="113"/>
      <c r="T166" s="113"/>
      <c r="U166" s="113"/>
      <c r="V166" s="113"/>
      <c r="W166" s="113"/>
      <c r="X166" s="113"/>
      <c r="Y166" s="113"/>
      <c r="Z166" s="113"/>
    </row>
    <row r="167" spans="3:26">
      <c r="C167" s="113"/>
      <c r="D167" s="113"/>
      <c r="E167" s="113"/>
      <c r="F167" s="113"/>
      <c r="G167" s="113"/>
      <c r="H167" s="113"/>
      <c r="I167" s="113"/>
      <c r="J167" s="113"/>
      <c r="K167" s="113"/>
      <c r="L167" s="113"/>
      <c r="M167" s="113"/>
      <c r="N167" s="113"/>
      <c r="O167" s="113"/>
      <c r="P167" s="113"/>
      <c r="Q167" s="113"/>
      <c r="R167" s="113"/>
      <c r="S167" s="113"/>
      <c r="T167" s="113"/>
      <c r="U167" s="113"/>
      <c r="V167" s="113"/>
      <c r="W167" s="113"/>
      <c r="X167" s="113"/>
      <c r="Y167" s="113"/>
      <c r="Z167" s="113"/>
    </row>
    <row r="168" spans="3:26">
      <c r="C168" s="113"/>
      <c r="D168" s="113"/>
      <c r="E168" s="113"/>
      <c r="F168" s="113"/>
      <c r="G168" s="113"/>
      <c r="H168" s="113"/>
      <c r="I168" s="113"/>
      <c r="J168" s="113"/>
      <c r="K168" s="113"/>
      <c r="L168" s="113"/>
      <c r="M168" s="113"/>
      <c r="N168" s="113"/>
      <c r="O168" s="113"/>
      <c r="P168" s="113"/>
      <c r="Q168" s="113"/>
      <c r="R168" s="113"/>
      <c r="S168" s="113"/>
      <c r="T168" s="113"/>
      <c r="U168" s="113"/>
      <c r="V168" s="113"/>
      <c r="W168" s="113"/>
      <c r="X168" s="113"/>
      <c r="Y168" s="113"/>
      <c r="Z168" s="113"/>
    </row>
    <row r="169" spans="3:26">
      <c r="C169" s="113"/>
      <c r="D169" s="113"/>
      <c r="E169" s="113"/>
      <c r="F169" s="113"/>
      <c r="G169" s="113"/>
      <c r="H169" s="113"/>
      <c r="I169" s="113"/>
      <c r="J169" s="113"/>
      <c r="K169" s="113"/>
      <c r="L169" s="113"/>
      <c r="M169" s="113"/>
      <c r="N169" s="113"/>
      <c r="O169" s="113"/>
      <c r="P169" s="113"/>
      <c r="Q169" s="113"/>
      <c r="R169" s="113"/>
      <c r="S169" s="113"/>
      <c r="T169" s="113"/>
      <c r="U169" s="113"/>
      <c r="V169" s="113"/>
      <c r="W169" s="113"/>
      <c r="X169" s="113"/>
      <c r="Y169" s="113"/>
      <c r="Z169" s="113"/>
    </row>
    <row r="170" spans="3:26">
      <c r="C170" s="113"/>
      <c r="D170" s="113"/>
      <c r="E170" s="113"/>
      <c r="F170" s="113"/>
      <c r="G170" s="113"/>
      <c r="H170" s="113"/>
      <c r="I170" s="113"/>
      <c r="J170" s="113"/>
      <c r="K170" s="113"/>
      <c r="L170" s="113"/>
      <c r="M170" s="113"/>
      <c r="N170" s="113"/>
      <c r="O170" s="113"/>
      <c r="P170" s="113"/>
      <c r="Q170" s="113"/>
      <c r="R170" s="113"/>
      <c r="S170" s="113"/>
      <c r="T170" s="113"/>
      <c r="U170" s="113"/>
      <c r="V170" s="113"/>
      <c r="W170" s="113"/>
      <c r="X170" s="113"/>
      <c r="Y170" s="113"/>
      <c r="Z170" s="113"/>
    </row>
    <row r="171" spans="3:26">
      <c r="C171" s="113"/>
      <c r="D171" s="113"/>
      <c r="E171" s="113"/>
      <c r="F171" s="113"/>
      <c r="G171" s="113"/>
      <c r="H171" s="113"/>
      <c r="I171" s="113"/>
      <c r="J171" s="113"/>
      <c r="K171" s="113"/>
      <c r="L171" s="113"/>
      <c r="M171" s="113"/>
      <c r="N171" s="113"/>
      <c r="O171" s="113"/>
      <c r="P171" s="113"/>
      <c r="Q171" s="113"/>
      <c r="R171" s="113"/>
      <c r="S171" s="113"/>
      <c r="T171" s="113"/>
      <c r="U171" s="113"/>
      <c r="V171" s="113"/>
      <c r="W171" s="113"/>
      <c r="X171" s="113"/>
      <c r="Y171" s="113"/>
      <c r="Z171" s="113"/>
    </row>
    <row r="172" spans="3:26">
      <c r="C172" s="113"/>
      <c r="D172" s="113"/>
      <c r="E172" s="113"/>
      <c r="F172" s="113"/>
      <c r="G172" s="113"/>
      <c r="H172" s="113"/>
      <c r="I172" s="113"/>
      <c r="J172" s="113"/>
      <c r="K172" s="113"/>
      <c r="L172" s="113"/>
      <c r="M172" s="113"/>
      <c r="N172" s="113"/>
      <c r="O172" s="113"/>
      <c r="P172" s="113"/>
      <c r="Q172" s="113"/>
      <c r="R172" s="113"/>
      <c r="S172" s="113"/>
      <c r="T172" s="113"/>
      <c r="U172" s="113"/>
      <c r="V172" s="113"/>
      <c r="W172" s="113"/>
      <c r="X172" s="113"/>
      <c r="Y172" s="113"/>
      <c r="Z172" s="113"/>
    </row>
    <row r="173" spans="3:26">
      <c r="C173" s="113"/>
      <c r="D173" s="113"/>
      <c r="E173" s="113"/>
      <c r="F173" s="113"/>
      <c r="G173" s="113"/>
      <c r="H173" s="113"/>
      <c r="I173" s="113"/>
      <c r="J173" s="113"/>
      <c r="K173" s="113"/>
      <c r="L173" s="113"/>
      <c r="M173" s="113"/>
      <c r="N173" s="113"/>
      <c r="O173" s="113"/>
      <c r="P173" s="113"/>
      <c r="Q173" s="113"/>
      <c r="R173" s="113"/>
      <c r="S173" s="113"/>
      <c r="T173" s="113"/>
      <c r="U173" s="113"/>
      <c r="V173" s="113"/>
      <c r="W173" s="113"/>
      <c r="X173" s="113"/>
      <c r="Y173" s="113"/>
      <c r="Z173" s="113"/>
    </row>
    <row r="174" spans="3:26">
      <c r="C174" s="113"/>
      <c r="D174" s="113"/>
      <c r="E174" s="113"/>
      <c r="F174" s="113"/>
      <c r="G174" s="113"/>
      <c r="H174" s="113"/>
      <c r="I174" s="113"/>
      <c r="J174" s="113"/>
      <c r="K174" s="113"/>
      <c r="L174" s="113"/>
      <c r="M174" s="113"/>
      <c r="N174" s="113"/>
      <c r="O174" s="113"/>
      <c r="P174" s="113"/>
      <c r="Q174" s="113"/>
      <c r="R174" s="113"/>
      <c r="S174" s="113"/>
      <c r="T174" s="113"/>
      <c r="U174" s="113"/>
      <c r="V174" s="113"/>
      <c r="W174" s="113"/>
      <c r="X174" s="113"/>
      <c r="Y174" s="113"/>
      <c r="Z174" s="113"/>
    </row>
    <row r="175" spans="3:26">
      <c r="C175" s="113"/>
      <c r="D175" s="113"/>
      <c r="E175" s="113"/>
      <c r="F175" s="113"/>
      <c r="G175" s="113"/>
      <c r="H175" s="113"/>
      <c r="I175" s="113"/>
      <c r="J175" s="113"/>
      <c r="K175" s="113"/>
      <c r="L175" s="113"/>
      <c r="M175" s="113"/>
      <c r="N175" s="113"/>
      <c r="O175" s="113"/>
      <c r="P175" s="113"/>
      <c r="Q175" s="113"/>
      <c r="R175" s="113"/>
      <c r="S175" s="113"/>
      <c r="T175" s="113"/>
      <c r="U175" s="113"/>
      <c r="V175" s="113"/>
      <c r="W175" s="113"/>
      <c r="X175" s="113"/>
      <c r="Y175" s="113"/>
      <c r="Z175" s="113"/>
    </row>
    <row r="176" spans="3:26">
      <c r="C176" s="113"/>
      <c r="D176" s="113"/>
      <c r="E176" s="113"/>
      <c r="F176" s="113"/>
      <c r="G176" s="113"/>
      <c r="H176" s="113"/>
      <c r="I176" s="113"/>
      <c r="J176" s="113"/>
      <c r="K176" s="113"/>
      <c r="L176" s="113"/>
      <c r="M176" s="113"/>
      <c r="N176" s="113"/>
      <c r="O176" s="113"/>
      <c r="P176" s="113"/>
      <c r="Q176" s="113"/>
      <c r="R176" s="113"/>
      <c r="S176" s="113"/>
      <c r="T176" s="113"/>
      <c r="U176" s="113"/>
      <c r="V176" s="113"/>
      <c r="W176" s="113"/>
      <c r="X176" s="113"/>
      <c r="Y176" s="113"/>
      <c r="Z176" s="113"/>
    </row>
    <row r="177" spans="3:26">
      <c r="C177" s="113"/>
      <c r="D177" s="113"/>
      <c r="E177" s="113"/>
      <c r="F177" s="113"/>
      <c r="G177" s="113"/>
      <c r="H177" s="113"/>
      <c r="I177" s="113"/>
      <c r="J177" s="113"/>
      <c r="K177" s="113"/>
      <c r="L177" s="113"/>
      <c r="M177" s="113"/>
      <c r="N177" s="113"/>
      <c r="O177" s="113"/>
      <c r="P177" s="113"/>
      <c r="Q177" s="113"/>
      <c r="R177" s="113"/>
      <c r="S177" s="113"/>
      <c r="T177" s="113"/>
      <c r="U177" s="113"/>
      <c r="V177" s="113"/>
      <c r="W177" s="113"/>
      <c r="X177" s="113"/>
      <c r="Y177" s="113"/>
      <c r="Z177" s="113"/>
    </row>
    <row r="178" spans="3:26">
      <c r="C178" s="113"/>
      <c r="D178" s="113"/>
      <c r="E178" s="113"/>
      <c r="F178" s="113"/>
      <c r="G178" s="113"/>
      <c r="H178" s="113"/>
      <c r="I178" s="113"/>
      <c r="J178" s="113"/>
      <c r="K178" s="113"/>
      <c r="L178" s="113"/>
      <c r="M178" s="113"/>
      <c r="N178" s="113"/>
      <c r="O178" s="113"/>
      <c r="P178" s="113"/>
      <c r="Q178" s="113"/>
      <c r="R178" s="113"/>
      <c r="S178" s="113"/>
      <c r="T178" s="113"/>
      <c r="U178" s="113"/>
      <c r="V178" s="113"/>
      <c r="W178" s="113"/>
      <c r="X178" s="113"/>
      <c r="Y178" s="113"/>
      <c r="Z178" s="113"/>
    </row>
    <row r="179" spans="3:26">
      <c r="C179" s="113"/>
      <c r="D179" s="113"/>
      <c r="E179" s="113"/>
      <c r="F179" s="113"/>
      <c r="G179" s="113"/>
      <c r="H179" s="113"/>
      <c r="I179" s="113"/>
      <c r="J179" s="113"/>
      <c r="K179" s="113"/>
      <c r="L179" s="113"/>
      <c r="M179" s="113"/>
      <c r="N179" s="113"/>
      <c r="O179" s="113"/>
      <c r="P179" s="113"/>
      <c r="Q179" s="113"/>
      <c r="R179" s="113"/>
      <c r="S179" s="113"/>
      <c r="T179" s="113"/>
      <c r="U179" s="113"/>
      <c r="V179" s="113"/>
      <c r="W179" s="113"/>
      <c r="X179" s="113"/>
      <c r="Y179" s="113"/>
      <c r="Z179" s="113"/>
    </row>
    <row r="180" spans="3:26">
      <c r="C180" s="113"/>
      <c r="D180" s="113"/>
      <c r="E180" s="113"/>
      <c r="F180" s="113"/>
      <c r="G180" s="113"/>
      <c r="H180" s="113"/>
      <c r="I180" s="113"/>
      <c r="J180" s="113"/>
      <c r="K180" s="113"/>
      <c r="L180" s="113"/>
      <c r="M180" s="113"/>
      <c r="N180" s="113"/>
      <c r="O180" s="113"/>
      <c r="P180" s="113"/>
      <c r="Q180" s="113"/>
      <c r="R180" s="113"/>
      <c r="S180" s="113"/>
      <c r="T180" s="113"/>
      <c r="U180" s="113"/>
      <c r="V180" s="113"/>
      <c r="W180" s="113"/>
      <c r="X180" s="113"/>
      <c r="Y180" s="113"/>
      <c r="Z180" s="113"/>
    </row>
    <row r="181" spans="3:26">
      <c r="C181" s="113"/>
      <c r="D181" s="113"/>
      <c r="E181" s="113"/>
      <c r="F181" s="113"/>
      <c r="G181" s="113"/>
      <c r="H181" s="113"/>
      <c r="I181" s="113"/>
      <c r="J181" s="113"/>
      <c r="K181" s="113"/>
      <c r="L181" s="113"/>
      <c r="M181" s="113"/>
      <c r="N181" s="113"/>
      <c r="O181" s="113"/>
      <c r="P181" s="113"/>
      <c r="Q181" s="113"/>
      <c r="R181" s="113"/>
      <c r="S181" s="113"/>
      <c r="T181" s="113"/>
      <c r="U181" s="113"/>
      <c r="V181" s="113"/>
      <c r="W181" s="113"/>
      <c r="X181" s="113"/>
      <c r="Y181" s="113"/>
      <c r="Z181" s="113"/>
    </row>
    <row r="182" spans="3:26">
      <c r="C182" s="113"/>
      <c r="D182" s="113"/>
      <c r="E182" s="113"/>
      <c r="F182" s="113"/>
      <c r="G182" s="113"/>
      <c r="H182" s="113"/>
      <c r="I182" s="113"/>
      <c r="J182" s="113"/>
      <c r="K182" s="113"/>
      <c r="L182" s="113"/>
      <c r="M182" s="113"/>
      <c r="N182" s="113"/>
      <c r="O182" s="113"/>
      <c r="P182" s="113"/>
      <c r="Q182" s="113"/>
      <c r="R182" s="113"/>
      <c r="S182" s="113"/>
      <c r="T182" s="113"/>
      <c r="U182" s="113"/>
      <c r="V182" s="113"/>
      <c r="W182" s="113"/>
      <c r="X182" s="113"/>
      <c r="Y182" s="113"/>
      <c r="Z182" s="113"/>
    </row>
    <row r="183" spans="3:26">
      <c r="C183" s="113"/>
      <c r="D183" s="113"/>
      <c r="E183" s="113"/>
      <c r="F183" s="113"/>
      <c r="G183" s="113"/>
      <c r="H183" s="113"/>
      <c r="I183" s="113"/>
      <c r="J183" s="113"/>
      <c r="K183" s="113"/>
      <c r="L183" s="113"/>
      <c r="M183" s="113"/>
      <c r="N183" s="113"/>
      <c r="O183" s="113"/>
      <c r="P183" s="113"/>
      <c r="Q183" s="113"/>
      <c r="R183" s="113"/>
      <c r="S183" s="113"/>
      <c r="T183" s="113"/>
      <c r="U183" s="113"/>
      <c r="V183" s="113"/>
      <c r="W183" s="113"/>
      <c r="X183" s="113"/>
      <c r="Y183" s="113"/>
      <c r="Z183" s="113"/>
    </row>
    <row r="184" spans="3:26">
      <c r="C184" s="113"/>
      <c r="D184" s="113"/>
      <c r="E184" s="113"/>
      <c r="F184" s="113"/>
      <c r="G184" s="113"/>
      <c r="H184" s="113"/>
      <c r="I184" s="113"/>
      <c r="J184" s="113"/>
      <c r="K184" s="113"/>
      <c r="L184" s="113"/>
      <c r="M184" s="113"/>
      <c r="N184" s="113"/>
      <c r="O184" s="113"/>
      <c r="P184" s="113"/>
      <c r="Q184" s="113"/>
      <c r="R184" s="113"/>
      <c r="S184" s="113"/>
      <c r="T184" s="113"/>
      <c r="U184" s="113"/>
      <c r="V184" s="113"/>
      <c r="W184" s="113"/>
      <c r="X184" s="113"/>
      <c r="Y184" s="113"/>
      <c r="Z184" s="113"/>
    </row>
    <row r="185" spans="3:26">
      <c r="C185" s="113"/>
      <c r="D185" s="113"/>
      <c r="E185" s="113"/>
      <c r="F185" s="113"/>
      <c r="G185" s="113"/>
      <c r="H185" s="113"/>
      <c r="I185" s="113"/>
      <c r="J185" s="113"/>
      <c r="K185" s="113"/>
      <c r="L185" s="113"/>
      <c r="M185" s="113"/>
      <c r="N185" s="113"/>
      <c r="O185" s="113"/>
      <c r="P185" s="113"/>
      <c r="Q185" s="113"/>
      <c r="R185" s="113"/>
      <c r="S185" s="113"/>
      <c r="T185" s="113"/>
      <c r="U185" s="113"/>
      <c r="V185" s="113"/>
      <c r="W185" s="113"/>
      <c r="X185" s="113"/>
      <c r="Y185" s="113"/>
      <c r="Z185" s="113"/>
    </row>
    <row r="186" spans="3:26">
      <c r="C186" s="113"/>
      <c r="D186" s="113"/>
      <c r="E186" s="113"/>
      <c r="F186" s="113"/>
      <c r="G186" s="113"/>
      <c r="H186" s="113"/>
      <c r="I186" s="113"/>
      <c r="J186" s="113"/>
      <c r="K186" s="113"/>
      <c r="L186" s="113"/>
      <c r="M186" s="113"/>
      <c r="N186" s="113"/>
      <c r="O186" s="113"/>
      <c r="P186" s="113"/>
      <c r="Q186" s="113"/>
      <c r="R186" s="113"/>
      <c r="S186" s="113"/>
      <c r="T186" s="113"/>
      <c r="U186" s="113"/>
      <c r="V186" s="113"/>
      <c r="W186" s="113"/>
      <c r="X186" s="113"/>
      <c r="Y186" s="113"/>
      <c r="Z186" s="113"/>
    </row>
    <row r="187" spans="3:26">
      <c r="C187" s="113"/>
      <c r="D187" s="113"/>
      <c r="E187" s="113"/>
      <c r="F187" s="113"/>
      <c r="G187" s="113"/>
      <c r="H187" s="113"/>
      <c r="I187" s="113"/>
      <c r="J187" s="113"/>
      <c r="K187" s="113"/>
      <c r="L187" s="113"/>
      <c r="M187" s="113"/>
      <c r="N187" s="113"/>
      <c r="O187" s="113"/>
      <c r="P187" s="113"/>
      <c r="Q187" s="113"/>
      <c r="R187" s="113"/>
      <c r="S187" s="113"/>
      <c r="T187" s="113"/>
      <c r="U187" s="113"/>
      <c r="V187" s="113"/>
      <c r="W187" s="113"/>
      <c r="X187" s="113"/>
      <c r="Y187" s="113"/>
      <c r="Z187" s="113"/>
    </row>
    <row r="188" spans="3:26">
      <c r="C188" s="113"/>
      <c r="D188" s="113"/>
      <c r="E188" s="113"/>
      <c r="F188" s="113"/>
      <c r="G188" s="113"/>
      <c r="H188" s="113"/>
      <c r="I188" s="113"/>
      <c r="J188" s="113"/>
      <c r="K188" s="113"/>
      <c r="L188" s="113"/>
      <c r="M188" s="113"/>
      <c r="N188" s="113"/>
      <c r="O188" s="113"/>
      <c r="P188" s="113"/>
      <c r="Q188" s="113"/>
      <c r="R188" s="113"/>
      <c r="S188" s="113"/>
      <c r="T188" s="113"/>
      <c r="U188" s="113"/>
      <c r="V188" s="113"/>
      <c r="W188" s="113"/>
      <c r="X188" s="113"/>
      <c r="Y188" s="113"/>
      <c r="Z188" s="113"/>
    </row>
    <row r="189" spans="3:26">
      <c r="C189" s="113"/>
      <c r="D189" s="113"/>
      <c r="E189" s="113"/>
      <c r="F189" s="113"/>
      <c r="G189" s="113"/>
      <c r="H189" s="113"/>
      <c r="I189" s="113"/>
      <c r="J189" s="113"/>
      <c r="K189" s="113"/>
      <c r="L189" s="113"/>
      <c r="M189" s="113"/>
      <c r="N189" s="113"/>
      <c r="O189" s="113"/>
      <c r="P189" s="113"/>
      <c r="Q189" s="113"/>
      <c r="R189" s="113"/>
      <c r="S189" s="113"/>
      <c r="T189" s="113"/>
      <c r="U189" s="113"/>
      <c r="V189" s="113"/>
      <c r="W189" s="113"/>
      <c r="X189" s="113"/>
      <c r="Y189" s="113"/>
      <c r="Z189" s="113"/>
    </row>
    <row r="190" spans="3:26">
      <c r="C190" s="113"/>
      <c r="D190" s="113"/>
      <c r="E190" s="113"/>
      <c r="F190" s="113"/>
      <c r="G190" s="113"/>
      <c r="H190" s="113"/>
      <c r="I190" s="113"/>
      <c r="J190" s="113"/>
      <c r="K190" s="113"/>
      <c r="L190" s="113"/>
      <c r="M190" s="113"/>
      <c r="N190" s="113"/>
      <c r="O190" s="113"/>
      <c r="P190" s="113"/>
      <c r="Q190" s="113"/>
      <c r="R190" s="113"/>
      <c r="S190" s="113"/>
      <c r="T190" s="113"/>
      <c r="U190" s="113"/>
      <c r="V190" s="113"/>
      <c r="W190" s="113"/>
      <c r="X190" s="113"/>
      <c r="Y190" s="113"/>
      <c r="Z190" s="113"/>
    </row>
    <row r="191" spans="3:26">
      <c r="C191" s="113"/>
      <c r="D191" s="113"/>
      <c r="E191" s="113"/>
      <c r="F191" s="113"/>
      <c r="G191" s="113"/>
      <c r="H191" s="113"/>
      <c r="I191" s="113"/>
      <c r="J191" s="113"/>
      <c r="K191" s="113"/>
      <c r="L191" s="113"/>
      <c r="M191" s="113"/>
      <c r="N191" s="113"/>
      <c r="O191" s="113"/>
      <c r="P191" s="113"/>
      <c r="Q191" s="113"/>
      <c r="R191" s="113"/>
      <c r="S191" s="113"/>
      <c r="T191" s="113"/>
      <c r="U191" s="113"/>
      <c r="V191" s="113"/>
      <c r="W191" s="113"/>
      <c r="X191" s="113"/>
      <c r="Y191" s="113"/>
      <c r="Z191" s="113"/>
    </row>
    <row r="192" spans="3:26">
      <c r="C192" s="113"/>
      <c r="D192" s="113"/>
      <c r="E192" s="113"/>
      <c r="F192" s="113"/>
      <c r="G192" s="113"/>
      <c r="H192" s="113"/>
      <c r="I192" s="113"/>
      <c r="J192" s="113"/>
      <c r="K192" s="113"/>
      <c r="L192" s="113"/>
      <c r="M192" s="113"/>
      <c r="N192" s="113"/>
      <c r="O192" s="113"/>
      <c r="P192" s="113"/>
      <c r="Q192" s="113"/>
      <c r="R192" s="113"/>
      <c r="S192" s="113"/>
      <c r="T192" s="113"/>
      <c r="U192" s="113"/>
      <c r="V192" s="113"/>
      <c r="W192" s="113"/>
      <c r="X192" s="113"/>
      <c r="Y192" s="113"/>
      <c r="Z192" s="113"/>
    </row>
    <row r="193" spans="3:26">
      <c r="C193" s="113"/>
      <c r="D193" s="113"/>
      <c r="E193" s="113"/>
      <c r="F193" s="113"/>
      <c r="G193" s="113"/>
      <c r="H193" s="113"/>
      <c r="I193" s="113"/>
      <c r="J193" s="113"/>
      <c r="K193" s="113"/>
      <c r="L193" s="113"/>
      <c r="M193" s="113"/>
      <c r="N193" s="113"/>
      <c r="O193" s="113"/>
      <c r="P193" s="113"/>
      <c r="Q193" s="113"/>
      <c r="R193" s="113"/>
      <c r="S193" s="113"/>
      <c r="T193" s="113"/>
      <c r="U193" s="113"/>
      <c r="V193" s="113"/>
      <c r="W193" s="113"/>
      <c r="X193" s="113"/>
      <c r="Y193" s="113"/>
      <c r="Z193" s="113"/>
    </row>
    <row r="194" spans="3:26">
      <c r="C194" s="113"/>
      <c r="D194" s="113"/>
      <c r="E194" s="113"/>
      <c r="F194" s="113"/>
      <c r="G194" s="113"/>
      <c r="H194" s="113"/>
      <c r="I194" s="113"/>
      <c r="J194" s="113"/>
      <c r="K194" s="113"/>
      <c r="L194" s="113"/>
      <c r="M194" s="113"/>
      <c r="N194" s="113"/>
      <c r="O194" s="113"/>
      <c r="P194" s="113"/>
      <c r="Q194" s="113"/>
      <c r="R194" s="113"/>
      <c r="S194" s="113"/>
      <c r="T194" s="113"/>
      <c r="U194" s="113"/>
      <c r="V194" s="113"/>
      <c r="W194" s="113"/>
      <c r="X194" s="113"/>
      <c r="Y194" s="113"/>
      <c r="Z194" s="113"/>
    </row>
    <row r="195" spans="3:26">
      <c r="C195" s="113"/>
      <c r="D195" s="113"/>
      <c r="E195" s="113"/>
      <c r="F195" s="113"/>
      <c r="G195" s="113"/>
      <c r="H195" s="113"/>
      <c r="I195" s="113"/>
      <c r="J195" s="113"/>
      <c r="K195" s="113"/>
      <c r="L195" s="113"/>
      <c r="M195" s="113"/>
      <c r="N195" s="113"/>
      <c r="O195" s="113"/>
      <c r="P195" s="113"/>
      <c r="Q195" s="113"/>
      <c r="R195" s="113"/>
      <c r="S195" s="113"/>
      <c r="T195" s="113"/>
      <c r="U195" s="113"/>
      <c r="V195" s="113"/>
      <c r="W195" s="113"/>
      <c r="X195" s="113"/>
      <c r="Y195" s="113"/>
      <c r="Z195" s="113"/>
    </row>
    <row r="196" spans="3:26">
      <c r="C196" s="113"/>
      <c r="D196" s="113"/>
      <c r="E196" s="113"/>
      <c r="F196" s="113"/>
      <c r="G196" s="113"/>
      <c r="H196" s="113"/>
      <c r="I196" s="113"/>
      <c r="J196" s="113"/>
      <c r="K196" s="113"/>
      <c r="L196" s="113"/>
      <c r="M196" s="113"/>
      <c r="N196" s="113"/>
      <c r="O196" s="113"/>
      <c r="P196" s="113"/>
      <c r="Q196" s="113"/>
      <c r="R196" s="113"/>
      <c r="S196" s="113"/>
      <c r="T196" s="113"/>
      <c r="U196" s="113"/>
      <c r="V196" s="113"/>
      <c r="W196" s="113"/>
      <c r="X196" s="113"/>
      <c r="Y196" s="113"/>
      <c r="Z196" s="113"/>
    </row>
    <row r="197" spans="3:26">
      <c r="C197" s="113"/>
      <c r="D197" s="113"/>
      <c r="E197" s="113"/>
      <c r="F197" s="113"/>
      <c r="G197" s="113"/>
      <c r="H197" s="113"/>
      <c r="I197" s="113"/>
      <c r="J197" s="113"/>
      <c r="K197" s="113"/>
      <c r="L197" s="113"/>
      <c r="M197" s="113"/>
      <c r="N197" s="113"/>
      <c r="O197" s="113"/>
      <c r="P197" s="113"/>
      <c r="Q197" s="113"/>
      <c r="R197" s="113"/>
      <c r="S197" s="113"/>
      <c r="T197" s="113"/>
      <c r="U197" s="113"/>
      <c r="V197" s="113"/>
      <c r="W197" s="113"/>
      <c r="X197" s="113"/>
      <c r="Y197" s="113"/>
      <c r="Z197" s="113"/>
    </row>
    <row r="198" spans="3:26">
      <c r="C198" s="113"/>
      <c r="D198" s="113"/>
      <c r="E198" s="113"/>
      <c r="F198" s="113"/>
      <c r="G198" s="113"/>
      <c r="H198" s="113"/>
      <c r="I198" s="113"/>
      <c r="J198" s="113"/>
      <c r="K198" s="113"/>
      <c r="L198" s="113"/>
      <c r="M198" s="113"/>
      <c r="N198" s="113"/>
      <c r="O198" s="113"/>
      <c r="P198" s="113"/>
      <c r="Q198" s="113"/>
      <c r="R198" s="113"/>
      <c r="S198" s="113"/>
      <c r="T198" s="113"/>
      <c r="U198" s="113"/>
      <c r="V198" s="113"/>
      <c r="W198" s="113"/>
      <c r="X198" s="113"/>
      <c r="Y198" s="113"/>
      <c r="Z198" s="113"/>
    </row>
    <row r="199" spans="3:26">
      <c r="C199" s="113"/>
      <c r="D199" s="113"/>
      <c r="E199" s="113"/>
      <c r="F199" s="113"/>
      <c r="G199" s="113"/>
      <c r="H199" s="113"/>
      <c r="I199" s="113"/>
      <c r="J199" s="113"/>
      <c r="K199" s="113"/>
      <c r="L199" s="113"/>
      <c r="M199" s="113"/>
      <c r="N199" s="113"/>
      <c r="O199" s="113"/>
      <c r="P199" s="113"/>
      <c r="Q199" s="113"/>
      <c r="R199" s="113"/>
      <c r="S199" s="113"/>
      <c r="T199" s="113"/>
      <c r="U199" s="113"/>
      <c r="V199" s="113"/>
      <c r="W199" s="113"/>
      <c r="X199" s="113"/>
      <c r="Y199" s="113"/>
      <c r="Z199" s="113"/>
    </row>
    <row r="200" spans="3:26">
      <c r="C200" s="113"/>
      <c r="D200" s="113"/>
      <c r="E200" s="113"/>
      <c r="F200" s="113"/>
      <c r="G200" s="113"/>
      <c r="H200" s="113"/>
      <c r="I200" s="113"/>
      <c r="J200" s="113"/>
      <c r="K200" s="113"/>
      <c r="L200" s="113"/>
      <c r="M200" s="113"/>
      <c r="N200" s="113"/>
      <c r="O200" s="113"/>
      <c r="P200" s="113"/>
      <c r="Q200" s="113"/>
      <c r="R200" s="113"/>
      <c r="S200" s="113"/>
      <c r="T200" s="113"/>
      <c r="U200" s="113"/>
      <c r="V200" s="113"/>
      <c r="W200" s="113"/>
      <c r="X200" s="113"/>
      <c r="Y200" s="113"/>
      <c r="Z200" s="113"/>
    </row>
    <row r="201" spans="3:26">
      <c r="C201" s="113"/>
      <c r="D201" s="113"/>
      <c r="E201" s="113"/>
      <c r="F201" s="113"/>
      <c r="G201" s="113"/>
      <c r="H201" s="113"/>
      <c r="I201" s="113"/>
      <c r="J201" s="113"/>
      <c r="K201" s="113"/>
      <c r="L201" s="113"/>
      <c r="M201" s="113"/>
      <c r="N201" s="113"/>
      <c r="O201" s="113"/>
      <c r="P201" s="113"/>
      <c r="Q201" s="113"/>
      <c r="R201" s="113"/>
      <c r="S201" s="113"/>
      <c r="T201" s="113"/>
      <c r="U201" s="113"/>
      <c r="V201" s="113"/>
      <c r="W201" s="113"/>
      <c r="X201" s="113"/>
      <c r="Y201" s="113"/>
      <c r="Z201" s="113"/>
    </row>
    <row r="202" spans="3:26">
      <c r="C202" s="113"/>
      <c r="D202" s="113"/>
      <c r="E202" s="113"/>
      <c r="F202" s="113"/>
      <c r="G202" s="113"/>
      <c r="H202" s="113"/>
      <c r="I202" s="113"/>
      <c r="J202" s="113"/>
      <c r="K202" s="113"/>
      <c r="L202" s="113"/>
      <c r="M202" s="113"/>
      <c r="N202" s="113"/>
      <c r="O202" s="113"/>
      <c r="P202" s="113"/>
      <c r="Q202" s="113"/>
      <c r="R202" s="113"/>
      <c r="S202" s="113"/>
      <c r="T202" s="113"/>
      <c r="U202" s="113"/>
      <c r="V202" s="113"/>
      <c r="W202" s="113"/>
      <c r="X202" s="113"/>
      <c r="Y202" s="113"/>
      <c r="Z202" s="113"/>
    </row>
    <row r="203" spans="3:26">
      <c r="C203" s="113"/>
      <c r="D203" s="113"/>
      <c r="E203" s="113"/>
      <c r="F203" s="113"/>
      <c r="G203" s="113"/>
      <c r="H203" s="113"/>
      <c r="I203" s="113"/>
      <c r="J203" s="113"/>
      <c r="K203" s="113"/>
      <c r="L203" s="113"/>
      <c r="M203" s="113"/>
      <c r="N203" s="113"/>
      <c r="O203" s="113"/>
      <c r="P203" s="113"/>
      <c r="Q203" s="113"/>
      <c r="R203" s="113"/>
      <c r="S203" s="113"/>
      <c r="T203" s="113"/>
      <c r="U203" s="113"/>
      <c r="V203" s="113"/>
      <c r="W203" s="113"/>
      <c r="X203" s="113"/>
      <c r="Y203" s="113"/>
      <c r="Z203" s="113"/>
    </row>
    <row r="204" spans="3:26">
      <c r="C204" s="113"/>
      <c r="D204" s="113"/>
      <c r="E204" s="113"/>
      <c r="F204" s="113"/>
      <c r="G204" s="113"/>
      <c r="H204" s="113"/>
      <c r="I204" s="113"/>
      <c r="J204" s="113"/>
      <c r="K204" s="113"/>
      <c r="L204" s="113"/>
      <c r="M204" s="113"/>
      <c r="N204" s="113"/>
      <c r="O204" s="113"/>
      <c r="P204" s="113"/>
      <c r="Q204" s="113"/>
      <c r="R204" s="113"/>
      <c r="S204" s="113"/>
      <c r="T204" s="113"/>
      <c r="U204" s="113"/>
      <c r="V204" s="113"/>
      <c r="W204" s="113"/>
      <c r="X204" s="113"/>
      <c r="Y204" s="113"/>
      <c r="Z204" s="113"/>
    </row>
    <row r="205" spans="3:26">
      <c r="C205" s="113"/>
      <c r="D205" s="113"/>
      <c r="E205" s="113"/>
      <c r="F205" s="113"/>
      <c r="G205" s="113"/>
      <c r="H205" s="113"/>
      <c r="I205" s="113"/>
      <c r="J205" s="113"/>
      <c r="K205" s="113"/>
      <c r="L205" s="113"/>
      <c r="M205" s="113"/>
      <c r="N205" s="113"/>
      <c r="O205" s="113"/>
      <c r="P205" s="113"/>
      <c r="Q205" s="113"/>
      <c r="R205" s="113"/>
      <c r="S205" s="113"/>
      <c r="T205" s="113"/>
      <c r="U205" s="113"/>
      <c r="V205" s="113"/>
      <c r="W205" s="113"/>
      <c r="X205" s="113"/>
      <c r="Y205" s="113"/>
      <c r="Z205" s="113"/>
    </row>
    <row r="206" spans="3:26">
      <c r="C206" s="113"/>
      <c r="D206" s="113"/>
      <c r="E206" s="113"/>
      <c r="F206" s="113"/>
      <c r="G206" s="113"/>
      <c r="H206" s="113"/>
      <c r="I206" s="113"/>
      <c r="J206" s="113"/>
      <c r="K206" s="113"/>
      <c r="L206" s="113"/>
      <c r="M206" s="113"/>
      <c r="N206" s="113"/>
      <c r="O206" s="113"/>
      <c r="P206" s="113"/>
      <c r="Q206" s="113"/>
      <c r="R206" s="113"/>
      <c r="S206" s="113"/>
      <c r="T206" s="113"/>
      <c r="U206" s="113"/>
      <c r="V206" s="113"/>
      <c r="W206" s="113"/>
      <c r="X206" s="113"/>
      <c r="Y206" s="113"/>
      <c r="Z206" s="113"/>
    </row>
    <row r="207" spans="3:26">
      <c r="C207" s="113"/>
      <c r="D207" s="113"/>
      <c r="E207" s="113"/>
      <c r="F207" s="113"/>
      <c r="G207" s="113"/>
      <c r="H207" s="113"/>
      <c r="I207" s="113"/>
      <c r="J207" s="113"/>
      <c r="K207" s="113"/>
      <c r="L207" s="113"/>
      <c r="M207" s="113"/>
      <c r="N207" s="113"/>
      <c r="O207" s="113"/>
      <c r="P207" s="113"/>
      <c r="Q207" s="113"/>
      <c r="R207" s="113"/>
      <c r="S207" s="113"/>
      <c r="T207" s="113"/>
      <c r="U207" s="113"/>
      <c r="V207" s="113"/>
      <c r="W207" s="113"/>
      <c r="X207" s="113"/>
      <c r="Y207" s="113"/>
      <c r="Z207" s="113"/>
    </row>
    <row r="208" spans="3:26">
      <c r="C208" s="113"/>
      <c r="D208" s="113"/>
      <c r="E208" s="113"/>
      <c r="F208" s="113"/>
      <c r="G208" s="113"/>
      <c r="H208" s="113"/>
      <c r="I208" s="113"/>
      <c r="J208" s="113"/>
      <c r="K208" s="113"/>
      <c r="L208" s="113"/>
      <c r="M208" s="113"/>
      <c r="N208" s="113"/>
      <c r="O208" s="113"/>
      <c r="P208" s="113"/>
      <c r="Q208" s="113"/>
      <c r="R208" s="113"/>
      <c r="S208" s="113"/>
      <c r="T208" s="113"/>
      <c r="U208" s="113"/>
      <c r="V208" s="113"/>
      <c r="W208" s="113"/>
      <c r="X208" s="113"/>
      <c r="Y208" s="113"/>
      <c r="Z208" s="113"/>
    </row>
    <row r="209" spans="3:26">
      <c r="C209" s="113"/>
      <c r="D209" s="113"/>
      <c r="E209" s="113"/>
      <c r="F209" s="113"/>
      <c r="G209" s="113"/>
      <c r="H209" s="113"/>
      <c r="I209" s="113"/>
      <c r="J209" s="113"/>
      <c r="K209" s="113"/>
      <c r="L209" s="113"/>
      <c r="M209" s="113"/>
      <c r="N209" s="113"/>
      <c r="O209" s="113"/>
      <c r="P209" s="113"/>
      <c r="Q209" s="113"/>
      <c r="R209" s="113"/>
      <c r="S209" s="113"/>
      <c r="T209" s="113"/>
      <c r="U209" s="113"/>
      <c r="V209" s="113"/>
      <c r="W209" s="113"/>
      <c r="X209" s="113"/>
      <c r="Y209" s="113"/>
      <c r="Z209" s="113"/>
    </row>
    <row r="210" spans="3:26">
      <c r="C210" s="113"/>
      <c r="D210" s="113"/>
      <c r="E210" s="113"/>
      <c r="F210" s="113"/>
      <c r="G210" s="113"/>
      <c r="H210" s="113"/>
      <c r="I210" s="113"/>
      <c r="J210" s="113"/>
      <c r="K210" s="113"/>
      <c r="L210" s="113"/>
      <c r="M210" s="113"/>
      <c r="N210" s="113"/>
      <c r="O210" s="113"/>
      <c r="P210" s="113"/>
      <c r="Q210" s="113"/>
      <c r="R210" s="113"/>
      <c r="S210" s="113"/>
      <c r="T210" s="113"/>
      <c r="U210" s="113"/>
      <c r="V210" s="113"/>
      <c r="W210" s="113"/>
      <c r="X210" s="113"/>
      <c r="Y210" s="113"/>
      <c r="Z210" s="113"/>
    </row>
    <row r="211" spans="3:26">
      <c r="C211" s="113"/>
      <c r="D211" s="113"/>
      <c r="E211" s="113"/>
      <c r="F211" s="113"/>
      <c r="G211" s="113"/>
      <c r="H211" s="113"/>
      <c r="I211" s="113"/>
      <c r="J211" s="113"/>
      <c r="K211" s="113"/>
      <c r="L211" s="113"/>
      <c r="M211" s="113"/>
      <c r="N211" s="113"/>
      <c r="O211" s="113"/>
      <c r="P211" s="113"/>
      <c r="Q211" s="113"/>
      <c r="R211" s="113"/>
      <c r="S211" s="113"/>
      <c r="T211" s="113"/>
      <c r="U211" s="113"/>
      <c r="V211" s="113"/>
      <c r="W211" s="113"/>
      <c r="X211" s="113"/>
      <c r="Y211" s="113"/>
      <c r="Z211" s="113"/>
    </row>
    <row r="212" spans="3:26">
      <c r="C212" s="113"/>
      <c r="D212" s="113"/>
      <c r="E212" s="113"/>
      <c r="F212" s="113"/>
      <c r="G212" s="113"/>
      <c r="H212" s="113"/>
      <c r="I212" s="113"/>
      <c r="J212" s="113"/>
      <c r="K212" s="113"/>
      <c r="L212" s="113"/>
      <c r="M212" s="113"/>
      <c r="N212" s="113"/>
      <c r="O212" s="113"/>
      <c r="P212" s="113"/>
      <c r="Q212" s="113"/>
      <c r="R212" s="113"/>
      <c r="S212" s="113"/>
      <c r="T212" s="113"/>
      <c r="U212" s="113"/>
      <c r="V212" s="113"/>
      <c r="W212" s="113"/>
      <c r="X212" s="113"/>
      <c r="Y212" s="113"/>
      <c r="Z212" s="113"/>
    </row>
    <row r="213" spans="3:26">
      <c r="C213" s="113"/>
      <c r="D213" s="113"/>
      <c r="E213" s="113"/>
      <c r="F213" s="113"/>
      <c r="G213" s="113"/>
      <c r="H213" s="113"/>
      <c r="I213" s="113"/>
      <c r="J213" s="113"/>
      <c r="K213" s="113"/>
      <c r="L213" s="113"/>
      <c r="M213" s="113"/>
      <c r="N213" s="113"/>
      <c r="O213" s="113"/>
      <c r="P213" s="113"/>
      <c r="Q213" s="113"/>
      <c r="R213" s="113"/>
      <c r="S213" s="113"/>
      <c r="T213" s="113"/>
      <c r="U213" s="113"/>
      <c r="V213" s="113"/>
      <c r="W213" s="113"/>
      <c r="X213" s="113"/>
      <c r="Y213" s="113"/>
      <c r="Z213" s="113"/>
    </row>
    <row r="214" spans="3:26">
      <c r="C214" s="113"/>
      <c r="D214" s="113"/>
      <c r="E214" s="113"/>
      <c r="F214" s="113"/>
      <c r="G214" s="113"/>
      <c r="H214" s="113"/>
      <c r="I214" s="113"/>
      <c r="J214" s="113"/>
      <c r="K214" s="113"/>
      <c r="L214" s="113"/>
      <c r="M214" s="113"/>
      <c r="N214" s="113"/>
      <c r="O214" s="113"/>
      <c r="P214" s="113"/>
      <c r="Q214" s="113"/>
      <c r="R214" s="113"/>
      <c r="S214" s="113"/>
      <c r="T214" s="113"/>
      <c r="U214" s="113"/>
      <c r="V214" s="113"/>
      <c r="W214" s="113"/>
      <c r="X214" s="113"/>
      <c r="Y214" s="113"/>
      <c r="Z214" s="113"/>
    </row>
    <row r="215" spans="3:26">
      <c r="C215" s="113"/>
      <c r="D215" s="113"/>
      <c r="E215" s="113"/>
      <c r="F215" s="113"/>
      <c r="G215" s="113"/>
      <c r="H215" s="113"/>
      <c r="I215" s="113"/>
      <c r="J215" s="113"/>
      <c r="K215" s="113"/>
      <c r="L215" s="113"/>
      <c r="M215" s="113"/>
      <c r="N215" s="113"/>
      <c r="O215" s="113"/>
      <c r="P215" s="113"/>
      <c r="Q215" s="113"/>
      <c r="R215" s="113"/>
      <c r="S215" s="113"/>
      <c r="T215" s="113"/>
      <c r="U215" s="113"/>
      <c r="V215" s="113"/>
      <c r="W215" s="113"/>
      <c r="X215" s="113"/>
      <c r="Y215" s="113"/>
      <c r="Z215" s="113"/>
    </row>
    <row r="216" spans="3:26">
      <c r="C216" s="113"/>
      <c r="D216" s="113"/>
      <c r="E216" s="113"/>
      <c r="F216" s="113"/>
      <c r="G216" s="113"/>
      <c r="H216" s="113"/>
      <c r="I216" s="113"/>
      <c r="J216" s="113"/>
      <c r="K216" s="113"/>
      <c r="L216" s="113"/>
      <c r="M216" s="113"/>
      <c r="N216" s="113"/>
      <c r="O216" s="113"/>
      <c r="P216" s="113"/>
      <c r="Q216" s="113"/>
      <c r="R216" s="113"/>
      <c r="S216" s="113"/>
      <c r="T216" s="113"/>
      <c r="U216" s="113"/>
      <c r="V216" s="113"/>
      <c r="W216" s="113"/>
      <c r="X216" s="113"/>
      <c r="Y216" s="113"/>
      <c r="Z216" s="113"/>
    </row>
    <row r="217" spans="3:26">
      <c r="C217" s="113"/>
      <c r="D217" s="113"/>
      <c r="E217" s="113"/>
      <c r="F217" s="113"/>
      <c r="G217" s="113"/>
      <c r="H217" s="113"/>
      <c r="I217" s="113"/>
      <c r="J217" s="113"/>
      <c r="K217" s="113"/>
      <c r="L217" s="113"/>
      <c r="M217" s="113"/>
      <c r="N217" s="113"/>
      <c r="O217" s="113"/>
      <c r="P217" s="113"/>
      <c r="Q217" s="113"/>
      <c r="R217" s="113"/>
      <c r="S217" s="113"/>
      <c r="T217" s="113"/>
      <c r="U217" s="113"/>
      <c r="V217" s="113"/>
      <c r="W217" s="113"/>
      <c r="X217" s="113"/>
      <c r="Y217" s="113"/>
      <c r="Z217" s="113"/>
    </row>
    <row r="218" spans="3:26">
      <c r="C218" s="113"/>
      <c r="D218" s="113"/>
      <c r="E218" s="113"/>
      <c r="F218" s="113"/>
      <c r="G218" s="113"/>
      <c r="H218" s="113"/>
      <c r="I218" s="113"/>
      <c r="J218" s="113"/>
      <c r="K218" s="113"/>
      <c r="L218" s="113"/>
      <c r="M218" s="113"/>
      <c r="N218" s="113"/>
      <c r="O218" s="113"/>
      <c r="P218" s="113"/>
      <c r="Q218" s="113"/>
      <c r="R218" s="113"/>
      <c r="S218" s="113"/>
      <c r="T218" s="113"/>
      <c r="U218" s="113"/>
      <c r="V218" s="113"/>
      <c r="W218" s="113"/>
      <c r="X218" s="113"/>
      <c r="Y218" s="113"/>
      <c r="Z218" s="113"/>
    </row>
    <row r="219" spans="3:26">
      <c r="C219" s="113"/>
      <c r="D219" s="113"/>
      <c r="E219" s="113"/>
      <c r="F219" s="113"/>
      <c r="G219" s="113"/>
      <c r="H219" s="113"/>
      <c r="I219" s="113"/>
      <c r="J219" s="113"/>
      <c r="K219" s="113"/>
      <c r="L219" s="113"/>
      <c r="M219" s="113"/>
      <c r="N219" s="113"/>
      <c r="O219" s="113"/>
      <c r="P219" s="113"/>
      <c r="Q219" s="113"/>
      <c r="R219" s="113"/>
      <c r="S219" s="113"/>
      <c r="T219" s="113"/>
      <c r="U219" s="113"/>
      <c r="V219" s="113"/>
      <c r="W219" s="113"/>
      <c r="X219" s="113"/>
      <c r="Y219" s="113"/>
      <c r="Z219" s="113"/>
    </row>
    <row r="220" spans="3:26">
      <c r="C220" s="113"/>
      <c r="D220" s="113"/>
      <c r="E220" s="113"/>
      <c r="F220" s="113"/>
      <c r="G220" s="113"/>
      <c r="H220" s="113"/>
      <c r="I220" s="113"/>
      <c r="J220" s="113"/>
      <c r="K220" s="113"/>
      <c r="L220" s="113"/>
      <c r="M220" s="113"/>
      <c r="N220" s="113"/>
      <c r="O220" s="113"/>
      <c r="P220" s="113"/>
      <c r="Q220" s="113"/>
      <c r="R220" s="113"/>
      <c r="S220" s="113"/>
      <c r="T220" s="113"/>
      <c r="U220" s="113"/>
      <c r="V220" s="113"/>
      <c r="W220" s="113"/>
      <c r="X220" s="113"/>
      <c r="Y220" s="113"/>
      <c r="Z220" s="113"/>
    </row>
    <row r="221" spans="3:26">
      <c r="C221" s="113"/>
      <c r="D221" s="113"/>
      <c r="E221" s="113"/>
      <c r="F221" s="113"/>
      <c r="G221" s="113"/>
      <c r="H221" s="113"/>
      <c r="I221" s="113"/>
      <c r="J221" s="113"/>
      <c r="K221" s="113"/>
      <c r="L221" s="113"/>
      <c r="M221" s="113"/>
      <c r="N221" s="113"/>
      <c r="O221" s="113"/>
      <c r="P221" s="113"/>
      <c r="Q221" s="113"/>
      <c r="R221" s="113"/>
      <c r="S221" s="113"/>
      <c r="T221" s="113"/>
      <c r="U221" s="113"/>
      <c r="V221" s="113"/>
      <c r="W221" s="113"/>
      <c r="X221" s="113"/>
      <c r="Y221" s="113"/>
      <c r="Z221" s="113"/>
    </row>
    <row r="222" spans="3:26">
      <c r="C222" s="113"/>
      <c r="D222" s="113"/>
      <c r="E222" s="113"/>
      <c r="F222" s="113"/>
      <c r="G222" s="113"/>
      <c r="H222" s="113"/>
      <c r="I222" s="113"/>
      <c r="J222" s="113"/>
      <c r="K222" s="113"/>
      <c r="L222" s="113"/>
      <c r="M222" s="113"/>
      <c r="N222" s="113"/>
      <c r="O222" s="113"/>
      <c r="P222" s="113"/>
      <c r="Q222" s="113"/>
      <c r="R222" s="113"/>
      <c r="S222" s="113"/>
      <c r="T222" s="113"/>
      <c r="U222" s="113"/>
      <c r="V222" s="113"/>
      <c r="W222" s="113"/>
      <c r="X222" s="113"/>
      <c r="Y222" s="113"/>
      <c r="Z222" s="113"/>
    </row>
    <row r="223" spans="3:26">
      <c r="C223" s="113"/>
      <c r="D223" s="113"/>
      <c r="E223" s="113"/>
      <c r="F223" s="113"/>
      <c r="G223" s="113"/>
      <c r="H223" s="113"/>
      <c r="I223" s="113"/>
      <c r="J223" s="113"/>
      <c r="K223" s="113"/>
      <c r="L223" s="113"/>
      <c r="M223" s="113"/>
      <c r="N223" s="113"/>
      <c r="O223" s="113"/>
      <c r="P223" s="113"/>
      <c r="Q223" s="113"/>
      <c r="R223" s="113"/>
      <c r="S223" s="113"/>
      <c r="T223" s="113"/>
      <c r="U223" s="113"/>
      <c r="V223" s="113"/>
      <c r="W223" s="113"/>
      <c r="X223" s="113"/>
      <c r="Y223" s="113"/>
      <c r="Z223" s="113"/>
    </row>
    <row r="224" spans="3:26">
      <c r="C224" s="113"/>
      <c r="D224" s="113"/>
      <c r="E224" s="113"/>
      <c r="F224" s="113"/>
      <c r="G224" s="113"/>
      <c r="H224" s="113"/>
      <c r="I224" s="113"/>
      <c r="J224" s="113"/>
      <c r="K224" s="113"/>
      <c r="L224" s="113"/>
      <c r="M224" s="113"/>
      <c r="N224" s="113"/>
      <c r="O224" s="113"/>
      <c r="P224" s="113"/>
      <c r="Q224" s="113"/>
      <c r="R224" s="113"/>
      <c r="S224" s="113"/>
      <c r="T224" s="113"/>
      <c r="U224" s="113"/>
      <c r="V224" s="113"/>
      <c r="W224" s="113"/>
      <c r="X224" s="113"/>
      <c r="Y224" s="113"/>
      <c r="Z224" s="113"/>
    </row>
    <row r="225" spans="3:26">
      <c r="C225" s="113"/>
      <c r="D225" s="113"/>
      <c r="E225" s="113"/>
      <c r="F225" s="113"/>
      <c r="G225" s="113"/>
      <c r="H225" s="113"/>
      <c r="I225" s="113"/>
      <c r="J225" s="113"/>
      <c r="K225" s="113"/>
      <c r="L225" s="113"/>
      <c r="M225" s="113"/>
      <c r="N225" s="113"/>
      <c r="O225" s="113"/>
      <c r="P225" s="113"/>
      <c r="Q225" s="113"/>
      <c r="R225" s="113"/>
      <c r="S225" s="113"/>
      <c r="T225" s="113"/>
      <c r="U225" s="113"/>
      <c r="V225" s="113"/>
      <c r="W225" s="113"/>
      <c r="X225" s="113"/>
      <c r="Y225" s="113"/>
      <c r="Z225" s="113"/>
    </row>
    <row r="226" spans="3:26">
      <c r="C226" s="113"/>
      <c r="D226" s="113"/>
      <c r="E226" s="113"/>
      <c r="F226" s="113"/>
      <c r="G226" s="113"/>
      <c r="H226" s="113"/>
      <c r="I226" s="113"/>
      <c r="J226" s="113"/>
      <c r="K226" s="113"/>
      <c r="L226" s="113"/>
      <c r="M226" s="113"/>
      <c r="N226" s="113"/>
      <c r="O226" s="113"/>
      <c r="P226" s="113"/>
      <c r="Q226" s="113"/>
      <c r="R226" s="113"/>
      <c r="S226" s="113"/>
      <c r="T226" s="113"/>
      <c r="U226" s="113"/>
      <c r="V226" s="113"/>
      <c r="W226" s="113"/>
      <c r="X226" s="113"/>
      <c r="Y226" s="113"/>
      <c r="Z226" s="113"/>
    </row>
    <row r="227" spans="3:26">
      <c r="C227" s="113"/>
      <c r="D227" s="113"/>
      <c r="E227" s="113"/>
      <c r="F227" s="113"/>
      <c r="G227" s="113"/>
      <c r="H227" s="113"/>
      <c r="I227" s="113"/>
      <c r="J227" s="113"/>
      <c r="K227" s="113"/>
      <c r="L227" s="113"/>
      <c r="M227" s="113"/>
      <c r="N227" s="113"/>
      <c r="O227" s="113"/>
      <c r="P227" s="113"/>
      <c r="Q227" s="113"/>
      <c r="R227" s="113"/>
      <c r="S227" s="113"/>
      <c r="T227" s="113"/>
      <c r="U227" s="113"/>
      <c r="V227" s="113"/>
      <c r="W227" s="113"/>
      <c r="X227" s="113"/>
      <c r="Y227" s="113"/>
      <c r="Z227" s="113"/>
    </row>
    <row r="228" spans="3:26">
      <c r="C228" s="113"/>
      <c r="D228" s="113"/>
      <c r="E228" s="113"/>
      <c r="F228" s="113"/>
      <c r="G228" s="113"/>
      <c r="H228" s="113"/>
      <c r="I228" s="113"/>
      <c r="J228" s="113"/>
      <c r="K228" s="113"/>
      <c r="L228" s="113"/>
      <c r="M228" s="113"/>
      <c r="N228" s="113"/>
      <c r="O228" s="113"/>
      <c r="P228" s="113"/>
      <c r="Q228" s="113"/>
      <c r="R228" s="113"/>
      <c r="S228" s="113"/>
      <c r="T228" s="113"/>
      <c r="U228" s="113"/>
      <c r="V228" s="113"/>
      <c r="W228" s="113"/>
      <c r="X228" s="113"/>
      <c r="Y228" s="113"/>
      <c r="Z228" s="113"/>
    </row>
    <row r="229" spans="3:26">
      <c r="C229" s="113"/>
      <c r="D229" s="113"/>
      <c r="E229" s="113"/>
      <c r="F229" s="113"/>
      <c r="G229" s="113"/>
      <c r="H229" s="113"/>
      <c r="I229" s="113"/>
      <c r="J229" s="113"/>
      <c r="K229" s="113"/>
      <c r="L229" s="113"/>
      <c r="M229" s="113"/>
      <c r="N229" s="113"/>
      <c r="O229" s="113"/>
      <c r="P229" s="113"/>
      <c r="Q229" s="113"/>
      <c r="R229" s="113"/>
      <c r="S229" s="113"/>
      <c r="T229" s="113"/>
      <c r="U229" s="113"/>
      <c r="V229" s="113"/>
      <c r="W229" s="113"/>
      <c r="X229" s="113"/>
      <c r="Y229" s="113"/>
      <c r="Z229" s="113"/>
    </row>
    <row r="230" spans="3:26">
      <c r="C230" s="113"/>
      <c r="D230" s="113"/>
      <c r="E230" s="113"/>
      <c r="F230" s="113"/>
      <c r="G230" s="113"/>
      <c r="H230" s="113"/>
      <c r="I230" s="113"/>
      <c r="J230" s="113"/>
      <c r="K230" s="113"/>
      <c r="L230" s="113"/>
      <c r="M230" s="113"/>
      <c r="N230" s="113"/>
      <c r="O230" s="113"/>
      <c r="P230" s="113"/>
      <c r="Q230" s="113"/>
      <c r="R230" s="113"/>
      <c r="S230" s="113"/>
      <c r="T230" s="113"/>
      <c r="U230" s="113"/>
      <c r="V230" s="113"/>
      <c r="W230" s="113"/>
      <c r="X230" s="113"/>
      <c r="Y230" s="113"/>
      <c r="Z230" s="113"/>
    </row>
    <row r="231" spans="3:26">
      <c r="C231" s="113"/>
      <c r="D231" s="113"/>
      <c r="E231" s="113"/>
      <c r="F231" s="113"/>
      <c r="G231" s="113"/>
      <c r="H231" s="113"/>
      <c r="I231" s="113"/>
      <c r="J231" s="113"/>
      <c r="K231" s="113"/>
      <c r="L231" s="113"/>
      <c r="M231" s="113"/>
      <c r="N231" s="113"/>
      <c r="O231" s="113"/>
      <c r="P231" s="113"/>
      <c r="Q231" s="113"/>
      <c r="R231" s="113"/>
      <c r="S231" s="113"/>
      <c r="T231" s="113"/>
      <c r="U231" s="113"/>
      <c r="V231" s="113"/>
      <c r="W231" s="113"/>
      <c r="X231" s="113"/>
      <c r="Y231" s="113"/>
      <c r="Z231" s="113"/>
    </row>
    <row r="232" spans="3:26">
      <c r="C232" s="113"/>
      <c r="D232" s="113"/>
      <c r="E232" s="113"/>
      <c r="F232" s="113"/>
      <c r="G232" s="113"/>
      <c r="H232" s="113"/>
      <c r="I232" s="113"/>
      <c r="J232" s="113"/>
      <c r="K232" s="113"/>
      <c r="L232" s="113"/>
      <c r="M232" s="113"/>
      <c r="N232" s="113"/>
      <c r="O232" s="113"/>
      <c r="P232" s="113"/>
      <c r="Q232" s="113"/>
      <c r="R232" s="113"/>
      <c r="S232" s="113"/>
      <c r="T232" s="113"/>
      <c r="U232" s="113"/>
      <c r="V232" s="113"/>
      <c r="W232" s="113"/>
      <c r="X232" s="113"/>
      <c r="Y232" s="113"/>
      <c r="Z232" s="113"/>
    </row>
    <row r="233" spans="3:26">
      <c r="C233" s="113"/>
      <c r="D233" s="113"/>
      <c r="E233" s="113"/>
      <c r="F233" s="113"/>
      <c r="G233" s="113"/>
      <c r="H233" s="113"/>
      <c r="I233" s="113"/>
      <c r="J233" s="113"/>
      <c r="K233" s="113"/>
      <c r="L233" s="113"/>
      <c r="M233" s="113"/>
      <c r="N233" s="113"/>
      <c r="O233" s="113"/>
      <c r="P233" s="113"/>
      <c r="Q233" s="113"/>
      <c r="R233" s="113"/>
      <c r="S233" s="113"/>
      <c r="T233" s="113"/>
      <c r="U233" s="113"/>
      <c r="V233" s="113"/>
      <c r="W233" s="113"/>
      <c r="X233" s="113"/>
      <c r="Y233" s="113"/>
      <c r="Z233" s="113"/>
    </row>
    <row r="234" spans="3:26">
      <c r="C234" s="113"/>
      <c r="D234" s="113"/>
      <c r="E234" s="113"/>
      <c r="F234" s="113"/>
      <c r="G234" s="113"/>
      <c r="H234" s="113"/>
      <c r="I234" s="113"/>
      <c r="J234" s="113"/>
      <c r="K234" s="113"/>
      <c r="L234" s="113"/>
      <c r="M234" s="113"/>
      <c r="N234" s="113"/>
      <c r="O234" s="113"/>
      <c r="P234" s="113"/>
      <c r="Q234" s="113"/>
      <c r="R234" s="113"/>
      <c r="S234" s="113"/>
      <c r="T234" s="113"/>
      <c r="U234" s="113"/>
      <c r="V234" s="113"/>
      <c r="W234" s="113"/>
      <c r="X234" s="113"/>
      <c r="Y234" s="113"/>
      <c r="Z234" s="113"/>
    </row>
    <row r="235" spans="3:26">
      <c r="C235" s="113"/>
      <c r="D235" s="113"/>
      <c r="E235" s="113"/>
      <c r="F235" s="113"/>
      <c r="G235" s="113"/>
      <c r="H235" s="113"/>
      <c r="I235" s="113"/>
      <c r="J235" s="113"/>
      <c r="K235" s="113"/>
      <c r="L235" s="113"/>
      <c r="M235" s="113"/>
      <c r="N235" s="113"/>
      <c r="O235" s="113"/>
      <c r="P235" s="113"/>
      <c r="Q235" s="113"/>
      <c r="R235" s="113"/>
      <c r="S235" s="113"/>
      <c r="T235" s="113"/>
      <c r="U235" s="113"/>
      <c r="V235" s="113"/>
      <c r="W235" s="113"/>
      <c r="X235" s="113"/>
      <c r="Y235" s="113"/>
      <c r="Z235" s="113"/>
    </row>
    <row r="236" spans="3:26">
      <c r="C236" s="113"/>
      <c r="D236" s="113"/>
      <c r="E236" s="113"/>
      <c r="F236" s="113"/>
      <c r="G236" s="113"/>
      <c r="H236" s="113"/>
      <c r="I236" s="113"/>
      <c r="J236" s="113"/>
      <c r="K236" s="113"/>
      <c r="L236" s="113"/>
      <c r="M236" s="113"/>
      <c r="N236" s="113"/>
      <c r="O236" s="113"/>
      <c r="P236" s="113"/>
      <c r="Q236" s="113"/>
      <c r="R236" s="113"/>
      <c r="S236" s="113"/>
      <c r="T236" s="113"/>
      <c r="U236" s="113"/>
      <c r="V236" s="113"/>
      <c r="W236" s="113"/>
      <c r="X236" s="113"/>
      <c r="Y236" s="113"/>
      <c r="Z236" s="113"/>
    </row>
    <row r="237" spans="3:26">
      <c r="C237" s="113"/>
      <c r="D237" s="113"/>
      <c r="E237" s="113"/>
      <c r="F237" s="113"/>
      <c r="G237" s="113"/>
      <c r="H237" s="113"/>
      <c r="I237" s="113"/>
      <c r="J237" s="113"/>
      <c r="K237" s="113"/>
      <c r="L237" s="113"/>
      <c r="M237" s="113"/>
      <c r="N237" s="113"/>
      <c r="O237" s="113"/>
      <c r="P237" s="113"/>
      <c r="Q237" s="113"/>
      <c r="R237" s="113"/>
      <c r="S237" s="113"/>
      <c r="T237" s="113"/>
      <c r="U237" s="113"/>
      <c r="V237" s="113"/>
      <c r="W237" s="113"/>
      <c r="X237" s="113"/>
      <c r="Y237" s="113"/>
      <c r="Z237" s="113"/>
    </row>
    <row r="238" spans="3:26">
      <c r="C238" s="113"/>
      <c r="D238" s="113"/>
      <c r="E238" s="113"/>
      <c r="F238" s="113"/>
      <c r="G238" s="113"/>
      <c r="H238" s="113"/>
      <c r="I238" s="113"/>
      <c r="J238" s="113"/>
      <c r="K238" s="113"/>
      <c r="L238" s="113"/>
      <c r="M238" s="113"/>
      <c r="N238" s="113"/>
      <c r="O238" s="113"/>
      <c r="P238" s="113"/>
      <c r="Q238" s="113"/>
      <c r="R238" s="113"/>
      <c r="S238" s="113"/>
      <c r="T238" s="113"/>
      <c r="U238" s="113"/>
      <c r="V238" s="113"/>
      <c r="W238" s="113"/>
      <c r="X238" s="113"/>
      <c r="Y238" s="113"/>
      <c r="Z238" s="113"/>
    </row>
    <row r="239" spans="3:26">
      <c r="C239" s="113"/>
      <c r="D239" s="113"/>
      <c r="E239" s="113"/>
      <c r="F239" s="113"/>
      <c r="G239" s="113"/>
      <c r="H239" s="113"/>
      <c r="I239" s="113"/>
      <c r="J239" s="113"/>
      <c r="K239" s="113"/>
      <c r="L239" s="113"/>
      <c r="M239" s="113"/>
      <c r="N239" s="113"/>
      <c r="O239" s="113"/>
      <c r="P239" s="113"/>
      <c r="Q239" s="113"/>
      <c r="R239" s="113"/>
      <c r="S239" s="113"/>
      <c r="T239" s="113"/>
      <c r="U239" s="113"/>
      <c r="V239" s="113"/>
      <c r="W239" s="113"/>
      <c r="X239" s="113"/>
      <c r="Y239" s="113"/>
      <c r="Z239" s="113"/>
    </row>
    <row r="240" spans="3:26">
      <c r="C240" s="113"/>
      <c r="D240" s="113"/>
      <c r="E240" s="113"/>
      <c r="F240" s="113"/>
      <c r="G240" s="113"/>
      <c r="H240" s="113"/>
      <c r="I240" s="113"/>
      <c r="J240" s="113"/>
      <c r="K240" s="113"/>
      <c r="L240" s="113"/>
      <c r="M240" s="113"/>
      <c r="N240" s="113"/>
      <c r="O240" s="113"/>
      <c r="P240" s="113"/>
      <c r="Q240" s="113"/>
      <c r="R240" s="113"/>
      <c r="S240" s="113"/>
      <c r="T240" s="113"/>
      <c r="U240" s="113"/>
      <c r="V240" s="113"/>
      <c r="W240" s="113"/>
      <c r="X240" s="113"/>
      <c r="Y240" s="113"/>
      <c r="Z240" s="113"/>
    </row>
    <row r="241" spans="3:26">
      <c r="C241" s="113"/>
      <c r="D241" s="113"/>
      <c r="E241" s="113"/>
      <c r="F241" s="113"/>
      <c r="G241" s="113"/>
      <c r="H241" s="113"/>
      <c r="I241" s="113"/>
      <c r="J241" s="113"/>
      <c r="K241" s="113"/>
      <c r="L241" s="113"/>
      <c r="M241" s="113"/>
      <c r="N241" s="113"/>
      <c r="O241" s="113"/>
      <c r="P241" s="113"/>
      <c r="Q241" s="113"/>
      <c r="R241" s="113"/>
      <c r="S241" s="113"/>
      <c r="T241" s="113"/>
      <c r="U241" s="113"/>
      <c r="V241" s="113"/>
      <c r="W241" s="113"/>
      <c r="X241" s="113"/>
      <c r="Y241" s="113"/>
      <c r="Z241" s="113"/>
    </row>
    <row r="242" spans="3:26">
      <c r="C242" s="113"/>
      <c r="D242" s="113"/>
      <c r="E242" s="113"/>
      <c r="F242" s="113"/>
      <c r="G242" s="113"/>
      <c r="H242" s="113"/>
      <c r="I242" s="113"/>
      <c r="J242" s="113"/>
      <c r="K242" s="113"/>
      <c r="L242" s="113"/>
      <c r="M242" s="113"/>
      <c r="N242" s="113"/>
      <c r="O242" s="113"/>
      <c r="P242" s="113"/>
      <c r="Q242" s="113"/>
      <c r="R242" s="113"/>
      <c r="S242" s="113"/>
      <c r="T242" s="113"/>
      <c r="U242" s="113"/>
      <c r="V242" s="113"/>
      <c r="W242" s="113"/>
      <c r="X242" s="113"/>
      <c r="Y242" s="113"/>
      <c r="Z242" s="113"/>
    </row>
    <row r="243" spans="3:26">
      <c r="C243" s="113"/>
      <c r="D243" s="113"/>
      <c r="E243" s="113"/>
      <c r="F243" s="113"/>
      <c r="G243" s="113"/>
      <c r="H243" s="113"/>
      <c r="I243" s="113"/>
      <c r="J243" s="113"/>
      <c r="K243" s="113"/>
      <c r="L243" s="113"/>
      <c r="M243" s="113"/>
      <c r="N243" s="113"/>
      <c r="O243" s="113"/>
      <c r="P243" s="113"/>
      <c r="Q243" s="113"/>
      <c r="R243" s="113"/>
      <c r="S243" s="113"/>
      <c r="T243" s="113"/>
      <c r="U243" s="113"/>
      <c r="V243" s="113"/>
      <c r="W243" s="113"/>
      <c r="X243" s="113"/>
      <c r="Y243" s="113"/>
      <c r="Z243" s="113"/>
    </row>
    <row r="244" spans="3:26">
      <c r="C244" s="113"/>
      <c r="D244" s="113"/>
      <c r="E244" s="113"/>
      <c r="F244" s="113"/>
      <c r="G244" s="113"/>
      <c r="H244" s="113"/>
      <c r="I244" s="113"/>
      <c r="J244" s="113"/>
      <c r="K244" s="113"/>
      <c r="L244" s="113"/>
      <c r="M244" s="113"/>
      <c r="N244" s="113"/>
      <c r="O244" s="113"/>
      <c r="P244" s="113"/>
      <c r="Q244" s="113"/>
      <c r="R244" s="113"/>
      <c r="S244" s="113"/>
      <c r="T244" s="113"/>
      <c r="U244" s="113"/>
      <c r="V244" s="113"/>
      <c r="W244" s="113"/>
      <c r="X244" s="113"/>
      <c r="Y244" s="113"/>
      <c r="Z244" s="113"/>
    </row>
    <row r="245" spans="3:26">
      <c r="C245" s="113"/>
      <c r="D245" s="113"/>
      <c r="E245" s="113"/>
      <c r="F245" s="113"/>
      <c r="G245" s="113"/>
      <c r="H245" s="113"/>
      <c r="I245" s="113"/>
      <c r="J245" s="113"/>
      <c r="K245" s="113"/>
      <c r="L245" s="113"/>
      <c r="M245" s="113"/>
      <c r="N245" s="113"/>
      <c r="O245" s="113"/>
      <c r="P245" s="113"/>
      <c r="Q245" s="113"/>
      <c r="R245" s="113"/>
      <c r="S245" s="113"/>
      <c r="T245" s="113"/>
      <c r="U245" s="113"/>
      <c r="V245" s="113"/>
      <c r="W245" s="113"/>
      <c r="X245" s="113"/>
      <c r="Y245" s="113"/>
      <c r="Z245" s="113"/>
    </row>
    <row r="246" spans="3:26">
      <c r="C246" s="113"/>
      <c r="D246" s="113"/>
      <c r="E246" s="113"/>
      <c r="F246" s="113"/>
      <c r="G246" s="113"/>
      <c r="H246" s="113"/>
      <c r="I246" s="113"/>
      <c r="J246" s="113"/>
      <c r="K246" s="113"/>
      <c r="L246" s="113"/>
      <c r="M246" s="113"/>
      <c r="N246" s="113"/>
      <c r="O246" s="113"/>
      <c r="P246" s="113"/>
      <c r="Q246" s="113"/>
      <c r="R246" s="113"/>
      <c r="S246" s="113"/>
      <c r="T246" s="113"/>
      <c r="U246" s="113"/>
      <c r="V246" s="113"/>
      <c r="W246" s="113"/>
      <c r="X246" s="113"/>
      <c r="Y246" s="113"/>
      <c r="Z246" s="113"/>
    </row>
    <row r="247" spans="3:26">
      <c r="C247" s="113"/>
      <c r="D247" s="113"/>
      <c r="E247" s="113"/>
      <c r="F247" s="113"/>
      <c r="G247" s="113"/>
      <c r="H247" s="113"/>
      <c r="I247" s="113"/>
      <c r="J247" s="113"/>
      <c r="K247" s="113"/>
      <c r="L247" s="113"/>
      <c r="M247" s="113"/>
      <c r="N247" s="113"/>
      <c r="O247" s="113"/>
      <c r="P247" s="113"/>
      <c r="Q247" s="113"/>
      <c r="R247" s="113"/>
      <c r="S247" s="113"/>
      <c r="T247" s="113"/>
      <c r="U247" s="113"/>
      <c r="V247" s="113"/>
      <c r="W247" s="113"/>
      <c r="X247" s="113"/>
      <c r="Y247" s="113"/>
      <c r="Z247" s="113"/>
    </row>
    <row r="248" spans="3:26">
      <c r="C248" s="113"/>
      <c r="D248" s="113"/>
      <c r="E248" s="113"/>
      <c r="F248" s="113"/>
      <c r="G248" s="113"/>
      <c r="H248" s="113"/>
      <c r="I248" s="113"/>
      <c r="J248" s="113"/>
      <c r="K248" s="113"/>
      <c r="L248" s="113"/>
      <c r="M248" s="113"/>
      <c r="N248" s="113"/>
      <c r="O248" s="113"/>
      <c r="P248" s="113"/>
      <c r="Q248" s="113"/>
      <c r="R248" s="113"/>
      <c r="S248" s="113"/>
      <c r="T248" s="113"/>
      <c r="U248" s="113"/>
      <c r="V248" s="113"/>
      <c r="W248" s="113"/>
      <c r="X248" s="113"/>
      <c r="Y248" s="113"/>
      <c r="Z248" s="113"/>
    </row>
    <row r="249" spans="3:26">
      <c r="C249" s="113"/>
      <c r="D249" s="113"/>
      <c r="E249" s="113"/>
      <c r="F249" s="113"/>
      <c r="G249" s="113"/>
      <c r="H249" s="113"/>
      <c r="I249" s="113"/>
      <c r="J249" s="113"/>
      <c r="K249" s="113"/>
      <c r="L249" s="113"/>
      <c r="M249" s="113"/>
      <c r="N249" s="113"/>
      <c r="O249" s="113"/>
      <c r="P249" s="113"/>
      <c r="Q249" s="113"/>
      <c r="R249" s="113"/>
      <c r="S249" s="113"/>
      <c r="T249" s="113"/>
      <c r="U249" s="113"/>
      <c r="V249" s="113"/>
      <c r="W249" s="113"/>
      <c r="X249" s="113"/>
      <c r="Y249" s="113"/>
      <c r="Z249" s="113"/>
    </row>
    <row r="250" spans="3:26">
      <c r="C250" s="113"/>
      <c r="D250" s="113"/>
      <c r="E250" s="113"/>
      <c r="F250" s="113"/>
      <c r="G250" s="113"/>
      <c r="H250" s="113"/>
      <c r="I250" s="113"/>
      <c r="J250" s="113"/>
      <c r="K250" s="113"/>
      <c r="L250" s="113"/>
      <c r="M250" s="113"/>
      <c r="N250" s="113"/>
      <c r="O250" s="113"/>
      <c r="P250" s="113"/>
      <c r="Q250" s="113"/>
      <c r="R250" s="113"/>
      <c r="S250" s="113"/>
      <c r="T250" s="113"/>
      <c r="U250" s="113"/>
      <c r="V250" s="113"/>
      <c r="W250" s="113"/>
      <c r="X250" s="113"/>
      <c r="Y250" s="113"/>
      <c r="Z250" s="113"/>
    </row>
    <row r="251" spans="3:26">
      <c r="C251" s="113"/>
      <c r="D251" s="113"/>
      <c r="E251" s="113"/>
      <c r="F251" s="113"/>
      <c r="G251" s="113"/>
      <c r="H251" s="113"/>
      <c r="I251" s="113"/>
      <c r="J251" s="113"/>
      <c r="K251" s="113"/>
      <c r="L251" s="113"/>
      <c r="M251" s="113"/>
      <c r="N251" s="113"/>
      <c r="O251" s="113"/>
      <c r="P251" s="113"/>
      <c r="Q251" s="113"/>
      <c r="R251" s="113"/>
      <c r="S251" s="113"/>
      <c r="T251" s="113"/>
      <c r="U251" s="113"/>
      <c r="V251" s="113"/>
      <c r="W251" s="113"/>
      <c r="X251" s="113"/>
      <c r="Y251" s="113"/>
      <c r="Z251" s="113"/>
    </row>
    <row r="252" spans="3:26">
      <c r="C252" s="113"/>
      <c r="D252" s="113"/>
      <c r="E252" s="113"/>
      <c r="F252" s="113"/>
      <c r="G252" s="113"/>
      <c r="H252" s="113"/>
      <c r="I252" s="113"/>
      <c r="J252" s="113"/>
      <c r="K252" s="113"/>
      <c r="L252" s="113"/>
      <c r="M252" s="113"/>
      <c r="N252" s="113"/>
      <c r="O252" s="113"/>
      <c r="P252" s="113"/>
      <c r="Q252" s="113"/>
      <c r="R252" s="113"/>
      <c r="S252" s="113"/>
      <c r="T252" s="113"/>
      <c r="U252" s="113"/>
      <c r="V252" s="113"/>
      <c r="W252" s="113"/>
      <c r="X252" s="113"/>
      <c r="Y252" s="113"/>
      <c r="Z252" s="113"/>
    </row>
    <row r="253" spans="3:26">
      <c r="C253" s="113"/>
      <c r="D253" s="113"/>
      <c r="E253" s="113"/>
      <c r="F253" s="113"/>
      <c r="G253" s="113"/>
      <c r="H253" s="113"/>
      <c r="I253" s="113"/>
      <c r="J253" s="113"/>
      <c r="K253" s="113"/>
      <c r="L253" s="113"/>
      <c r="M253" s="113"/>
      <c r="N253" s="113"/>
      <c r="O253" s="113"/>
      <c r="P253" s="113"/>
      <c r="Q253" s="113"/>
      <c r="R253" s="113"/>
      <c r="S253" s="113"/>
      <c r="T253" s="113"/>
      <c r="U253" s="113"/>
      <c r="V253" s="113"/>
      <c r="W253" s="113"/>
      <c r="X253" s="113"/>
      <c r="Y253" s="113"/>
      <c r="Z253" s="113"/>
    </row>
    <row r="254" spans="3:26">
      <c r="C254" s="113"/>
      <c r="D254" s="113"/>
      <c r="E254" s="113"/>
      <c r="F254" s="113"/>
      <c r="G254" s="113"/>
      <c r="H254" s="113"/>
      <c r="I254" s="113"/>
      <c r="J254" s="113"/>
      <c r="K254" s="113"/>
      <c r="L254" s="113"/>
      <c r="M254" s="113"/>
      <c r="N254" s="113"/>
      <c r="O254" s="113"/>
      <c r="P254" s="113"/>
      <c r="Q254" s="113"/>
      <c r="R254" s="113"/>
      <c r="S254" s="113"/>
      <c r="T254" s="113"/>
      <c r="U254" s="113"/>
      <c r="V254" s="113"/>
      <c r="W254" s="113"/>
      <c r="X254" s="113"/>
      <c r="Y254" s="113"/>
      <c r="Z254" s="113"/>
    </row>
    <row r="255" spans="3:26">
      <c r="C255" s="113"/>
      <c r="D255" s="113"/>
      <c r="E255" s="113"/>
      <c r="F255" s="113"/>
      <c r="G255" s="113"/>
      <c r="H255" s="113"/>
      <c r="I255" s="113"/>
      <c r="J255" s="113"/>
      <c r="K255" s="113"/>
      <c r="L255" s="113"/>
      <c r="M255" s="113"/>
      <c r="N255" s="113"/>
      <c r="O255" s="113"/>
      <c r="P255" s="113"/>
      <c r="Q255" s="113"/>
      <c r="R255" s="113"/>
      <c r="S255" s="113"/>
    </row>
    <row r="256" spans="3:26">
      <c r="C256" s="113"/>
      <c r="D256" s="113"/>
      <c r="E256" s="113"/>
      <c r="F256" s="113"/>
      <c r="G256" s="113"/>
      <c r="H256" s="113"/>
      <c r="I256" s="113"/>
      <c r="J256" s="113"/>
      <c r="K256" s="113"/>
      <c r="L256" s="113"/>
      <c r="M256" s="113"/>
      <c r="N256" s="113"/>
      <c r="O256" s="113"/>
      <c r="P256" s="113"/>
      <c r="Q256" s="113"/>
      <c r="R256" s="113"/>
      <c r="S256" s="113"/>
    </row>
    <row r="257" spans="3:19">
      <c r="C257" s="113"/>
      <c r="D257" s="113"/>
      <c r="E257" s="113"/>
      <c r="F257" s="113"/>
      <c r="G257" s="113"/>
      <c r="H257" s="113"/>
      <c r="I257" s="113"/>
      <c r="J257" s="113"/>
      <c r="K257" s="113"/>
      <c r="L257" s="113"/>
      <c r="M257" s="113"/>
      <c r="N257" s="113"/>
      <c r="O257" s="113"/>
      <c r="P257" s="113"/>
      <c r="Q257" s="113"/>
      <c r="R257" s="113"/>
      <c r="S257" s="113"/>
    </row>
    <row r="258" spans="3:19">
      <c r="C258" s="113"/>
      <c r="D258" s="113"/>
      <c r="E258" s="113"/>
      <c r="F258" s="113"/>
      <c r="G258" s="113"/>
      <c r="H258" s="113"/>
      <c r="I258" s="113"/>
      <c r="J258" s="113"/>
      <c r="K258" s="113"/>
      <c r="L258" s="113"/>
      <c r="M258" s="113"/>
      <c r="N258" s="113"/>
      <c r="O258" s="113"/>
      <c r="P258" s="113"/>
      <c r="Q258" s="113"/>
      <c r="R258" s="113"/>
      <c r="S258" s="113"/>
    </row>
    <row r="259" spans="3:19">
      <c r="C259" s="113"/>
      <c r="D259" s="113"/>
      <c r="E259" s="113"/>
      <c r="F259" s="113"/>
      <c r="G259" s="113"/>
      <c r="H259" s="113"/>
      <c r="I259" s="113"/>
      <c r="J259" s="113"/>
      <c r="K259" s="113"/>
      <c r="L259" s="113"/>
      <c r="M259" s="113"/>
      <c r="N259" s="113"/>
      <c r="O259" s="113"/>
      <c r="P259" s="113"/>
      <c r="Q259" s="113"/>
      <c r="R259" s="113"/>
      <c r="S259" s="113"/>
    </row>
    <row r="260" spans="3:19">
      <c r="C260" s="113"/>
      <c r="D260" s="113"/>
      <c r="E260" s="113"/>
      <c r="F260" s="113"/>
      <c r="G260" s="113"/>
      <c r="H260" s="113"/>
      <c r="I260" s="113"/>
      <c r="J260" s="113"/>
      <c r="K260" s="113"/>
      <c r="L260" s="113"/>
      <c r="M260" s="113"/>
      <c r="N260" s="113"/>
      <c r="O260" s="113"/>
      <c r="P260" s="113"/>
      <c r="Q260" s="113"/>
      <c r="R260" s="113"/>
      <c r="S260" s="113"/>
    </row>
    <row r="261" spans="3:19">
      <c r="C261" s="113"/>
      <c r="D261" s="113"/>
      <c r="E261" s="113"/>
      <c r="F261" s="113"/>
      <c r="G261" s="113"/>
      <c r="H261" s="113"/>
      <c r="I261" s="113"/>
      <c r="J261" s="113"/>
      <c r="K261" s="113"/>
      <c r="L261" s="113"/>
      <c r="M261" s="113"/>
      <c r="N261" s="113"/>
      <c r="O261" s="113"/>
      <c r="P261" s="113"/>
      <c r="Q261" s="113"/>
      <c r="R261" s="113"/>
      <c r="S261" s="113"/>
    </row>
    <row r="262" spans="3:19">
      <c r="C262" s="113"/>
      <c r="D262" s="113"/>
      <c r="E262" s="113"/>
      <c r="F262" s="113"/>
      <c r="G262" s="113"/>
      <c r="H262" s="113"/>
      <c r="I262" s="113"/>
      <c r="J262" s="113"/>
      <c r="K262" s="113"/>
      <c r="L262" s="113"/>
      <c r="M262" s="113"/>
      <c r="N262" s="113"/>
      <c r="O262" s="113"/>
      <c r="P262" s="113"/>
      <c r="Q262" s="113"/>
      <c r="R262" s="113"/>
      <c r="S262" s="113"/>
    </row>
  </sheetData>
  <mergeCells count="10">
    <mergeCell ref="C106:S106"/>
    <mergeCell ref="C108:S108"/>
    <mergeCell ref="C112:S112"/>
    <mergeCell ref="C113:S113"/>
    <mergeCell ref="C115:S115"/>
    <mergeCell ref="C114:S114"/>
    <mergeCell ref="C109:S109"/>
    <mergeCell ref="C107:S107"/>
    <mergeCell ref="C110:S110"/>
    <mergeCell ref="C111:S111"/>
  </mergeCells>
  <pageMargins left="0.7" right="0.7" top="0.75" bottom="0.75" header="0.3" footer="0.3"/>
  <pageSetup scale="32" fitToHeight="2" orientation="landscape" r:id="rId1"/>
  <headerFooter>
    <oddFooter>&amp;RV31
EFF 10.18.14</oddFooter>
  </headerFooter>
  <rowBreaks count="1" manualBreakCount="1">
    <brk id="61" max="1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N67"/>
  <sheetViews>
    <sheetView zoomScaleNormal="100" zoomScaleSheetLayoutView="85" workbookViewId="0">
      <pane xSplit="2" ySplit="10" topLeftCell="C11" activePane="bottomRight" state="frozen"/>
      <selection activeCell="M73" sqref="M73"/>
      <selection pane="topRight" activeCell="M73" sqref="M73"/>
      <selection pane="bottomLeft" activeCell="M73" sqref="M73"/>
      <selection pane="bottomRight" activeCell="B7" sqref="B7"/>
    </sheetView>
  </sheetViews>
  <sheetFormatPr defaultColWidth="9.109375" defaultRowHeight="13.2"/>
  <cols>
    <col min="1" max="1" width="21.33203125" style="171" customWidth="1"/>
    <col min="2" max="2" width="32.88671875" style="171" customWidth="1"/>
    <col min="3" max="10" width="13.88671875" style="171" customWidth="1"/>
    <col min="11" max="11" width="13.88671875" style="231" customWidth="1"/>
    <col min="12" max="14" width="13.88671875" style="171" customWidth="1"/>
    <col min="15" max="16384" width="9.109375" style="171"/>
  </cols>
  <sheetData>
    <row r="1" spans="1:14">
      <c r="C1" s="329">
        <v>1</v>
      </c>
      <c r="D1" s="329">
        <f>+C1+1</f>
        <v>2</v>
      </c>
      <c r="E1" s="329">
        <f t="shared" ref="E1:N1" si="0">+D1+1</f>
        <v>3</v>
      </c>
      <c r="F1" s="329">
        <f t="shared" si="0"/>
        <v>4</v>
      </c>
      <c r="G1" s="329">
        <f t="shared" si="0"/>
        <v>5</v>
      </c>
      <c r="H1" s="329">
        <f t="shared" si="0"/>
        <v>6</v>
      </c>
      <c r="I1" s="329">
        <f t="shared" si="0"/>
        <v>7</v>
      </c>
      <c r="J1" s="329">
        <f t="shared" si="0"/>
        <v>8</v>
      </c>
      <c r="K1" s="329">
        <f t="shared" si="0"/>
        <v>9</v>
      </c>
      <c r="L1" s="329">
        <f t="shared" si="0"/>
        <v>10</v>
      </c>
      <c r="M1" s="329">
        <f t="shared" si="0"/>
        <v>11</v>
      </c>
      <c r="N1" s="329">
        <f t="shared" si="0"/>
        <v>12</v>
      </c>
    </row>
    <row r="2" spans="1:14" s="178" customFormat="1" ht="17.399999999999999">
      <c r="A2" s="177" t="s">
        <v>7</v>
      </c>
      <c r="K2" s="179"/>
    </row>
    <row r="3" spans="1:14">
      <c r="A3" s="180"/>
    </row>
    <row r="4" spans="1:14">
      <c r="A4" s="181" t="s">
        <v>453</v>
      </c>
      <c r="B4" s="407">
        <v>2015</v>
      </c>
      <c r="C4" s="182"/>
      <c r="D4" s="182"/>
      <c r="E4" s="182"/>
      <c r="G4" s="182"/>
      <c r="H4" s="182"/>
      <c r="I4" s="182"/>
    </row>
    <row r="5" spans="1:14">
      <c r="A5" s="180"/>
      <c r="B5" s="182"/>
      <c r="C5" s="182"/>
      <c r="D5" s="182"/>
      <c r="E5" s="182"/>
      <c r="G5" s="182"/>
      <c r="H5" s="182"/>
      <c r="I5" s="182"/>
    </row>
    <row r="6" spans="1:14">
      <c r="A6" s="181" t="s">
        <v>454</v>
      </c>
      <c r="B6" s="183" t="s">
        <v>341</v>
      </c>
      <c r="C6" s="182"/>
      <c r="D6" s="182"/>
      <c r="E6" s="182"/>
      <c r="G6" s="182"/>
      <c r="H6" s="182"/>
      <c r="I6" s="182"/>
    </row>
    <row r="7" spans="1:14">
      <c r="A7" s="180"/>
      <c r="B7" s="182"/>
      <c r="C7" s="327"/>
      <c r="D7" s="184"/>
      <c r="E7" s="184"/>
      <c r="F7" s="184"/>
      <c r="G7" s="184"/>
      <c r="H7" s="184"/>
      <c r="I7" s="184"/>
      <c r="J7" s="184"/>
      <c r="K7" s="184"/>
      <c r="L7" s="184"/>
      <c r="M7" s="184"/>
      <c r="N7" s="184"/>
    </row>
    <row r="8" spans="1:14" ht="13.8">
      <c r="A8" s="408"/>
      <c r="B8" s="410" t="s">
        <v>6</v>
      </c>
      <c r="C8" s="411">
        <v>3127</v>
      </c>
      <c r="D8" s="411">
        <v>2844</v>
      </c>
      <c r="E8" s="411" t="s">
        <v>578</v>
      </c>
      <c r="F8" s="411" t="s">
        <v>578</v>
      </c>
      <c r="G8" s="411" t="s">
        <v>578</v>
      </c>
      <c r="H8" s="411" t="s">
        <v>578</v>
      </c>
      <c r="I8" s="411" t="s">
        <v>578</v>
      </c>
      <c r="J8" s="411" t="s">
        <v>578</v>
      </c>
      <c r="K8" s="411" t="s">
        <v>578</v>
      </c>
      <c r="L8" s="411" t="s">
        <v>578</v>
      </c>
      <c r="M8" s="411" t="s">
        <v>578</v>
      </c>
      <c r="N8" s="411" t="s">
        <v>578</v>
      </c>
    </row>
    <row r="9" spans="1:14" ht="13.8">
      <c r="A9" s="408"/>
      <c r="B9" s="410" t="s">
        <v>456</v>
      </c>
      <c r="C9" s="412" t="s">
        <v>455</v>
      </c>
      <c r="D9" s="412" t="s">
        <v>455</v>
      </c>
      <c r="E9" s="412" t="s">
        <v>455</v>
      </c>
      <c r="F9" s="412" t="s">
        <v>455</v>
      </c>
      <c r="G9" s="412" t="s">
        <v>455</v>
      </c>
      <c r="H9" s="412" t="s">
        <v>455</v>
      </c>
      <c r="I9" s="412" t="s">
        <v>455</v>
      </c>
      <c r="J9" s="412" t="s">
        <v>455</v>
      </c>
      <c r="K9" s="412" t="s">
        <v>455</v>
      </c>
      <c r="L9" s="412" t="s">
        <v>455</v>
      </c>
      <c r="M9" s="412" t="s">
        <v>455</v>
      </c>
      <c r="N9" s="412" t="s">
        <v>455</v>
      </c>
    </row>
    <row r="10" spans="1:14" ht="15" customHeight="1">
      <c r="A10" s="408"/>
      <c r="B10" s="410" t="s">
        <v>5</v>
      </c>
      <c r="C10" s="413" t="s">
        <v>513</v>
      </c>
      <c r="D10" s="413" t="s">
        <v>513</v>
      </c>
      <c r="E10" s="413" t="s">
        <v>513</v>
      </c>
      <c r="F10" s="413" t="s">
        <v>513</v>
      </c>
      <c r="G10" s="413" t="s">
        <v>513</v>
      </c>
      <c r="H10" s="413" t="s">
        <v>513</v>
      </c>
      <c r="I10" s="413" t="s">
        <v>513</v>
      </c>
      <c r="J10" s="413" t="s">
        <v>513</v>
      </c>
      <c r="K10" s="413" t="s">
        <v>513</v>
      </c>
      <c r="L10" s="413" t="s">
        <v>513</v>
      </c>
      <c r="M10" s="413" t="s">
        <v>513</v>
      </c>
      <c r="N10" s="413" t="s">
        <v>513</v>
      </c>
    </row>
    <row r="11" spans="1:14">
      <c r="A11" s="185" t="s">
        <v>457</v>
      </c>
      <c r="B11" s="186" t="str">
        <f>"December "&amp;B4-1</f>
        <v>December 2014</v>
      </c>
      <c r="C11" s="199">
        <v>0</v>
      </c>
      <c r="D11" s="200">
        <v>33526020.93</v>
      </c>
      <c r="E11" s="199">
        <v>0</v>
      </c>
      <c r="F11" s="200">
        <v>0</v>
      </c>
      <c r="G11" s="199">
        <v>0</v>
      </c>
      <c r="H11" s="200">
        <v>0</v>
      </c>
      <c r="I11" s="199">
        <v>0</v>
      </c>
      <c r="J11" s="200">
        <v>0</v>
      </c>
      <c r="K11" s="199">
        <v>0</v>
      </c>
      <c r="L11" s="200">
        <v>0</v>
      </c>
      <c r="M11" s="199">
        <v>0</v>
      </c>
      <c r="N11" s="233">
        <v>0</v>
      </c>
    </row>
    <row r="12" spans="1:14">
      <c r="A12" s="190" t="s">
        <v>458</v>
      </c>
      <c r="B12" s="191" t="str">
        <f>"January "&amp;B4</f>
        <v>January 2015</v>
      </c>
      <c r="C12" s="187">
        <v>0</v>
      </c>
      <c r="D12" s="188">
        <v>33530577.370000001</v>
      </c>
      <c r="E12" s="187">
        <v>0</v>
      </c>
      <c r="F12" s="188">
        <v>0</v>
      </c>
      <c r="G12" s="187">
        <v>0</v>
      </c>
      <c r="H12" s="188">
        <v>0</v>
      </c>
      <c r="I12" s="187">
        <v>0</v>
      </c>
      <c r="J12" s="188">
        <v>0</v>
      </c>
      <c r="K12" s="187">
        <v>0</v>
      </c>
      <c r="L12" s="188">
        <v>0</v>
      </c>
      <c r="M12" s="187">
        <v>0</v>
      </c>
      <c r="N12" s="232">
        <v>0</v>
      </c>
    </row>
    <row r="13" spans="1:14">
      <c r="A13" s="190"/>
      <c r="B13" s="192" t="s">
        <v>24</v>
      </c>
      <c r="C13" s="187">
        <v>0</v>
      </c>
      <c r="D13" s="188">
        <v>33530245.150000002</v>
      </c>
      <c r="E13" s="187">
        <v>0</v>
      </c>
      <c r="F13" s="188">
        <v>0</v>
      </c>
      <c r="G13" s="187">
        <v>0</v>
      </c>
      <c r="H13" s="188">
        <v>0</v>
      </c>
      <c r="I13" s="187">
        <v>0</v>
      </c>
      <c r="J13" s="188">
        <v>0</v>
      </c>
      <c r="K13" s="187">
        <v>0</v>
      </c>
      <c r="L13" s="188">
        <v>0</v>
      </c>
      <c r="M13" s="187">
        <v>0</v>
      </c>
      <c r="N13" s="232">
        <v>0</v>
      </c>
    </row>
    <row r="14" spans="1:14">
      <c r="A14" s="190"/>
      <c r="B14" s="192" t="s">
        <v>451</v>
      </c>
      <c r="C14" s="187">
        <v>0</v>
      </c>
      <c r="D14" s="188">
        <v>33530245.149999999</v>
      </c>
      <c r="E14" s="187">
        <v>0</v>
      </c>
      <c r="F14" s="188">
        <v>0</v>
      </c>
      <c r="G14" s="187">
        <v>0</v>
      </c>
      <c r="H14" s="188">
        <v>0</v>
      </c>
      <c r="I14" s="187">
        <v>0</v>
      </c>
      <c r="J14" s="188">
        <v>0</v>
      </c>
      <c r="K14" s="187">
        <v>0</v>
      </c>
      <c r="L14" s="188">
        <v>0</v>
      </c>
      <c r="M14" s="187">
        <v>0</v>
      </c>
      <c r="N14" s="232">
        <v>0</v>
      </c>
    </row>
    <row r="15" spans="1:14">
      <c r="A15" s="190"/>
      <c r="B15" s="192" t="s">
        <v>23</v>
      </c>
      <c r="C15" s="187">
        <v>3757102.4600000004</v>
      </c>
      <c r="D15" s="188">
        <v>33530245.150000006</v>
      </c>
      <c r="E15" s="187">
        <v>0</v>
      </c>
      <c r="F15" s="188">
        <v>0</v>
      </c>
      <c r="G15" s="187">
        <v>0</v>
      </c>
      <c r="H15" s="188">
        <v>0</v>
      </c>
      <c r="I15" s="187">
        <v>0</v>
      </c>
      <c r="J15" s="188">
        <v>0</v>
      </c>
      <c r="K15" s="187">
        <v>0</v>
      </c>
      <c r="L15" s="188">
        <v>0</v>
      </c>
      <c r="M15" s="187">
        <v>0</v>
      </c>
      <c r="N15" s="232">
        <v>0</v>
      </c>
    </row>
    <row r="16" spans="1:14">
      <c r="A16" s="190"/>
      <c r="B16" s="192" t="s">
        <v>22</v>
      </c>
      <c r="C16" s="187">
        <v>4415034.3100000005</v>
      </c>
      <c r="D16" s="188">
        <v>33530245.150000006</v>
      </c>
      <c r="E16" s="187">
        <v>0</v>
      </c>
      <c r="F16" s="188">
        <v>0</v>
      </c>
      <c r="G16" s="187">
        <v>0</v>
      </c>
      <c r="H16" s="188">
        <v>0</v>
      </c>
      <c r="I16" s="187">
        <v>0</v>
      </c>
      <c r="J16" s="188">
        <v>0</v>
      </c>
      <c r="K16" s="187">
        <v>0</v>
      </c>
      <c r="L16" s="188">
        <v>0</v>
      </c>
      <c r="M16" s="187">
        <v>0</v>
      </c>
      <c r="N16" s="232">
        <v>0</v>
      </c>
    </row>
    <row r="17" spans="1:14">
      <c r="A17" s="190"/>
      <c r="B17" s="192" t="s">
        <v>21</v>
      </c>
      <c r="C17" s="187">
        <v>5442844.4700000007</v>
      </c>
      <c r="D17" s="188">
        <v>33530245.150000006</v>
      </c>
      <c r="E17" s="187">
        <v>0</v>
      </c>
      <c r="F17" s="188">
        <v>0</v>
      </c>
      <c r="G17" s="187">
        <v>0</v>
      </c>
      <c r="H17" s="188">
        <v>0</v>
      </c>
      <c r="I17" s="187">
        <v>0</v>
      </c>
      <c r="J17" s="188">
        <v>0</v>
      </c>
      <c r="K17" s="187">
        <v>0</v>
      </c>
      <c r="L17" s="188">
        <v>0</v>
      </c>
      <c r="M17" s="187">
        <v>0</v>
      </c>
      <c r="N17" s="232">
        <v>0</v>
      </c>
    </row>
    <row r="18" spans="1:14">
      <c r="A18" s="190"/>
      <c r="B18" s="192" t="s">
        <v>20</v>
      </c>
      <c r="C18" s="187">
        <v>6331627.1799999997</v>
      </c>
      <c r="D18" s="188">
        <v>33530245.150000006</v>
      </c>
      <c r="E18" s="187">
        <v>0</v>
      </c>
      <c r="F18" s="188">
        <v>0</v>
      </c>
      <c r="G18" s="187">
        <v>0</v>
      </c>
      <c r="H18" s="188">
        <v>0</v>
      </c>
      <c r="I18" s="187">
        <v>0</v>
      </c>
      <c r="J18" s="188">
        <v>0</v>
      </c>
      <c r="K18" s="187">
        <v>0</v>
      </c>
      <c r="L18" s="188">
        <v>0</v>
      </c>
      <c r="M18" s="187">
        <v>0</v>
      </c>
      <c r="N18" s="232">
        <v>0</v>
      </c>
    </row>
    <row r="19" spans="1:14">
      <c r="A19" s="190"/>
      <c r="B19" s="192" t="s">
        <v>452</v>
      </c>
      <c r="C19" s="187">
        <v>7666451.9299999997</v>
      </c>
      <c r="D19" s="188">
        <v>33530245.150000006</v>
      </c>
      <c r="E19" s="187">
        <v>0</v>
      </c>
      <c r="F19" s="188">
        <v>0</v>
      </c>
      <c r="G19" s="187">
        <v>0</v>
      </c>
      <c r="H19" s="188">
        <v>0</v>
      </c>
      <c r="I19" s="187">
        <v>0</v>
      </c>
      <c r="J19" s="188">
        <v>0</v>
      </c>
      <c r="K19" s="187">
        <v>0</v>
      </c>
      <c r="L19" s="188">
        <v>0</v>
      </c>
      <c r="M19" s="187">
        <v>0</v>
      </c>
      <c r="N19" s="232">
        <v>0</v>
      </c>
    </row>
    <row r="20" spans="1:14">
      <c r="A20" s="190"/>
      <c r="B20" s="192" t="s">
        <v>19</v>
      </c>
      <c r="C20" s="187">
        <v>9892217.8000000007</v>
      </c>
      <c r="D20" s="188">
        <v>33530245.150000006</v>
      </c>
      <c r="E20" s="187">
        <v>0</v>
      </c>
      <c r="F20" s="188">
        <v>0</v>
      </c>
      <c r="G20" s="187">
        <v>0</v>
      </c>
      <c r="H20" s="188">
        <v>0</v>
      </c>
      <c r="I20" s="187">
        <v>0</v>
      </c>
      <c r="J20" s="188">
        <v>0</v>
      </c>
      <c r="K20" s="187">
        <v>0</v>
      </c>
      <c r="L20" s="188">
        <v>0</v>
      </c>
      <c r="M20" s="187">
        <v>0</v>
      </c>
      <c r="N20" s="232">
        <v>0</v>
      </c>
    </row>
    <row r="21" spans="1:14">
      <c r="A21" s="190"/>
      <c r="B21" s="192" t="s">
        <v>18</v>
      </c>
      <c r="C21" s="187">
        <v>11520907.720000001</v>
      </c>
      <c r="D21" s="188">
        <v>33530245.149999999</v>
      </c>
      <c r="E21" s="187">
        <v>0</v>
      </c>
      <c r="F21" s="188">
        <v>0</v>
      </c>
      <c r="G21" s="187">
        <v>0</v>
      </c>
      <c r="H21" s="188">
        <v>0</v>
      </c>
      <c r="I21" s="187">
        <v>0</v>
      </c>
      <c r="J21" s="188">
        <v>0</v>
      </c>
      <c r="K21" s="187">
        <v>0</v>
      </c>
      <c r="L21" s="188">
        <v>0</v>
      </c>
      <c r="M21" s="187">
        <v>0</v>
      </c>
      <c r="N21" s="232">
        <v>0</v>
      </c>
    </row>
    <row r="22" spans="1:14">
      <c r="A22" s="190"/>
      <c r="B22" s="192" t="s">
        <v>17</v>
      </c>
      <c r="C22" s="187">
        <v>13537811.809999999</v>
      </c>
      <c r="D22" s="188">
        <v>33530245.149999999</v>
      </c>
      <c r="E22" s="187">
        <v>0</v>
      </c>
      <c r="F22" s="188">
        <v>0</v>
      </c>
      <c r="G22" s="187">
        <v>0</v>
      </c>
      <c r="H22" s="188">
        <v>0</v>
      </c>
      <c r="I22" s="187">
        <v>0</v>
      </c>
      <c r="J22" s="188">
        <v>0</v>
      </c>
      <c r="K22" s="187">
        <v>0</v>
      </c>
      <c r="L22" s="188">
        <v>0</v>
      </c>
      <c r="M22" s="187">
        <v>0</v>
      </c>
      <c r="N22" s="232">
        <v>0</v>
      </c>
    </row>
    <row r="23" spans="1:14">
      <c r="A23" s="193"/>
      <c r="B23" s="194" t="str">
        <f>"December "&amp;B4</f>
        <v>December 2015</v>
      </c>
      <c r="C23" s="202">
        <v>16115512.83</v>
      </c>
      <c r="D23" s="203">
        <v>33530245.149999999</v>
      </c>
      <c r="E23" s="202">
        <v>0</v>
      </c>
      <c r="F23" s="203">
        <v>0</v>
      </c>
      <c r="G23" s="202">
        <v>0</v>
      </c>
      <c r="H23" s="203">
        <v>0</v>
      </c>
      <c r="I23" s="202">
        <v>0</v>
      </c>
      <c r="J23" s="203">
        <v>0</v>
      </c>
      <c r="K23" s="202">
        <v>0</v>
      </c>
      <c r="L23" s="203">
        <v>0</v>
      </c>
      <c r="M23" s="202">
        <v>0</v>
      </c>
      <c r="N23" s="234">
        <v>0</v>
      </c>
    </row>
    <row r="24" spans="1:14">
      <c r="A24" s="195"/>
      <c r="B24" s="227" t="s">
        <v>4</v>
      </c>
      <c r="C24" s="197">
        <f>AVERAGE(C11:C23)</f>
        <v>6052270.0392307695</v>
      </c>
      <c r="D24" s="197">
        <f>AVERAGE(D11:D23)</f>
        <v>33529945.765384611</v>
      </c>
      <c r="E24" s="197">
        <f>AVERAGE(E11:E23)</f>
        <v>0</v>
      </c>
      <c r="F24" s="197">
        <f>AVERAGE(F11:F23)</f>
        <v>0</v>
      </c>
      <c r="G24" s="197">
        <f>AVERAGE(G11:G23)</f>
        <v>0</v>
      </c>
      <c r="H24" s="197">
        <f t="shared" ref="H24:N24" si="1">AVERAGE(H11:H23)</f>
        <v>0</v>
      </c>
      <c r="I24" s="197">
        <f t="shared" si="1"/>
        <v>0</v>
      </c>
      <c r="J24" s="197">
        <f t="shared" si="1"/>
        <v>0</v>
      </c>
      <c r="K24" s="197">
        <f t="shared" si="1"/>
        <v>0</v>
      </c>
      <c r="L24" s="197">
        <f t="shared" si="1"/>
        <v>0</v>
      </c>
      <c r="M24" s="197">
        <f t="shared" si="1"/>
        <v>0</v>
      </c>
      <c r="N24" s="198">
        <f t="shared" si="1"/>
        <v>0</v>
      </c>
    </row>
    <row r="25" spans="1:14">
      <c r="A25" s="195"/>
      <c r="B25" s="227"/>
      <c r="C25" s="227"/>
      <c r="D25" s="227"/>
      <c r="E25" s="227"/>
      <c r="F25" s="227"/>
      <c r="G25" s="227"/>
      <c r="H25" s="227"/>
      <c r="I25" s="227"/>
      <c r="J25" s="227"/>
      <c r="K25" s="227"/>
      <c r="L25" s="227"/>
    </row>
    <row r="26" spans="1:14">
      <c r="A26" s="195"/>
      <c r="B26" s="227"/>
      <c r="C26" s="227"/>
      <c r="D26" s="227"/>
      <c r="E26" s="227"/>
      <c r="F26" s="227"/>
      <c r="G26" s="227"/>
      <c r="H26" s="227"/>
      <c r="I26" s="227"/>
      <c r="J26" s="227"/>
      <c r="K26" s="227"/>
      <c r="L26" s="227"/>
    </row>
    <row r="27" spans="1:14">
      <c r="A27" s="185" t="s">
        <v>459</v>
      </c>
      <c r="B27" s="186" t="str">
        <f>+B11</f>
        <v>December 2014</v>
      </c>
      <c r="C27" s="199">
        <f>+C11-C44</f>
        <v>0</v>
      </c>
      <c r="D27" s="200">
        <f t="shared" ref="D27:N27" si="2">+D11-D44</f>
        <v>785822.26999999955</v>
      </c>
      <c r="E27" s="199">
        <f t="shared" si="2"/>
        <v>0</v>
      </c>
      <c r="F27" s="200">
        <f t="shared" si="2"/>
        <v>0</v>
      </c>
      <c r="G27" s="199">
        <f t="shared" si="2"/>
        <v>0</v>
      </c>
      <c r="H27" s="200">
        <f t="shared" si="2"/>
        <v>0</v>
      </c>
      <c r="I27" s="199">
        <f t="shared" si="2"/>
        <v>0</v>
      </c>
      <c r="J27" s="200">
        <f t="shared" si="2"/>
        <v>0</v>
      </c>
      <c r="K27" s="199">
        <f t="shared" si="2"/>
        <v>0</v>
      </c>
      <c r="L27" s="200">
        <f t="shared" si="2"/>
        <v>0</v>
      </c>
      <c r="M27" s="199">
        <f t="shared" si="2"/>
        <v>0</v>
      </c>
      <c r="N27" s="233">
        <f t="shared" si="2"/>
        <v>0</v>
      </c>
    </row>
    <row r="28" spans="1:14">
      <c r="A28" s="190" t="s">
        <v>460</v>
      </c>
      <c r="B28" s="191" t="str">
        <f t="shared" ref="B28:B39" si="3">+B12</f>
        <v>January 2015</v>
      </c>
      <c r="C28" s="187">
        <f t="shared" ref="C28:N39" si="4">+C12-C45</f>
        <v>0</v>
      </c>
      <c r="D28" s="188">
        <f t="shared" si="4"/>
        <v>848199.48000000045</v>
      </c>
      <c r="E28" s="187">
        <f t="shared" si="4"/>
        <v>0</v>
      </c>
      <c r="F28" s="188">
        <f t="shared" si="4"/>
        <v>0</v>
      </c>
      <c r="G28" s="187">
        <f t="shared" si="4"/>
        <v>0</v>
      </c>
      <c r="H28" s="188">
        <f t="shared" si="4"/>
        <v>0</v>
      </c>
      <c r="I28" s="187">
        <f t="shared" si="4"/>
        <v>0</v>
      </c>
      <c r="J28" s="188">
        <f t="shared" si="4"/>
        <v>0</v>
      </c>
      <c r="K28" s="187">
        <f t="shared" si="4"/>
        <v>0</v>
      </c>
      <c r="L28" s="188">
        <f t="shared" si="4"/>
        <v>0</v>
      </c>
      <c r="M28" s="187">
        <f t="shared" si="4"/>
        <v>0</v>
      </c>
      <c r="N28" s="232">
        <f t="shared" si="4"/>
        <v>0</v>
      </c>
    </row>
    <row r="29" spans="1:14">
      <c r="A29" s="190"/>
      <c r="B29" s="191" t="str">
        <f t="shared" si="3"/>
        <v>February</v>
      </c>
      <c r="C29" s="187">
        <f t="shared" si="4"/>
        <v>0</v>
      </c>
      <c r="D29" s="188">
        <f t="shared" ref="D29" si="5">+D13-D46</f>
        <v>910584.89999999851</v>
      </c>
      <c r="E29" s="187">
        <f t="shared" si="4"/>
        <v>0</v>
      </c>
      <c r="F29" s="188">
        <f t="shared" si="4"/>
        <v>0</v>
      </c>
      <c r="G29" s="187">
        <f t="shared" si="4"/>
        <v>0</v>
      </c>
      <c r="H29" s="188">
        <f t="shared" si="4"/>
        <v>0</v>
      </c>
      <c r="I29" s="187">
        <f t="shared" si="4"/>
        <v>0</v>
      </c>
      <c r="J29" s="188">
        <f t="shared" si="4"/>
        <v>0</v>
      </c>
      <c r="K29" s="187">
        <f t="shared" si="4"/>
        <v>0</v>
      </c>
      <c r="L29" s="188">
        <f t="shared" si="4"/>
        <v>0</v>
      </c>
      <c r="M29" s="187">
        <f t="shared" si="4"/>
        <v>0</v>
      </c>
      <c r="N29" s="232">
        <f t="shared" si="4"/>
        <v>0</v>
      </c>
    </row>
    <row r="30" spans="1:14">
      <c r="A30" s="190"/>
      <c r="B30" s="191" t="str">
        <f t="shared" si="3"/>
        <v xml:space="preserve">March </v>
      </c>
      <c r="C30" s="187">
        <f t="shared" si="4"/>
        <v>0</v>
      </c>
      <c r="D30" s="188">
        <f t="shared" ref="D30" si="6">+D14-D47</f>
        <v>972969.64999999851</v>
      </c>
      <c r="E30" s="187">
        <f t="shared" si="4"/>
        <v>0</v>
      </c>
      <c r="F30" s="188">
        <f t="shared" si="4"/>
        <v>0</v>
      </c>
      <c r="G30" s="187">
        <f t="shared" si="4"/>
        <v>0</v>
      </c>
      <c r="H30" s="188">
        <f t="shared" si="4"/>
        <v>0</v>
      </c>
      <c r="I30" s="187">
        <f t="shared" si="4"/>
        <v>0</v>
      </c>
      <c r="J30" s="188">
        <f t="shared" si="4"/>
        <v>0</v>
      </c>
      <c r="K30" s="187">
        <f t="shared" si="4"/>
        <v>0</v>
      </c>
      <c r="L30" s="188">
        <f t="shared" si="4"/>
        <v>0</v>
      </c>
      <c r="M30" s="187">
        <f t="shared" si="4"/>
        <v>0</v>
      </c>
      <c r="N30" s="232">
        <f t="shared" si="4"/>
        <v>0</v>
      </c>
    </row>
    <row r="31" spans="1:14">
      <c r="A31" s="190"/>
      <c r="B31" s="191" t="str">
        <f t="shared" si="3"/>
        <v>April</v>
      </c>
      <c r="C31" s="187">
        <f t="shared" si="4"/>
        <v>0</v>
      </c>
      <c r="D31" s="188">
        <f t="shared" ref="D31" si="7">+D15-D48</f>
        <v>1035354.3999999985</v>
      </c>
      <c r="E31" s="187">
        <f t="shared" si="4"/>
        <v>0</v>
      </c>
      <c r="F31" s="188">
        <f t="shared" si="4"/>
        <v>0</v>
      </c>
      <c r="G31" s="187">
        <f t="shared" si="4"/>
        <v>0</v>
      </c>
      <c r="H31" s="188">
        <f t="shared" si="4"/>
        <v>0</v>
      </c>
      <c r="I31" s="187">
        <f t="shared" si="4"/>
        <v>0</v>
      </c>
      <c r="J31" s="188">
        <f t="shared" si="4"/>
        <v>0</v>
      </c>
      <c r="K31" s="187">
        <f t="shared" si="4"/>
        <v>0</v>
      </c>
      <c r="L31" s="188">
        <f t="shared" si="4"/>
        <v>0</v>
      </c>
      <c r="M31" s="187">
        <f t="shared" si="4"/>
        <v>0</v>
      </c>
      <c r="N31" s="232">
        <f t="shared" si="4"/>
        <v>0</v>
      </c>
    </row>
    <row r="32" spans="1:14">
      <c r="A32" s="190"/>
      <c r="B32" s="191" t="str">
        <f t="shared" si="3"/>
        <v>May</v>
      </c>
      <c r="C32" s="187">
        <f t="shared" si="4"/>
        <v>0</v>
      </c>
      <c r="D32" s="188">
        <f t="shared" ref="D32" si="8">+D16-D49</f>
        <v>1097818.0100000016</v>
      </c>
      <c r="E32" s="187">
        <f t="shared" si="4"/>
        <v>0</v>
      </c>
      <c r="F32" s="188">
        <f t="shared" si="4"/>
        <v>0</v>
      </c>
      <c r="G32" s="187">
        <f t="shared" si="4"/>
        <v>0</v>
      </c>
      <c r="H32" s="188">
        <f t="shared" si="4"/>
        <v>0</v>
      </c>
      <c r="I32" s="187">
        <f t="shared" si="4"/>
        <v>0</v>
      </c>
      <c r="J32" s="188">
        <f t="shared" si="4"/>
        <v>0</v>
      </c>
      <c r="K32" s="187">
        <f t="shared" si="4"/>
        <v>0</v>
      </c>
      <c r="L32" s="188">
        <f t="shared" si="4"/>
        <v>0</v>
      </c>
      <c r="M32" s="187">
        <f t="shared" si="4"/>
        <v>0</v>
      </c>
      <c r="N32" s="232">
        <f t="shared" si="4"/>
        <v>0</v>
      </c>
    </row>
    <row r="33" spans="1:14">
      <c r="A33" s="190"/>
      <c r="B33" s="191" t="str">
        <f t="shared" si="3"/>
        <v>June</v>
      </c>
      <c r="C33" s="187">
        <f t="shared" si="4"/>
        <v>0</v>
      </c>
      <c r="D33" s="188">
        <f t="shared" ref="D33" si="9">+D17-D50</f>
        <v>1161581.5</v>
      </c>
      <c r="E33" s="187">
        <f t="shared" si="4"/>
        <v>0</v>
      </c>
      <c r="F33" s="188">
        <f t="shared" si="4"/>
        <v>0</v>
      </c>
      <c r="G33" s="187">
        <f t="shared" si="4"/>
        <v>0</v>
      </c>
      <c r="H33" s="188">
        <f t="shared" si="4"/>
        <v>0</v>
      </c>
      <c r="I33" s="187">
        <f t="shared" si="4"/>
        <v>0</v>
      </c>
      <c r="J33" s="188">
        <f t="shared" si="4"/>
        <v>0</v>
      </c>
      <c r="K33" s="187">
        <f t="shared" si="4"/>
        <v>0</v>
      </c>
      <c r="L33" s="188">
        <f t="shared" si="4"/>
        <v>0</v>
      </c>
      <c r="M33" s="187">
        <f t="shared" si="4"/>
        <v>0</v>
      </c>
      <c r="N33" s="232">
        <f t="shared" si="4"/>
        <v>0</v>
      </c>
    </row>
    <row r="34" spans="1:14">
      <c r="A34" s="190"/>
      <c r="B34" s="191" t="str">
        <f t="shared" si="3"/>
        <v>July</v>
      </c>
      <c r="C34" s="187">
        <f t="shared" si="4"/>
        <v>0</v>
      </c>
      <c r="D34" s="188">
        <f t="shared" ref="D34" si="10">+D18-D51</f>
        <v>1225309.120000001</v>
      </c>
      <c r="E34" s="187">
        <f t="shared" si="4"/>
        <v>0</v>
      </c>
      <c r="F34" s="188">
        <f t="shared" si="4"/>
        <v>0</v>
      </c>
      <c r="G34" s="187">
        <f t="shared" si="4"/>
        <v>0</v>
      </c>
      <c r="H34" s="188">
        <f t="shared" si="4"/>
        <v>0</v>
      </c>
      <c r="I34" s="187">
        <f t="shared" si="4"/>
        <v>0</v>
      </c>
      <c r="J34" s="188">
        <f t="shared" si="4"/>
        <v>0</v>
      </c>
      <c r="K34" s="187">
        <f t="shared" si="4"/>
        <v>0</v>
      </c>
      <c r="L34" s="188">
        <f t="shared" si="4"/>
        <v>0</v>
      </c>
      <c r="M34" s="187">
        <f t="shared" si="4"/>
        <v>0</v>
      </c>
      <c r="N34" s="232">
        <f t="shared" si="4"/>
        <v>0</v>
      </c>
    </row>
    <row r="35" spans="1:14">
      <c r="A35" s="190"/>
      <c r="B35" s="191" t="str">
        <f t="shared" si="3"/>
        <v xml:space="preserve">August </v>
      </c>
      <c r="C35" s="187">
        <f t="shared" si="4"/>
        <v>0</v>
      </c>
      <c r="D35" s="188">
        <f t="shared" ref="D35" si="11">+D19-D52</f>
        <v>1289036.7400000021</v>
      </c>
      <c r="E35" s="187">
        <f t="shared" si="4"/>
        <v>0</v>
      </c>
      <c r="F35" s="188">
        <f t="shared" si="4"/>
        <v>0</v>
      </c>
      <c r="G35" s="187">
        <f t="shared" si="4"/>
        <v>0</v>
      </c>
      <c r="H35" s="188">
        <f t="shared" si="4"/>
        <v>0</v>
      </c>
      <c r="I35" s="187">
        <f t="shared" si="4"/>
        <v>0</v>
      </c>
      <c r="J35" s="188">
        <f t="shared" si="4"/>
        <v>0</v>
      </c>
      <c r="K35" s="187">
        <f t="shared" si="4"/>
        <v>0</v>
      </c>
      <c r="L35" s="188">
        <f t="shared" si="4"/>
        <v>0</v>
      </c>
      <c r="M35" s="187">
        <f t="shared" si="4"/>
        <v>0</v>
      </c>
      <c r="N35" s="232">
        <f t="shared" si="4"/>
        <v>0</v>
      </c>
    </row>
    <row r="36" spans="1:14">
      <c r="A36" s="190"/>
      <c r="B36" s="191" t="str">
        <f t="shared" si="3"/>
        <v>September</v>
      </c>
      <c r="C36" s="187">
        <f t="shared" si="4"/>
        <v>0</v>
      </c>
      <c r="D36" s="188">
        <f t="shared" ref="D36" si="12">+D20-D53</f>
        <v>1352764.3599999994</v>
      </c>
      <c r="E36" s="187">
        <f t="shared" si="4"/>
        <v>0</v>
      </c>
      <c r="F36" s="188">
        <f t="shared" si="4"/>
        <v>0</v>
      </c>
      <c r="G36" s="187">
        <f t="shared" si="4"/>
        <v>0</v>
      </c>
      <c r="H36" s="188">
        <f t="shared" si="4"/>
        <v>0</v>
      </c>
      <c r="I36" s="187">
        <f t="shared" si="4"/>
        <v>0</v>
      </c>
      <c r="J36" s="188">
        <f t="shared" si="4"/>
        <v>0</v>
      </c>
      <c r="K36" s="187">
        <f t="shared" si="4"/>
        <v>0</v>
      </c>
      <c r="L36" s="188">
        <f t="shared" si="4"/>
        <v>0</v>
      </c>
      <c r="M36" s="187">
        <f t="shared" si="4"/>
        <v>0</v>
      </c>
      <c r="N36" s="232">
        <f t="shared" si="4"/>
        <v>0</v>
      </c>
    </row>
    <row r="37" spans="1:14">
      <c r="A37" s="190"/>
      <c r="B37" s="191" t="str">
        <f t="shared" si="3"/>
        <v>October</v>
      </c>
      <c r="C37" s="187">
        <f t="shared" si="4"/>
        <v>0</v>
      </c>
      <c r="D37" s="188">
        <f t="shared" ref="D37" si="13">+D21-D54</f>
        <v>1416491.9800000004</v>
      </c>
      <c r="E37" s="187">
        <f t="shared" si="4"/>
        <v>0</v>
      </c>
      <c r="F37" s="188">
        <f t="shared" si="4"/>
        <v>0</v>
      </c>
      <c r="G37" s="187">
        <f t="shared" si="4"/>
        <v>0</v>
      </c>
      <c r="H37" s="188">
        <f t="shared" si="4"/>
        <v>0</v>
      </c>
      <c r="I37" s="187">
        <f t="shared" si="4"/>
        <v>0</v>
      </c>
      <c r="J37" s="188">
        <f t="shared" si="4"/>
        <v>0</v>
      </c>
      <c r="K37" s="187">
        <f t="shared" si="4"/>
        <v>0</v>
      </c>
      <c r="L37" s="188">
        <f t="shared" si="4"/>
        <v>0</v>
      </c>
      <c r="M37" s="187">
        <f t="shared" si="4"/>
        <v>0</v>
      </c>
      <c r="N37" s="232">
        <f t="shared" si="4"/>
        <v>0</v>
      </c>
    </row>
    <row r="38" spans="1:14">
      <c r="A38" s="190"/>
      <c r="B38" s="191" t="str">
        <f t="shared" si="3"/>
        <v>November</v>
      </c>
      <c r="C38" s="187">
        <f t="shared" si="4"/>
        <v>0</v>
      </c>
      <c r="D38" s="188">
        <f t="shared" ref="D38" si="14">+D22-D55</f>
        <v>1480244.5899999999</v>
      </c>
      <c r="E38" s="187">
        <f t="shared" si="4"/>
        <v>0</v>
      </c>
      <c r="F38" s="188">
        <f t="shared" si="4"/>
        <v>0</v>
      </c>
      <c r="G38" s="187">
        <f t="shared" si="4"/>
        <v>0</v>
      </c>
      <c r="H38" s="188">
        <f t="shared" si="4"/>
        <v>0</v>
      </c>
      <c r="I38" s="187">
        <f t="shared" si="4"/>
        <v>0</v>
      </c>
      <c r="J38" s="188">
        <f t="shared" si="4"/>
        <v>0</v>
      </c>
      <c r="K38" s="187">
        <f t="shared" si="4"/>
        <v>0</v>
      </c>
      <c r="L38" s="188">
        <f t="shared" si="4"/>
        <v>0</v>
      </c>
      <c r="M38" s="187">
        <f t="shared" si="4"/>
        <v>0</v>
      </c>
      <c r="N38" s="232">
        <f t="shared" si="4"/>
        <v>0</v>
      </c>
    </row>
    <row r="39" spans="1:14">
      <c r="A39" s="193"/>
      <c r="B39" s="191" t="str">
        <f t="shared" si="3"/>
        <v>December 2015</v>
      </c>
      <c r="C39" s="202">
        <f t="shared" si="4"/>
        <v>0</v>
      </c>
      <c r="D39" s="188">
        <f t="shared" ref="D39" si="15">+D23-D56</f>
        <v>1543997.1999999993</v>
      </c>
      <c r="E39" s="202">
        <f t="shared" si="4"/>
        <v>0</v>
      </c>
      <c r="F39" s="203">
        <f t="shared" si="4"/>
        <v>0</v>
      </c>
      <c r="G39" s="202">
        <f t="shared" si="4"/>
        <v>0</v>
      </c>
      <c r="H39" s="203">
        <f t="shared" si="4"/>
        <v>0</v>
      </c>
      <c r="I39" s="202">
        <f t="shared" si="4"/>
        <v>0</v>
      </c>
      <c r="J39" s="203">
        <f t="shared" si="4"/>
        <v>0</v>
      </c>
      <c r="K39" s="202">
        <f t="shared" si="4"/>
        <v>0</v>
      </c>
      <c r="L39" s="203">
        <f t="shared" si="4"/>
        <v>0</v>
      </c>
      <c r="M39" s="202">
        <f t="shared" si="4"/>
        <v>0</v>
      </c>
      <c r="N39" s="234">
        <f t="shared" si="4"/>
        <v>0</v>
      </c>
    </row>
    <row r="40" spans="1:14">
      <c r="A40" s="195"/>
      <c r="B40" s="205" t="s">
        <v>4</v>
      </c>
      <c r="C40" s="197">
        <f t="shared" ref="C40:N40" si="16">AVERAGE(C27:C39)</f>
        <v>0</v>
      </c>
      <c r="D40" s="197">
        <f t="shared" si="16"/>
        <v>1163090.3230769229</v>
      </c>
      <c r="E40" s="197">
        <f t="shared" si="16"/>
        <v>0</v>
      </c>
      <c r="F40" s="197">
        <f t="shared" si="16"/>
        <v>0</v>
      </c>
      <c r="G40" s="197">
        <f t="shared" si="16"/>
        <v>0</v>
      </c>
      <c r="H40" s="197">
        <f t="shared" si="16"/>
        <v>0</v>
      </c>
      <c r="I40" s="197">
        <f t="shared" si="16"/>
        <v>0</v>
      </c>
      <c r="J40" s="197">
        <f t="shared" si="16"/>
        <v>0</v>
      </c>
      <c r="K40" s="197">
        <f t="shared" si="16"/>
        <v>0</v>
      </c>
      <c r="L40" s="197">
        <f t="shared" si="16"/>
        <v>0</v>
      </c>
      <c r="M40" s="197">
        <f t="shared" si="16"/>
        <v>0</v>
      </c>
      <c r="N40" s="198">
        <f t="shared" si="16"/>
        <v>0</v>
      </c>
    </row>
    <row r="41" spans="1:14" s="231" customFormat="1">
      <c r="A41" s="206"/>
      <c r="B41" s="207"/>
      <c r="C41" s="208"/>
      <c r="D41" s="208"/>
      <c r="E41" s="208"/>
      <c r="F41" s="208"/>
      <c r="G41" s="208"/>
      <c r="H41" s="209"/>
      <c r="I41" s="209"/>
      <c r="J41" s="209"/>
      <c r="K41" s="208"/>
    </row>
    <row r="42" spans="1:14">
      <c r="A42" s="195"/>
      <c r="B42" s="210"/>
      <c r="C42" s="211"/>
      <c r="D42" s="211"/>
      <c r="E42" s="211"/>
      <c r="F42" s="211"/>
      <c r="G42" s="211"/>
      <c r="H42" s="211"/>
      <c r="I42" s="211"/>
      <c r="J42" s="211"/>
      <c r="K42" s="212"/>
    </row>
    <row r="43" spans="1:14">
      <c r="A43" s="213"/>
      <c r="B43" s="214"/>
      <c r="C43" s="215"/>
      <c r="D43" s="216"/>
      <c r="E43" s="216"/>
      <c r="F43" s="216"/>
      <c r="G43" s="216"/>
      <c r="H43" s="216"/>
      <c r="I43" s="216"/>
      <c r="J43" s="216"/>
      <c r="K43" s="217"/>
      <c r="L43" s="409"/>
      <c r="M43" s="409"/>
      <c r="N43" s="409"/>
    </row>
    <row r="44" spans="1:14">
      <c r="A44" s="190" t="s">
        <v>461</v>
      </c>
      <c r="B44" s="218" t="str">
        <f>+B11</f>
        <v>December 2014</v>
      </c>
      <c r="C44" s="199">
        <v>0</v>
      </c>
      <c r="D44" s="200">
        <v>32740198.66</v>
      </c>
      <c r="E44" s="199">
        <v>0</v>
      </c>
      <c r="F44" s="200">
        <v>0</v>
      </c>
      <c r="G44" s="199">
        <v>0</v>
      </c>
      <c r="H44" s="200">
        <v>0</v>
      </c>
      <c r="I44" s="199">
        <v>0</v>
      </c>
      <c r="J44" s="200">
        <v>0</v>
      </c>
      <c r="K44" s="199">
        <v>0</v>
      </c>
      <c r="L44" s="200">
        <v>0</v>
      </c>
      <c r="M44" s="199">
        <v>0</v>
      </c>
      <c r="N44" s="233">
        <v>0</v>
      </c>
    </row>
    <row r="45" spans="1:14">
      <c r="A45" s="190" t="s">
        <v>467</v>
      </c>
      <c r="B45" s="218" t="str">
        <f t="shared" ref="B45:B56" si="17">+B12</f>
        <v>January 2015</v>
      </c>
      <c r="C45" s="187">
        <v>0</v>
      </c>
      <c r="D45" s="188">
        <v>32682377.890000001</v>
      </c>
      <c r="E45" s="187">
        <v>0</v>
      </c>
      <c r="F45" s="188">
        <v>0</v>
      </c>
      <c r="G45" s="187">
        <v>0</v>
      </c>
      <c r="H45" s="188">
        <v>0</v>
      </c>
      <c r="I45" s="187">
        <v>0</v>
      </c>
      <c r="J45" s="188">
        <v>0</v>
      </c>
      <c r="K45" s="187">
        <v>0</v>
      </c>
      <c r="L45" s="188">
        <v>0</v>
      </c>
      <c r="M45" s="187">
        <v>0</v>
      </c>
      <c r="N45" s="232">
        <v>0</v>
      </c>
    </row>
    <row r="46" spans="1:14">
      <c r="A46" s="190"/>
      <c r="B46" s="218" t="str">
        <f t="shared" si="17"/>
        <v>February</v>
      </c>
      <c r="C46" s="187">
        <v>0</v>
      </c>
      <c r="D46" s="188">
        <v>32619660.250000004</v>
      </c>
      <c r="E46" s="187">
        <v>0</v>
      </c>
      <c r="F46" s="188">
        <v>0</v>
      </c>
      <c r="G46" s="187">
        <v>0</v>
      </c>
      <c r="H46" s="188">
        <v>0</v>
      </c>
      <c r="I46" s="187">
        <v>0</v>
      </c>
      <c r="J46" s="188">
        <v>0</v>
      </c>
      <c r="K46" s="187">
        <v>0</v>
      </c>
      <c r="L46" s="188">
        <v>0</v>
      </c>
      <c r="M46" s="187">
        <v>0</v>
      </c>
      <c r="N46" s="232">
        <v>0</v>
      </c>
    </row>
    <row r="47" spans="1:14">
      <c r="A47" s="190"/>
      <c r="B47" s="218" t="str">
        <f t="shared" si="17"/>
        <v xml:space="preserve">March </v>
      </c>
      <c r="C47" s="187">
        <v>0</v>
      </c>
      <c r="D47" s="188">
        <v>32557275.5</v>
      </c>
      <c r="E47" s="187">
        <v>0</v>
      </c>
      <c r="F47" s="188">
        <v>0</v>
      </c>
      <c r="G47" s="187">
        <v>0</v>
      </c>
      <c r="H47" s="188">
        <v>0</v>
      </c>
      <c r="I47" s="187">
        <v>0</v>
      </c>
      <c r="J47" s="188">
        <v>0</v>
      </c>
      <c r="K47" s="187">
        <v>0</v>
      </c>
      <c r="L47" s="188">
        <v>0</v>
      </c>
      <c r="M47" s="187">
        <v>0</v>
      </c>
      <c r="N47" s="232">
        <v>0</v>
      </c>
    </row>
    <row r="48" spans="1:14">
      <c r="A48" s="190"/>
      <c r="B48" s="218" t="str">
        <f t="shared" si="17"/>
        <v>April</v>
      </c>
      <c r="C48" s="187">
        <v>3757102.4600000004</v>
      </c>
      <c r="D48" s="188">
        <v>32494890.750000007</v>
      </c>
      <c r="E48" s="187">
        <v>0</v>
      </c>
      <c r="F48" s="188">
        <v>0</v>
      </c>
      <c r="G48" s="187">
        <v>0</v>
      </c>
      <c r="H48" s="188">
        <v>0</v>
      </c>
      <c r="I48" s="187">
        <v>0</v>
      </c>
      <c r="J48" s="188">
        <v>0</v>
      </c>
      <c r="K48" s="187">
        <v>0</v>
      </c>
      <c r="L48" s="188">
        <v>0</v>
      </c>
      <c r="M48" s="187">
        <v>0</v>
      </c>
      <c r="N48" s="232">
        <v>0</v>
      </c>
    </row>
    <row r="49" spans="1:14">
      <c r="A49" s="190"/>
      <c r="B49" s="218" t="str">
        <f t="shared" si="17"/>
        <v>May</v>
      </c>
      <c r="C49" s="187">
        <v>4415034.3100000005</v>
      </c>
      <c r="D49" s="188">
        <v>32432427.140000004</v>
      </c>
      <c r="E49" s="187">
        <v>0</v>
      </c>
      <c r="F49" s="188">
        <v>0</v>
      </c>
      <c r="G49" s="187">
        <v>0</v>
      </c>
      <c r="H49" s="188">
        <v>0</v>
      </c>
      <c r="I49" s="187">
        <v>0</v>
      </c>
      <c r="J49" s="188">
        <v>0</v>
      </c>
      <c r="K49" s="187">
        <v>0</v>
      </c>
      <c r="L49" s="188">
        <v>0</v>
      </c>
      <c r="M49" s="187">
        <v>0</v>
      </c>
      <c r="N49" s="232">
        <v>0</v>
      </c>
    </row>
    <row r="50" spans="1:14">
      <c r="A50" s="190"/>
      <c r="B50" s="218" t="str">
        <f t="shared" si="17"/>
        <v>June</v>
      </c>
      <c r="C50" s="187">
        <v>5442844.4700000007</v>
      </c>
      <c r="D50" s="188">
        <v>32368663.650000006</v>
      </c>
      <c r="E50" s="187">
        <v>0</v>
      </c>
      <c r="F50" s="188">
        <v>0</v>
      </c>
      <c r="G50" s="187">
        <v>0</v>
      </c>
      <c r="H50" s="188">
        <v>0</v>
      </c>
      <c r="I50" s="187">
        <v>0</v>
      </c>
      <c r="J50" s="188">
        <v>0</v>
      </c>
      <c r="K50" s="187">
        <v>0</v>
      </c>
      <c r="L50" s="188">
        <v>0</v>
      </c>
      <c r="M50" s="187">
        <v>0</v>
      </c>
      <c r="N50" s="232">
        <v>0</v>
      </c>
    </row>
    <row r="51" spans="1:14">
      <c r="A51" s="190"/>
      <c r="B51" s="218" t="str">
        <f t="shared" si="17"/>
        <v>July</v>
      </c>
      <c r="C51" s="187">
        <v>6331627.1799999997</v>
      </c>
      <c r="D51" s="188">
        <v>32304936.030000005</v>
      </c>
      <c r="E51" s="187">
        <v>0</v>
      </c>
      <c r="F51" s="188">
        <v>0</v>
      </c>
      <c r="G51" s="187">
        <v>0</v>
      </c>
      <c r="H51" s="188">
        <v>0</v>
      </c>
      <c r="I51" s="187">
        <v>0</v>
      </c>
      <c r="J51" s="188">
        <v>0</v>
      </c>
      <c r="K51" s="187">
        <v>0</v>
      </c>
      <c r="L51" s="188">
        <v>0</v>
      </c>
      <c r="M51" s="187">
        <v>0</v>
      </c>
      <c r="N51" s="232">
        <v>0</v>
      </c>
    </row>
    <row r="52" spans="1:14">
      <c r="A52" s="190"/>
      <c r="B52" s="218" t="str">
        <f t="shared" si="17"/>
        <v xml:space="preserve">August </v>
      </c>
      <c r="C52" s="187">
        <v>7666451.9299999997</v>
      </c>
      <c r="D52" s="188">
        <v>32241208.410000004</v>
      </c>
      <c r="E52" s="187">
        <v>0</v>
      </c>
      <c r="F52" s="188">
        <v>0</v>
      </c>
      <c r="G52" s="187">
        <v>0</v>
      </c>
      <c r="H52" s="188">
        <v>0</v>
      </c>
      <c r="I52" s="187">
        <v>0</v>
      </c>
      <c r="J52" s="188">
        <v>0</v>
      </c>
      <c r="K52" s="187">
        <v>0</v>
      </c>
      <c r="L52" s="188">
        <v>0</v>
      </c>
      <c r="M52" s="187">
        <v>0</v>
      </c>
      <c r="N52" s="232">
        <v>0</v>
      </c>
    </row>
    <row r="53" spans="1:14">
      <c r="A53" s="190"/>
      <c r="B53" s="218" t="str">
        <f t="shared" si="17"/>
        <v>September</v>
      </c>
      <c r="C53" s="187">
        <v>9892217.8000000007</v>
      </c>
      <c r="D53" s="188">
        <v>32177480.790000007</v>
      </c>
      <c r="E53" s="187">
        <v>0</v>
      </c>
      <c r="F53" s="188">
        <v>0</v>
      </c>
      <c r="G53" s="187">
        <v>0</v>
      </c>
      <c r="H53" s="188">
        <v>0</v>
      </c>
      <c r="I53" s="187">
        <v>0</v>
      </c>
      <c r="J53" s="188">
        <v>0</v>
      </c>
      <c r="K53" s="187">
        <v>0</v>
      </c>
      <c r="L53" s="188">
        <v>0</v>
      </c>
      <c r="M53" s="187">
        <v>0</v>
      </c>
      <c r="N53" s="232">
        <v>0</v>
      </c>
    </row>
    <row r="54" spans="1:14">
      <c r="A54" s="190"/>
      <c r="B54" s="218" t="str">
        <f t="shared" si="17"/>
        <v>October</v>
      </c>
      <c r="C54" s="187">
        <v>11520907.720000001</v>
      </c>
      <c r="D54" s="188">
        <v>32113753.169999998</v>
      </c>
      <c r="E54" s="187">
        <v>0</v>
      </c>
      <c r="F54" s="188">
        <v>0</v>
      </c>
      <c r="G54" s="187">
        <v>0</v>
      </c>
      <c r="H54" s="188">
        <v>0</v>
      </c>
      <c r="I54" s="187">
        <v>0</v>
      </c>
      <c r="J54" s="188">
        <v>0</v>
      </c>
      <c r="K54" s="187">
        <v>0</v>
      </c>
      <c r="L54" s="188">
        <v>0</v>
      </c>
      <c r="M54" s="187">
        <v>0</v>
      </c>
      <c r="N54" s="232">
        <v>0</v>
      </c>
    </row>
    <row r="55" spans="1:14">
      <c r="A55" s="190"/>
      <c r="B55" s="218" t="str">
        <f t="shared" si="17"/>
        <v>November</v>
      </c>
      <c r="C55" s="187">
        <v>13537811.809999999</v>
      </c>
      <c r="D55" s="188">
        <v>32050000.559999999</v>
      </c>
      <c r="E55" s="187">
        <v>0</v>
      </c>
      <c r="F55" s="188">
        <v>0</v>
      </c>
      <c r="G55" s="187">
        <v>0</v>
      </c>
      <c r="H55" s="188">
        <v>0</v>
      </c>
      <c r="I55" s="187">
        <v>0</v>
      </c>
      <c r="J55" s="188">
        <v>0</v>
      </c>
      <c r="K55" s="187">
        <v>0</v>
      </c>
      <c r="L55" s="188">
        <v>0</v>
      </c>
      <c r="M55" s="187">
        <v>0</v>
      </c>
      <c r="N55" s="232">
        <v>0</v>
      </c>
    </row>
    <row r="56" spans="1:14">
      <c r="A56" s="190"/>
      <c r="B56" s="218" t="str">
        <f t="shared" si="17"/>
        <v>December 2015</v>
      </c>
      <c r="C56" s="202">
        <v>16115512.83</v>
      </c>
      <c r="D56" s="203">
        <v>31986247.949999999</v>
      </c>
      <c r="E56" s="202">
        <v>0</v>
      </c>
      <c r="F56" s="203">
        <v>0</v>
      </c>
      <c r="G56" s="202">
        <v>0</v>
      </c>
      <c r="H56" s="203">
        <v>0</v>
      </c>
      <c r="I56" s="202">
        <v>0</v>
      </c>
      <c r="J56" s="203">
        <v>0</v>
      </c>
      <c r="K56" s="202">
        <v>0</v>
      </c>
      <c r="L56" s="203">
        <v>0</v>
      </c>
      <c r="M56" s="202">
        <v>0</v>
      </c>
      <c r="N56" s="234">
        <v>0</v>
      </c>
    </row>
    <row r="57" spans="1:14">
      <c r="A57" s="219"/>
      <c r="B57" s="205" t="s">
        <v>4</v>
      </c>
      <c r="C57" s="197">
        <f t="shared" ref="C57:N57" si="18">AVERAGE(C44:C56)</f>
        <v>6052270.0392307695</v>
      </c>
      <c r="D57" s="197">
        <f t="shared" si="18"/>
        <v>32366855.442307696</v>
      </c>
      <c r="E57" s="197">
        <f t="shared" si="18"/>
        <v>0</v>
      </c>
      <c r="F57" s="197">
        <f t="shared" si="18"/>
        <v>0</v>
      </c>
      <c r="G57" s="197">
        <f t="shared" si="18"/>
        <v>0</v>
      </c>
      <c r="H57" s="197">
        <f t="shared" si="18"/>
        <v>0</v>
      </c>
      <c r="I57" s="197">
        <f t="shared" si="18"/>
        <v>0</v>
      </c>
      <c r="J57" s="197">
        <f t="shared" si="18"/>
        <v>0</v>
      </c>
      <c r="K57" s="197">
        <f t="shared" si="18"/>
        <v>0</v>
      </c>
      <c r="L57" s="197">
        <f t="shared" si="18"/>
        <v>0</v>
      </c>
      <c r="M57" s="197">
        <f t="shared" si="18"/>
        <v>0</v>
      </c>
      <c r="N57" s="198">
        <f t="shared" si="18"/>
        <v>0</v>
      </c>
    </row>
    <row r="58" spans="1:14">
      <c r="A58" s="195"/>
      <c r="B58" s="210"/>
      <c r="C58" s="220"/>
      <c r="D58" s="220"/>
      <c r="E58" s="220"/>
      <c r="F58" s="220"/>
      <c r="G58" s="220"/>
      <c r="H58" s="221"/>
      <c r="I58" s="221"/>
      <c r="J58" s="221"/>
      <c r="K58" s="208"/>
    </row>
    <row r="59" spans="1:14">
      <c r="A59" s="195"/>
      <c r="B59" s="405"/>
      <c r="C59" s="222"/>
      <c r="D59" s="222"/>
      <c r="E59" s="222"/>
      <c r="F59" s="222"/>
      <c r="G59" s="222"/>
      <c r="H59" s="222"/>
      <c r="I59" s="222"/>
      <c r="J59" s="222"/>
      <c r="K59" s="223"/>
      <c r="L59" s="409"/>
      <c r="M59" s="409"/>
      <c r="N59" s="409"/>
    </row>
    <row r="60" spans="1:14">
      <c r="A60" s="224" t="s">
        <v>3</v>
      </c>
      <c r="B60" s="225" t="s">
        <v>2</v>
      </c>
      <c r="C60" s="199">
        <v>0</v>
      </c>
      <c r="D60" s="200">
        <v>758174.92999999993</v>
      </c>
      <c r="E60" s="199">
        <v>0</v>
      </c>
      <c r="F60" s="200">
        <v>0</v>
      </c>
      <c r="G60" s="199">
        <v>0</v>
      </c>
      <c r="H60" s="200">
        <v>0</v>
      </c>
      <c r="I60" s="199">
        <v>0</v>
      </c>
      <c r="J60" s="200">
        <v>0</v>
      </c>
      <c r="K60" s="199">
        <v>0</v>
      </c>
      <c r="L60" s="200">
        <v>0</v>
      </c>
      <c r="M60" s="199">
        <v>0</v>
      </c>
      <c r="N60" s="233">
        <v>0</v>
      </c>
    </row>
    <row r="61" spans="1:14">
      <c r="A61" s="193" t="s">
        <v>468</v>
      </c>
      <c r="B61" s="226" t="s">
        <v>1</v>
      </c>
      <c r="C61" s="187">
        <v>0</v>
      </c>
      <c r="D61" s="188">
        <v>0</v>
      </c>
      <c r="E61" s="187">
        <v>0</v>
      </c>
      <c r="F61" s="188">
        <v>0</v>
      </c>
      <c r="G61" s="187">
        <v>0</v>
      </c>
      <c r="H61" s="188">
        <v>0</v>
      </c>
      <c r="I61" s="187">
        <v>0</v>
      </c>
      <c r="J61" s="188">
        <v>0</v>
      </c>
      <c r="K61" s="187">
        <v>0</v>
      </c>
      <c r="L61" s="188">
        <v>0</v>
      </c>
      <c r="M61" s="187">
        <v>0</v>
      </c>
      <c r="N61" s="232">
        <v>0</v>
      </c>
    </row>
    <row r="62" spans="1:14">
      <c r="A62" s="180"/>
      <c r="B62" s="227" t="s">
        <v>464</v>
      </c>
      <c r="C62" s="228">
        <f t="shared" ref="C62:N62" si="19">SUM(C60:C61)</f>
        <v>0</v>
      </c>
      <c r="D62" s="228">
        <f t="shared" si="19"/>
        <v>758174.92999999993</v>
      </c>
      <c r="E62" s="228">
        <f t="shared" si="19"/>
        <v>0</v>
      </c>
      <c r="F62" s="228">
        <f t="shared" si="19"/>
        <v>0</v>
      </c>
      <c r="G62" s="228">
        <f t="shared" si="19"/>
        <v>0</v>
      </c>
      <c r="H62" s="228">
        <f t="shared" si="19"/>
        <v>0</v>
      </c>
      <c r="I62" s="228">
        <f t="shared" si="19"/>
        <v>0</v>
      </c>
      <c r="J62" s="228">
        <f t="shared" si="19"/>
        <v>0</v>
      </c>
      <c r="K62" s="228">
        <f t="shared" si="19"/>
        <v>0</v>
      </c>
      <c r="L62" s="228">
        <f t="shared" si="19"/>
        <v>0</v>
      </c>
      <c r="M62" s="228">
        <f t="shared" si="19"/>
        <v>0</v>
      </c>
      <c r="N62" s="229">
        <f t="shared" si="19"/>
        <v>0</v>
      </c>
    </row>
    <row r="63" spans="1:14">
      <c r="A63" s="195"/>
      <c r="B63" s="210"/>
      <c r="C63" s="220"/>
      <c r="D63" s="220"/>
      <c r="E63" s="220"/>
      <c r="F63" s="220"/>
      <c r="G63" s="220"/>
      <c r="H63" s="221"/>
      <c r="I63" s="221"/>
      <c r="J63" s="221"/>
      <c r="K63" s="208"/>
    </row>
    <row r="64" spans="1:14">
      <c r="A64" s="195"/>
      <c r="B64" s="405"/>
      <c r="C64" s="222"/>
      <c r="D64" s="222"/>
      <c r="E64" s="222"/>
      <c r="F64" s="222"/>
      <c r="G64" s="222"/>
      <c r="H64" s="222"/>
      <c r="I64" s="222"/>
      <c r="J64" s="222"/>
      <c r="K64" s="223"/>
      <c r="L64" s="409"/>
      <c r="M64" s="409"/>
      <c r="N64" s="409"/>
    </row>
    <row r="65" spans="1:14">
      <c r="A65" s="224" t="s">
        <v>466</v>
      </c>
      <c r="B65" s="225" t="s">
        <v>470</v>
      </c>
      <c r="C65" s="199">
        <v>1797820.74</v>
      </c>
      <c r="D65" s="200">
        <v>0</v>
      </c>
      <c r="E65" s="199">
        <v>0</v>
      </c>
      <c r="F65" s="200">
        <v>0</v>
      </c>
      <c r="G65" s="199">
        <v>0</v>
      </c>
      <c r="H65" s="200">
        <v>0</v>
      </c>
      <c r="I65" s="199">
        <v>0</v>
      </c>
      <c r="J65" s="200">
        <v>0</v>
      </c>
      <c r="K65" s="199">
        <v>0</v>
      </c>
      <c r="L65" s="200">
        <v>0</v>
      </c>
      <c r="M65" s="199">
        <v>0</v>
      </c>
      <c r="N65" s="233">
        <v>0</v>
      </c>
    </row>
    <row r="66" spans="1:14">
      <c r="A66" s="193" t="s">
        <v>469</v>
      </c>
      <c r="B66" s="226"/>
      <c r="C66" s="187">
        <v>0</v>
      </c>
      <c r="D66" s="188">
        <v>0</v>
      </c>
      <c r="E66" s="187">
        <v>0</v>
      </c>
      <c r="F66" s="188">
        <v>0</v>
      </c>
      <c r="G66" s="187">
        <v>0</v>
      </c>
      <c r="H66" s="188">
        <v>0</v>
      </c>
      <c r="I66" s="187">
        <v>0</v>
      </c>
      <c r="J66" s="188">
        <v>0</v>
      </c>
      <c r="K66" s="187">
        <v>0</v>
      </c>
      <c r="L66" s="188">
        <v>0</v>
      </c>
      <c r="M66" s="187">
        <v>0</v>
      </c>
      <c r="N66" s="232">
        <v>0</v>
      </c>
    </row>
    <row r="67" spans="1:14">
      <c r="A67" s="180"/>
      <c r="B67" s="227" t="s">
        <v>492</v>
      </c>
      <c r="C67" s="228">
        <f t="shared" ref="C67:N67" si="20">SUM(C65:C66)</f>
        <v>1797820.74</v>
      </c>
      <c r="D67" s="228">
        <f t="shared" si="20"/>
        <v>0</v>
      </c>
      <c r="E67" s="228">
        <f t="shared" si="20"/>
        <v>0</v>
      </c>
      <c r="F67" s="228">
        <f t="shared" si="20"/>
        <v>0</v>
      </c>
      <c r="G67" s="228">
        <f t="shared" si="20"/>
        <v>0</v>
      </c>
      <c r="H67" s="228">
        <f t="shared" si="20"/>
        <v>0</v>
      </c>
      <c r="I67" s="228">
        <f t="shared" si="20"/>
        <v>0</v>
      </c>
      <c r="J67" s="228">
        <f t="shared" si="20"/>
        <v>0</v>
      </c>
      <c r="K67" s="228">
        <f t="shared" si="20"/>
        <v>0</v>
      </c>
      <c r="L67" s="228">
        <f t="shared" si="20"/>
        <v>0</v>
      </c>
      <c r="M67" s="228">
        <f t="shared" si="20"/>
        <v>0</v>
      </c>
      <c r="N67" s="229">
        <f t="shared" si="20"/>
        <v>0</v>
      </c>
    </row>
  </sheetData>
  <pageMargins left="0.7" right="0.7" top="0.75" bottom="0.75" header="0.3" footer="0.3"/>
  <pageSetup scale="5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FFFF"/>
    <pageSetUpPr fitToPage="1"/>
  </sheetPr>
  <dimension ref="A2:J36"/>
  <sheetViews>
    <sheetView zoomScale="85" zoomScaleNormal="85" zoomScaleSheetLayoutView="100" workbookViewId="0">
      <selection activeCell="N14" sqref="N14"/>
    </sheetView>
  </sheetViews>
  <sheetFormatPr defaultColWidth="9.109375" defaultRowHeight="13.8"/>
  <cols>
    <col min="1" max="1" width="5.5546875" style="376" customWidth="1"/>
    <col min="2" max="2" width="19.109375" style="378" customWidth="1"/>
    <col min="3" max="3" width="16.44140625" style="378" customWidth="1"/>
    <col min="4" max="4" width="16" style="378" customWidth="1"/>
    <col min="5" max="5" width="37.44140625" style="378" bestFit="1" customWidth="1"/>
    <col min="6" max="6" width="4" style="378" customWidth="1"/>
    <col min="7" max="7" width="12.6640625" style="378" customWidth="1"/>
    <col min="8" max="8" width="9.109375" style="379"/>
    <col min="9" max="16384" width="9.109375" style="378"/>
  </cols>
  <sheetData>
    <row r="2" spans="1:10" ht="17.399999999999999">
      <c r="B2" s="377" t="s">
        <v>540</v>
      </c>
      <c r="H2" s="516"/>
      <c r="I2" s="503"/>
    </row>
    <row r="4" spans="1:10">
      <c r="B4" s="378" t="s">
        <v>541</v>
      </c>
      <c r="C4" s="380" t="s">
        <v>341</v>
      </c>
      <c r="D4" s="381"/>
      <c r="E4" s="382"/>
    </row>
    <row r="6" spans="1:10">
      <c r="B6" s="378" t="s">
        <v>542</v>
      </c>
      <c r="C6" s="383">
        <v>2015</v>
      </c>
    </row>
    <row r="7" spans="1:10">
      <c r="B7" s="378" t="s">
        <v>543</v>
      </c>
      <c r="C7" s="383">
        <f>C6-2</f>
        <v>2013</v>
      </c>
      <c r="D7" s="378" t="s">
        <v>322</v>
      </c>
    </row>
    <row r="8" spans="1:10">
      <c r="C8" s="376"/>
    </row>
    <row r="9" spans="1:10">
      <c r="B9" s="378" t="s">
        <v>544</v>
      </c>
      <c r="C9" s="383" t="s">
        <v>646</v>
      </c>
    </row>
    <row r="11" spans="1:10">
      <c r="B11" s="384" t="s">
        <v>245</v>
      </c>
      <c r="C11" s="385"/>
      <c r="D11" s="385"/>
      <c r="E11" s="384" t="s">
        <v>244</v>
      </c>
      <c r="F11" s="385"/>
      <c r="G11" s="384" t="s">
        <v>243</v>
      </c>
    </row>
    <row r="12" spans="1:10">
      <c r="A12" s="378"/>
      <c r="E12" s="386" t="s">
        <v>240</v>
      </c>
      <c r="G12" s="386" t="s">
        <v>545</v>
      </c>
    </row>
    <row r="13" spans="1:10">
      <c r="A13" s="387" t="s">
        <v>8</v>
      </c>
      <c r="E13" s="386" t="s">
        <v>239</v>
      </c>
      <c r="G13" s="386" t="s">
        <v>334</v>
      </c>
    </row>
    <row r="14" spans="1:10">
      <c r="A14" s="388" t="s">
        <v>177</v>
      </c>
      <c r="E14" s="386"/>
      <c r="G14" s="386"/>
    </row>
    <row r="15" spans="1:10">
      <c r="A15" s="376">
        <v>1</v>
      </c>
      <c r="B15" s="378" t="s">
        <v>546</v>
      </c>
      <c r="E15" s="378" t="s">
        <v>547</v>
      </c>
      <c r="G15" s="389">
        <v>3399454.07</v>
      </c>
      <c r="J15" s="924"/>
    </row>
    <row r="16" spans="1:10">
      <c r="A16" s="376">
        <v>2</v>
      </c>
      <c r="B16" s="378" t="s">
        <v>548</v>
      </c>
      <c r="E16" s="378" t="s">
        <v>549</v>
      </c>
      <c r="G16" s="389">
        <v>12678692.970000001</v>
      </c>
      <c r="J16" s="924"/>
    </row>
    <row r="17" spans="1:10">
      <c r="A17" s="376">
        <v>3</v>
      </c>
      <c r="B17" s="378" t="s">
        <v>550</v>
      </c>
      <c r="E17" s="378" t="s">
        <v>551</v>
      </c>
      <c r="G17" s="389">
        <v>0</v>
      </c>
      <c r="J17" s="924"/>
    </row>
    <row r="18" spans="1:10">
      <c r="A18" s="376">
        <v>4</v>
      </c>
      <c r="B18" s="378" t="s">
        <v>552</v>
      </c>
      <c r="E18" s="378" t="s">
        <v>553</v>
      </c>
      <c r="G18" s="390">
        <f>SUM(G15:G17)</f>
        <v>16078147.040000001</v>
      </c>
      <c r="J18" s="924"/>
    </row>
    <row r="20" spans="1:10">
      <c r="A20" s="376">
        <v>5</v>
      </c>
      <c r="B20" s="378" t="s">
        <v>554</v>
      </c>
      <c r="E20" s="378" t="s">
        <v>555</v>
      </c>
      <c r="G20" s="389">
        <v>0</v>
      </c>
      <c r="J20" s="924"/>
    </row>
    <row r="22" spans="1:10">
      <c r="A22" s="391">
        <v>6</v>
      </c>
      <c r="B22" s="382" t="s">
        <v>556</v>
      </c>
      <c r="C22" s="382"/>
      <c r="D22" s="382"/>
      <c r="G22" s="389">
        <v>0</v>
      </c>
      <c r="J22" s="924"/>
    </row>
    <row r="24" spans="1:10">
      <c r="A24" s="376">
        <v>7</v>
      </c>
      <c r="B24" s="378" t="s">
        <v>557</v>
      </c>
      <c r="E24" s="378" t="str">
        <f>"(Line "&amp;A18&amp;" - Line "&amp;A20&amp;" - Line "&amp;A22&amp;")"</f>
        <v>(Line 4 - Line 5 - Line 6)</v>
      </c>
      <c r="G24" s="392">
        <f>+G18-G20-G22</f>
        <v>16078147.040000001</v>
      </c>
      <c r="J24" s="924"/>
    </row>
    <row r="26" spans="1:10">
      <c r="A26" s="376">
        <v>8</v>
      </c>
      <c r="B26" s="378" t="s">
        <v>558</v>
      </c>
      <c r="G26" s="546">
        <f>-'ATC Sch 1 True up Int 2013'!G26</f>
        <v>-130070.77177600111</v>
      </c>
      <c r="J26" s="924"/>
    </row>
    <row r="28" spans="1:10">
      <c r="A28" s="376">
        <v>9</v>
      </c>
      <c r="B28" s="378" t="s">
        <v>559</v>
      </c>
      <c r="E28" s="378" t="str">
        <f>"(Line "&amp;A24&amp;" + Line "&amp;A26&amp;")"</f>
        <v>(Line 7 + Line 8)</v>
      </c>
      <c r="G28" s="392">
        <f>+G24+G26</f>
        <v>15948076.268223999</v>
      </c>
      <c r="J28" s="924"/>
    </row>
    <row r="29" spans="1:10">
      <c r="G29" s="393"/>
    </row>
    <row r="31" spans="1:10">
      <c r="A31" s="394" t="s">
        <v>89</v>
      </c>
    </row>
    <row r="32" spans="1:10">
      <c r="A32" s="395" t="s">
        <v>88</v>
      </c>
    </row>
    <row r="33" spans="1:7" ht="15" customHeight="1">
      <c r="A33" s="396" t="s">
        <v>87</v>
      </c>
      <c r="B33" s="1030" t="s">
        <v>560</v>
      </c>
      <c r="C33" s="1030"/>
      <c r="D33" s="1030"/>
      <c r="E33" s="1030"/>
      <c r="F33" s="1030"/>
      <c r="G33" s="1030"/>
    </row>
    <row r="34" spans="1:7" ht="32.25" customHeight="1">
      <c r="A34" s="396" t="s">
        <v>85</v>
      </c>
      <c r="B34" s="1030" t="s">
        <v>561</v>
      </c>
      <c r="C34" s="1030"/>
      <c r="D34" s="1030"/>
      <c r="E34" s="1030"/>
      <c r="F34" s="1030"/>
      <c r="G34" s="1030"/>
    </row>
    <row r="35" spans="1:7" ht="62.25" customHeight="1">
      <c r="A35" s="396" t="s">
        <v>83</v>
      </c>
      <c r="B35" s="1030" t="s">
        <v>562</v>
      </c>
      <c r="C35" s="1030"/>
      <c r="D35" s="1030"/>
      <c r="E35" s="1030"/>
      <c r="F35" s="1030"/>
      <c r="G35" s="1030"/>
    </row>
    <row r="36" spans="1:7" ht="32.25" customHeight="1">
      <c r="A36" s="396" t="s">
        <v>82</v>
      </c>
      <c r="B36" s="1030" t="s">
        <v>563</v>
      </c>
      <c r="C36" s="1030"/>
      <c r="D36" s="1030"/>
      <c r="E36" s="1030"/>
      <c r="F36" s="1030"/>
      <c r="G36" s="1030"/>
    </row>
  </sheetData>
  <mergeCells count="4">
    <mergeCell ref="B33:G33"/>
    <mergeCell ref="B34:G34"/>
    <mergeCell ref="B35:G35"/>
    <mergeCell ref="B36:G36"/>
  </mergeCells>
  <pageMargins left="0.5" right="0.19" top="0.8" bottom="0.5" header="0.3" footer="0.3"/>
  <pageSetup scale="91" orientation="portrait" r:id="rId1"/>
  <headerFooter>
    <oddHeader xml:space="preserve">&amp;R
</oddHeader>
  </headerFooter>
  <rowBreaks count="1" manualBreakCount="1">
    <brk id="4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2:H38"/>
  <sheetViews>
    <sheetView zoomScale="85" zoomScaleNormal="85" zoomScaleSheetLayoutView="100" workbookViewId="0">
      <selection activeCell="C5" sqref="C5"/>
    </sheetView>
  </sheetViews>
  <sheetFormatPr defaultColWidth="9.109375" defaultRowHeight="13.8"/>
  <cols>
    <col min="1" max="1" width="5.5546875" style="376" customWidth="1"/>
    <col min="2" max="2" width="19.109375" style="378" customWidth="1"/>
    <col min="3" max="3" width="20.33203125" style="378" customWidth="1"/>
    <col min="4" max="4" width="15.33203125" style="378" customWidth="1"/>
    <col min="5" max="5" width="37.44140625" style="378" bestFit="1" customWidth="1"/>
    <col min="6" max="6" width="4" style="378" customWidth="1"/>
    <col min="7" max="7" width="12.6640625" style="378" customWidth="1"/>
    <col min="8" max="8" width="9.109375" style="379"/>
    <col min="9" max="16384" width="9.109375" style="378"/>
  </cols>
  <sheetData>
    <row r="2" spans="1:7" ht="17.399999999999999">
      <c r="B2" s="377" t="s">
        <v>564</v>
      </c>
    </row>
    <row r="4" spans="1:7">
      <c r="B4" s="378" t="s">
        <v>541</v>
      </c>
      <c r="C4" s="380" t="s">
        <v>341</v>
      </c>
      <c r="D4" s="380"/>
    </row>
    <row r="6" spans="1:7">
      <c r="B6" s="378" t="s">
        <v>543</v>
      </c>
      <c r="C6" s="383">
        <v>2013</v>
      </c>
    </row>
    <row r="9" spans="1:7">
      <c r="B9" s="397" t="s">
        <v>245</v>
      </c>
      <c r="E9" s="397" t="s">
        <v>244</v>
      </c>
      <c r="G9" s="397" t="s">
        <v>243</v>
      </c>
    </row>
    <row r="10" spans="1:7">
      <c r="E10" s="386" t="s">
        <v>240</v>
      </c>
      <c r="G10" s="386" t="s">
        <v>545</v>
      </c>
    </row>
    <row r="11" spans="1:7">
      <c r="A11" s="376" t="s">
        <v>8</v>
      </c>
      <c r="E11" s="386" t="s">
        <v>239</v>
      </c>
      <c r="G11" s="386" t="s">
        <v>334</v>
      </c>
    </row>
    <row r="12" spans="1:7">
      <c r="A12" s="395" t="s">
        <v>177</v>
      </c>
    </row>
    <row r="13" spans="1:7">
      <c r="A13" s="376">
        <v>1</v>
      </c>
      <c r="B13" s="378" t="s">
        <v>565</v>
      </c>
      <c r="E13" s="378" t="s">
        <v>547</v>
      </c>
      <c r="G13" s="389">
        <v>2194458.96</v>
      </c>
    </row>
    <row r="14" spans="1:7">
      <c r="A14" s="376">
        <f>+A13+1</f>
        <v>2</v>
      </c>
      <c r="B14" s="378" t="s">
        <v>548</v>
      </c>
      <c r="E14" s="378" t="s">
        <v>549</v>
      </c>
      <c r="G14" s="389">
        <v>9401042.4900000002</v>
      </c>
    </row>
    <row r="15" spans="1:7">
      <c r="A15" s="376">
        <f>+A14+1</f>
        <v>3</v>
      </c>
      <c r="B15" s="378" t="s">
        <v>550</v>
      </c>
      <c r="E15" s="378" t="s">
        <v>551</v>
      </c>
      <c r="G15" s="389">
        <v>0</v>
      </c>
    </row>
    <row r="16" spans="1:7">
      <c r="A16" s="376">
        <f>+A15+1</f>
        <v>4</v>
      </c>
      <c r="B16" s="378" t="s">
        <v>566</v>
      </c>
      <c r="G16" s="390">
        <f>SUM(G13:G15)</f>
        <v>11595501.449999999</v>
      </c>
    </row>
    <row r="18" spans="1:8">
      <c r="A18" s="376">
        <f>+A16+1</f>
        <v>5</v>
      </c>
      <c r="B18" s="378" t="s">
        <v>567</v>
      </c>
      <c r="E18" s="378" t="s">
        <v>568</v>
      </c>
      <c r="G18" s="389">
        <v>0</v>
      </c>
    </row>
    <row r="19" spans="1:8">
      <c r="H19" s="378"/>
    </row>
    <row r="20" spans="1:8">
      <c r="A20" s="376">
        <f>+A18+1</f>
        <v>6</v>
      </c>
      <c r="B20" s="382" t="s">
        <v>569</v>
      </c>
      <c r="C20" s="382"/>
      <c r="D20" s="382"/>
      <c r="E20" s="378" t="str">
        <f>"(Line "&amp;A16&amp;" - Line "&amp;A18&amp;")"</f>
        <v>(Line 4 - Line 5)</v>
      </c>
      <c r="G20" s="392">
        <f>+G16-G18</f>
        <v>11595501.449999999</v>
      </c>
    </row>
    <row r="21" spans="1:8">
      <c r="B21" s="376"/>
      <c r="C21" s="376"/>
      <c r="D21" s="376"/>
      <c r="G21" s="398"/>
    </row>
    <row r="22" spans="1:8">
      <c r="A22" s="376">
        <f>+A20+1</f>
        <v>7</v>
      </c>
      <c r="B22" s="378" t="s">
        <v>570</v>
      </c>
      <c r="E22" s="378" t="s">
        <v>571</v>
      </c>
      <c r="G22" s="389">
        <v>11717656.57</v>
      </c>
    </row>
    <row r="24" spans="1:8">
      <c r="A24" s="376">
        <f>A22+1</f>
        <v>8</v>
      </c>
      <c r="B24" s="378" t="s">
        <v>572</v>
      </c>
      <c r="E24" s="378" t="str">
        <f>"(Line "&amp;A20&amp;" - Line "&amp;A22&amp;")"</f>
        <v>(Line 6 - Line 7)</v>
      </c>
      <c r="G24" s="393">
        <f>+G20-G22</f>
        <v>-122155.12000000104</v>
      </c>
    </row>
    <row r="26" spans="1:8">
      <c r="A26" s="394"/>
      <c r="B26" s="399"/>
      <c r="C26" s="399"/>
      <c r="D26" s="399"/>
      <c r="E26" s="399"/>
      <c r="F26" s="399"/>
      <c r="G26" s="399"/>
    </row>
    <row r="27" spans="1:8">
      <c r="A27" s="376" t="s">
        <v>88</v>
      </c>
    </row>
    <row r="28" spans="1:8">
      <c r="A28" s="395" t="s">
        <v>89</v>
      </c>
    </row>
    <row r="29" spans="1:8">
      <c r="A29" s="396" t="s">
        <v>87</v>
      </c>
      <c r="B29" s="1031" t="s">
        <v>573</v>
      </c>
      <c r="C29" s="1031"/>
      <c r="D29" s="1031"/>
      <c r="E29" s="1031"/>
      <c r="F29" s="1031"/>
      <c r="G29" s="1031"/>
    </row>
    <row r="30" spans="1:8">
      <c r="A30" s="396" t="s">
        <v>85</v>
      </c>
      <c r="B30" s="1031" t="s">
        <v>574</v>
      </c>
      <c r="C30" s="1031"/>
      <c r="D30" s="1031"/>
      <c r="E30" s="1031"/>
      <c r="F30" s="1031"/>
      <c r="G30" s="1031"/>
    </row>
    <row r="31" spans="1:8">
      <c r="A31" s="396" t="s">
        <v>83</v>
      </c>
      <c r="B31" s="1031" t="s">
        <v>575</v>
      </c>
      <c r="C31" s="1031"/>
      <c r="D31" s="1031"/>
      <c r="E31" s="1031"/>
      <c r="F31" s="1031"/>
      <c r="G31" s="1031"/>
    </row>
    <row r="32" spans="1:8" ht="15" customHeight="1">
      <c r="A32" s="396" t="s">
        <v>82</v>
      </c>
      <c r="B32" s="1031" t="s">
        <v>576</v>
      </c>
      <c r="C32" s="1031"/>
      <c r="D32" s="1031"/>
      <c r="E32" s="1031"/>
      <c r="F32" s="1031"/>
      <c r="G32" s="1031"/>
    </row>
    <row r="33" spans="1:7" ht="30" customHeight="1">
      <c r="A33" s="396" t="s">
        <v>80</v>
      </c>
      <c r="B33" s="1031" t="s">
        <v>577</v>
      </c>
      <c r="C33" s="1031"/>
      <c r="D33" s="1031"/>
      <c r="E33" s="1031"/>
      <c r="F33" s="1031"/>
      <c r="G33" s="1031"/>
    </row>
    <row r="34" spans="1:7" ht="15" customHeight="1">
      <c r="A34" s="396"/>
      <c r="B34" s="1031"/>
      <c r="C34" s="1031"/>
      <c r="D34" s="1031"/>
      <c r="E34" s="1031"/>
      <c r="F34" s="1031"/>
      <c r="G34" s="1031"/>
    </row>
    <row r="35" spans="1:7">
      <c r="A35" s="396"/>
      <c r="B35" s="1031"/>
      <c r="C35" s="1031"/>
      <c r="D35" s="1031"/>
      <c r="E35" s="1031"/>
      <c r="F35" s="1031"/>
      <c r="G35" s="1031"/>
    </row>
    <row r="38" spans="1:7">
      <c r="B38" s="376"/>
    </row>
  </sheetData>
  <mergeCells count="7">
    <mergeCell ref="B35:G35"/>
    <mergeCell ref="B29:G29"/>
    <mergeCell ref="B30:G30"/>
    <mergeCell ref="B31:G31"/>
    <mergeCell ref="B32:G32"/>
    <mergeCell ref="B33:G33"/>
    <mergeCell ref="B34:G34"/>
  </mergeCells>
  <pageMargins left="0.5" right="0.19" top="0.8" bottom="0.5" header="0.3" footer="0.3"/>
  <pageSetup scale="86" orientation="portrait" r:id="rId1"/>
  <headerFooter>
    <oddHeader xml:space="preserve">&amp;R
</oddHeader>
  </headerFooter>
  <rowBreaks count="1" manualBreakCount="1">
    <brk id="7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10</vt:i4>
      </vt:variant>
    </vt:vector>
  </HeadingPairs>
  <TitlesOfParts>
    <vt:vector size="30" baseType="lpstr">
      <vt:lpstr>Network True-up</vt:lpstr>
      <vt:lpstr>ATC Attach O ER15-358</vt:lpstr>
      <vt:lpstr>Revenue Breakout</vt:lpstr>
      <vt:lpstr>ATC Attach GG ER15-123</vt:lpstr>
      <vt:lpstr>GG Support Data</vt:lpstr>
      <vt:lpstr>ATC Attach MM ER15-123</vt:lpstr>
      <vt:lpstr>MM Support Data</vt:lpstr>
      <vt:lpstr>ATC Sch 1 - Recoverable Exp</vt:lpstr>
      <vt:lpstr>ATC Sch 1 - True up Adj 2013</vt:lpstr>
      <vt:lpstr>ATC Sch 1 True up Int 2013</vt:lpstr>
      <vt:lpstr>ATC Sch 1 - True up Adj 2015</vt:lpstr>
      <vt:lpstr>CWIP</vt:lpstr>
      <vt:lpstr>Def. Tax Avg Calc</vt:lpstr>
      <vt:lpstr>Calc. of Wgt. Avg. Debt Rate</vt:lpstr>
      <vt:lpstr>Permanent</vt:lpstr>
      <vt:lpstr>Excess Deferreds</vt:lpstr>
      <vt:lpstr>SIT</vt:lpstr>
      <vt:lpstr>TEP</vt:lpstr>
      <vt:lpstr>2013 Sch. 26 True-up Adj</vt:lpstr>
      <vt:lpstr>2013 Sch. 26A True-up Adj</vt:lpstr>
      <vt:lpstr>'ATC Attach GG ER15-123'!Print_Area</vt:lpstr>
      <vt:lpstr>'ATC Attach MM ER15-123'!Print_Area</vt:lpstr>
      <vt:lpstr>'ATC Attach O ER15-358'!Print_Area</vt:lpstr>
      <vt:lpstr>'ATC Sch 1 - Recoverable Exp'!Print_Area</vt:lpstr>
      <vt:lpstr>'ATC Sch 1 - True up Adj 2013'!Print_Area</vt:lpstr>
      <vt:lpstr>'ATC Sch 1 - True up Adj 2015'!Print_Area</vt:lpstr>
      <vt:lpstr>'Calc. of Wgt. Avg. Debt Rate'!Print_Area</vt:lpstr>
      <vt:lpstr>'GG Support Data'!Print_Area</vt:lpstr>
      <vt:lpstr>'MM Support Data'!Print_Area</vt:lpstr>
      <vt:lpstr>TEP!Print_Area</vt:lpstr>
    </vt:vector>
  </TitlesOfParts>
  <Company>American Transmission 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Degenhardt, Michael</dc:creator>
  <cp:lastModifiedBy>Minor, Jeff</cp:lastModifiedBy>
  <cp:lastPrinted>2016-05-24T19:53:45Z</cp:lastPrinted>
  <dcterms:created xsi:type="dcterms:W3CDTF">2011-11-03T21:55:54Z</dcterms:created>
  <dcterms:modified xsi:type="dcterms:W3CDTF">2016-05-25T14:33:08Z</dcterms:modified>
</cp:coreProperties>
</file>