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Customer Relations\ATC Budget\2017 Budget\2016 True-Up\"/>
    </mc:Choice>
  </mc:AlternateContent>
  <bookViews>
    <workbookView xWindow="0" yWindow="0" windowWidth="25200" windowHeight="11880"/>
  </bookViews>
  <sheets>
    <sheet name="Network True-up" sheetId="15" r:id="rId1"/>
    <sheet name="ATC Attach O ER15-358" sheetId="1" r:id="rId2"/>
    <sheet name="Revenue Breakout" sheetId="16" r:id="rId3"/>
    <sheet name="ATC Attach GG ER15-123" sheetId="2" r:id="rId4"/>
    <sheet name="GG Support Data" sheetId="6" r:id="rId5"/>
    <sheet name="Attach MM ER15-123" sheetId="3" r:id="rId6"/>
    <sheet name="MM Support Data" sheetId="7" r:id="rId7"/>
    <sheet name="ATC Sch 1 - Recoverable Exp" sheetId="4" r:id="rId8"/>
    <sheet name="ATC Sch1 - True-Up Adj 2014" sheetId="5" r:id="rId9"/>
    <sheet name="ATC Sch 1 True up Int 2014" sheetId="12" r:id="rId10"/>
    <sheet name="ATC Sch1 - True-Up Adj 2016" sheetId="11" r:id="rId11"/>
    <sheet name="Common Equity" sheetId="22" r:id="rId12"/>
    <sheet name="CWIP" sheetId="28" r:id="rId13"/>
    <sheet name="Def. Tax Avg Calc" sheetId="19" r:id="rId14"/>
    <sheet name="Calc. of Wgt. Avg. Debt Rate" sheetId="23" r:id="rId15"/>
    <sheet name="Permanent" sheetId="29" r:id="rId16"/>
    <sheet name="Excess Deferreds" sheetId="33" r:id="rId17"/>
    <sheet name="SIT" sheetId="31" r:id="rId18"/>
    <sheet name="TEP" sheetId="32" r:id="rId19"/>
    <sheet name="2014 Sch. 26 True-up Adj" sheetId="24" r:id="rId20"/>
    <sheet name="352 Correction (Sch 26)" sheetId="25" r:id="rId21"/>
    <sheet name="GIP Dep Correction (Sch 26)" sheetId="26" r:id="rId22"/>
    <sheet name="2014 Sch.26A True-up Adj" sheetId="27"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1E_1">#N/A</definedName>
    <definedName name="_31_Dec_00" localSheetId="3">#REF!</definedName>
    <definedName name="_31_Dec_00" localSheetId="10">#REF!</definedName>
    <definedName name="_31_Dec_00" localSheetId="14">#REF!</definedName>
    <definedName name="_31_Dec_00" localSheetId="12">#REF!</definedName>
    <definedName name="_31_Dec_00" localSheetId="13">#REF!</definedName>
    <definedName name="_31_Dec_00" localSheetId="0">#REF!</definedName>
    <definedName name="_31_Dec_00" localSheetId="2">#REF!</definedName>
    <definedName name="_31_Dec_00" localSheetId="18">#REF!</definedName>
    <definedName name="_31_Dec_00">#REF!</definedName>
    <definedName name="_31_Jan_01" localSheetId="3">#REF!</definedName>
    <definedName name="_31_Jan_01" localSheetId="10">#REF!</definedName>
    <definedName name="_31_Jan_01" localSheetId="14">#REF!</definedName>
    <definedName name="_31_Jan_01" localSheetId="12">#REF!</definedName>
    <definedName name="_31_Jan_01" localSheetId="18">#REF!</definedName>
    <definedName name="_31_Jan_01">#REF!</definedName>
    <definedName name="Balances" localSheetId="10">#REF!</definedName>
    <definedName name="Balances" localSheetId="14">#REF!</definedName>
    <definedName name="Balances" localSheetId="12">#REF!</definedName>
    <definedName name="Balances" localSheetId="18">#REF!</definedName>
    <definedName name="Balances">#REF!</definedName>
    <definedName name="CH_COS" localSheetId="3">#REF!</definedName>
    <definedName name="CH_COS" localSheetId="10">#REF!</definedName>
    <definedName name="CH_COS" localSheetId="5">#REF!</definedName>
    <definedName name="CH_COS" localSheetId="14">#REF!</definedName>
    <definedName name="CH_COS" localSheetId="12">#REF!</definedName>
    <definedName name="CH_COS">#REF!</definedName>
    <definedName name="ClearALL" localSheetId="10">#REF!</definedName>
    <definedName name="ClearALL" localSheetId="14">#REF!</definedName>
    <definedName name="ClearALL" localSheetId="12">#REF!</definedName>
    <definedName name="ClearALL">#REF!</definedName>
    <definedName name="COA1Copy" localSheetId="10">#REF!</definedName>
    <definedName name="COA1Copy" localSheetId="14">#REF!</definedName>
    <definedName name="COA1Copy">#REF!</definedName>
    <definedName name="COA1Paste" localSheetId="10">#REF!</definedName>
    <definedName name="COA1Paste" localSheetId="14">#REF!</definedName>
    <definedName name="COA1Paste">#REF!</definedName>
    <definedName name="COA2Copy" localSheetId="10">#REF!</definedName>
    <definedName name="COA2Copy" localSheetId="14">#REF!</definedName>
    <definedName name="COA2Copy">#REF!</definedName>
    <definedName name="COA2Paste" localSheetId="10">#REF!</definedName>
    <definedName name="COA2Paste" localSheetId="14">#REF!</definedName>
    <definedName name="COA2Paste">#REF!</definedName>
    <definedName name="COAHardCode" localSheetId="10">#REF!</definedName>
    <definedName name="COAHardCode" localSheetId="14">#REF!</definedName>
    <definedName name="COAHardCode">#REF!</definedName>
    <definedName name="Columns" localSheetId="3">#REF!</definedName>
    <definedName name="Columns" localSheetId="10">#REF!</definedName>
    <definedName name="Columns" localSheetId="14">#REF!</definedName>
    <definedName name="Columns">#REF!</definedName>
    <definedName name="Columns2" localSheetId="10">#REF!</definedName>
    <definedName name="Columns2" localSheetId="14">#REF!</definedName>
    <definedName name="Columns2">#REF!</definedName>
    <definedName name="ControlTotal" localSheetId="10">#REF!</definedName>
    <definedName name="ControlTotal" localSheetId="14">#REF!</definedName>
    <definedName name="ControlTotal">#REF!</definedName>
    <definedName name="Current_sum" localSheetId="10">#REF!</definedName>
    <definedName name="Current_sum" localSheetId="14">#REF!</definedName>
    <definedName name="Current_sum">#REF!</definedName>
    <definedName name="data_3" localSheetId="14">[1]Permanent!$A$9:$O$20</definedName>
    <definedName name="data_3" localSheetId="12">[1]Permanent!$A$9:$O$20</definedName>
    <definedName name="data_3">[2]Permanent!$A$9:$O$20</definedName>
    <definedName name="DefaultCopy" localSheetId="3">#REF!</definedName>
    <definedName name="DefaultCopy" localSheetId="10">#REF!</definedName>
    <definedName name="DefaultCopy" localSheetId="14">#REF!</definedName>
    <definedName name="DefaultCopy" localSheetId="12">#REF!</definedName>
    <definedName name="DefaultCopy" localSheetId="13">#REF!</definedName>
    <definedName name="DefaultCopy" localSheetId="0">#REF!</definedName>
    <definedName name="DefaultCopy" localSheetId="2">#REF!</definedName>
    <definedName name="DefaultCopy" localSheetId="18">#REF!</definedName>
    <definedName name="DefaultCopy">#REF!</definedName>
    <definedName name="DefaultPaste" localSheetId="3">#REF!</definedName>
    <definedName name="DefaultPaste" localSheetId="10">#REF!</definedName>
    <definedName name="DefaultPaste" localSheetId="14">#REF!</definedName>
    <definedName name="DefaultPaste" localSheetId="12">#REF!</definedName>
    <definedName name="DefaultPaste" localSheetId="18">#REF!</definedName>
    <definedName name="DefaultPaste">#REF!</definedName>
    <definedName name="DefaultPaste2" localSheetId="10">#REF!</definedName>
    <definedName name="DefaultPaste2" localSheetId="14">#REF!</definedName>
    <definedName name="DefaultPaste2" localSheetId="12">#REF!</definedName>
    <definedName name="DefaultPaste2" localSheetId="18">#REF!</definedName>
    <definedName name="DefaultPaste2">#REF!</definedName>
    <definedName name="detail" localSheetId="3">#REF!</definedName>
    <definedName name="detail" localSheetId="10">#REF!</definedName>
    <definedName name="detail" localSheetId="14">#REF!</definedName>
    <definedName name="detail">#REF!</definedName>
    <definedName name="FCN" localSheetId="10">#REF!</definedName>
    <definedName name="FCN" localSheetId="14">#REF!</definedName>
    <definedName name="FCN">#REF!</definedName>
    <definedName name="GG_Support_Data" localSheetId="19">'[3]GG Support Data'!$C$8:$Q$67</definedName>
    <definedName name="GG_Support_Data" localSheetId="22">'[3]GG Support Data'!$C$8:$Q$67</definedName>
    <definedName name="GG_Support_Data">'[4]GG Support Data'!$C$8:$Q$67</definedName>
    <definedName name="GotoCo" localSheetId="10">#REF!</definedName>
    <definedName name="GotoCo" localSheetId="14">#REF!</definedName>
    <definedName name="GotoCo" localSheetId="13">#REF!</definedName>
    <definedName name="GotoCo" localSheetId="0">#REF!</definedName>
    <definedName name="GotoCo" localSheetId="2">#REF!</definedName>
    <definedName name="GotoCo">#REF!</definedName>
    <definedName name="itc" localSheetId="10">#REF!</definedName>
    <definedName name="itc" localSheetId="14">#REF!</definedName>
    <definedName name="itc">#REF!</definedName>
    <definedName name="kk" localSheetId="3">#REF!</definedName>
    <definedName name="kk" localSheetId="10">#REF!</definedName>
    <definedName name="kk" localSheetId="14">#REF!</definedName>
    <definedName name="kk">#REF!</definedName>
    <definedName name="LDC" localSheetId="10">#REF!</definedName>
    <definedName name="LDC" localSheetId="14">#REF!</definedName>
    <definedName name="LDC">#REF!</definedName>
    <definedName name="Mgmt" localSheetId="3">[5]Current!#REF!</definedName>
    <definedName name="Mgmt" localSheetId="10">[5]Current!#REF!</definedName>
    <definedName name="Mgmt" localSheetId="14">[6]Current!#REF!</definedName>
    <definedName name="Mgmt" localSheetId="12">[6]Current!#REF!</definedName>
    <definedName name="Mgmt" localSheetId="13">[6]Current!#REF!</definedName>
    <definedName name="Mgmt" localSheetId="0">[6]Current!#REF!</definedName>
    <definedName name="Mgmt" localSheetId="15">[7]Current!#REF!</definedName>
    <definedName name="Mgmt" localSheetId="2">[6]Current!#REF!</definedName>
    <definedName name="Mgmt">[5]Current!#REF!</definedName>
    <definedName name="months" localSheetId="14">[1]Permanent!$A$24:$A$35</definedName>
    <definedName name="months" localSheetId="12">[1]Permanent!$A$24:$A$35</definedName>
    <definedName name="months">[2]Permanent!$A$24:$A$35</definedName>
    <definedName name="Net" localSheetId="10">#REF!</definedName>
    <definedName name="Net" localSheetId="14">#REF!</definedName>
    <definedName name="Net" localSheetId="12">#REF!</definedName>
    <definedName name="Net" localSheetId="13">#REF!</definedName>
    <definedName name="Net" localSheetId="0">#REF!</definedName>
    <definedName name="Net" localSheetId="2">#REF!</definedName>
    <definedName name="Net" localSheetId="18">#REF!</definedName>
    <definedName name="Net">#REF!</definedName>
    <definedName name="new" localSheetId="3">#REF!</definedName>
    <definedName name="new" localSheetId="10">#REF!</definedName>
    <definedName name="new" localSheetId="14">#REF!</definedName>
    <definedName name="new" localSheetId="12">#REF!</definedName>
    <definedName name="new" localSheetId="18">#REF!</definedName>
    <definedName name="new">#REF!</definedName>
    <definedName name="NSP_COS" localSheetId="3">#REF!</definedName>
    <definedName name="NSP_COS" localSheetId="10">#REF!</definedName>
    <definedName name="NSP_COS" localSheetId="5">#REF!</definedName>
    <definedName name="NSP_COS" localSheetId="14">#REF!</definedName>
    <definedName name="NSP_COS" localSheetId="12">#REF!</definedName>
    <definedName name="NSP_COS" localSheetId="18">#REF!</definedName>
    <definedName name="NSP_COS">#REF!</definedName>
    <definedName name="PPJE" localSheetId="10">#REF!</definedName>
    <definedName name="PPJE" localSheetId="14">#REF!</definedName>
    <definedName name="PPJE">#REF!</definedName>
    <definedName name="_xlnm.Print_Area" localSheetId="19">'2014 Sch. 26 True-up Adj'!$A$1:$AH$83</definedName>
    <definedName name="_xlnm.Print_Area" localSheetId="22">'2014 Sch.26A True-up Adj'!$A$1:$AP$85</definedName>
    <definedName name="_xlnm.Print_Area" localSheetId="20">'352 Correction (Sch 26)'!$B$1:$L$44</definedName>
    <definedName name="_xlnm.Print_Area" localSheetId="3">'ATC Attach GG ER15-123'!$A$1:$P$117</definedName>
    <definedName name="_xlnm.Print_Area" localSheetId="1">'ATC Attach O ER15-358'!$A$1:$K$333</definedName>
    <definedName name="_xlnm.Print_Area" localSheetId="7">'ATC Sch 1 - Recoverable Exp'!$A$1:$G$36</definedName>
    <definedName name="_xlnm.Print_Area" localSheetId="8">'ATC Sch1 - True-Up Adj 2014'!$A$1:$G$34</definedName>
    <definedName name="_xlnm.Print_Area" localSheetId="10">'ATC Sch1 - True-Up Adj 2016'!$A$1:$G$34</definedName>
    <definedName name="_xlnm.Print_Area" localSheetId="5">'Attach MM ER15-123'!$A$1:$S$119</definedName>
    <definedName name="_xlnm.Print_Area" localSheetId="14">'Calc. of Wgt. Avg. Debt Rate'!$A$1:$H$43</definedName>
    <definedName name="_xlnm.Print_Area" localSheetId="4">'GG Support Data'!$A$2:$P$67</definedName>
    <definedName name="_xlnm.Print_Area" localSheetId="21">'GIP Dep Correction (Sch 26)'!$B$1:$L$70</definedName>
    <definedName name="_xlnm.Print_Area" localSheetId="6">'MM Support Data'!$A$2:$N$67</definedName>
    <definedName name="_xlnm.Print_Area" localSheetId="18">TEP!$A$1:$C$20</definedName>
    <definedName name="Print1" localSheetId="3">#REF!</definedName>
    <definedName name="Print1" localSheetId="10">#REF!</definedName>
    <definedName name="Print1" localSheetId="5">#REF!</definedName>
    <definedName name="Print1" localSheetId="14">#REF!</definedName>
    <definedName name="Print1" localSheetId="18">#REF!</definedName>
    <definedName name="Print1">#REF!</definedName>
    <definedName name="Print3" localSheetId="3">#REF!</definedName>
    <definedName name="Print3" localSheetId="10">#REF!</definedName>
    <definedName name="Print3" localSheetId="5">#REF!</definedName>
    <definedName name="Print3" localSheetId="14">#REF!</definedName>
    <definedName name="Print3" localSheetId="18">#REF!</definedName>
    <definedName name="Print3">#REF!</definedName>
    <definedName name="Print4" localSheetId="3">#REF!</definedName>
    <definedName name="Print4" localSheetId="10">#REF!</definedName>
    <definedName name="Print4" localSheetId="5">#REF!</definedName>
    <definedName name="Print4" localSheetId="14">#REF!</definedName>
    <definedName name="Print4" localSheetId="18">#REF!</definedName>
    <definedName name="Print4">#REF!</definedName>
    <definedName name="Print5" localSheetId="3">#REF!</definedName>
    <definedName name="Print5" localSheetId="10">#REF!</definedName>
    <definedName name="Print5" localSheetId="5">#REF!</definedName>
    <definedName name="Print5" localSheetId="14">#REF!</definedName>
    <definedName name="Print5">#REF!</definedName>
    <definedName name="PrintJE" localSheetId="10">#REF!</definedName>
    <definedName name="PrintJE" localSheetId="14">#REF!</definedName>
    <definedName name="PrintJE">#REF!</definedName>
    <definedName name="ProjIDList" localSheetId="3">#REF!</definedName>
    <definedName name="ProjIDList" localSheetId="10">#REF!</definedName>
    <definedName name="ProjIDList" localSheetId="5">#REF!</definedName>
    <definedName name="ProjIDList" localSheetId="14">#REF!</definedName>
    <definedName name="ProjIDList">#REF!</definedName>
    <definedName name="PSCo_COS" localSheetId="3">#REF!</definedName>
    <definedName name="PSCo_COS" localSheetId="10">#REF!</definedName>
    <definedName name="PSCo_COS" localSheetId="5">#REF!</definedName>
    <definedName name="PSCo_COS" localSheetId="14">#REF!</definedName>
    <definedName name="PSCo_COS">#REF!</definedName>
    <definedName name="q_MTEP06_App_AB_Facility" localSheetId="3">#REF!</definedName>
    <definedName name="q_MTEP06_App_AB_Facility" localSheetId="10">#REF!</definedName>
    <definedName name="q_MTEP06_App_AB_Facility" localSheetId="5">#REF!</definedName>
    <definedName name="q_MTEP06_App_AB_Facility" localSheetId="14">#REF!</definedName>
    <definedName name="q_MTEP06_App_AB_Facility">#REF!</definedName>
    <definedName name="q_MTEP06_App_AB_Projects" localSheetId="3">#REF!</definedName>
    <definedName name="q_MTEP06_App_AB_Projects" localSheetId="10">#REF!</definedName>
    <definedName name="q_MTEP06_App_AB_Projects" localSheetId="5">#REF!</definedName>
    <definedName name="q_MTEP06_App_AB_Projects" localSheetId="14">#REF!</definedName>
    <definedName name="q_MTEP06_App_AB_Projects">#REF!</definedName>
    <definedName name="revreq" localSheetId="3">#REF!</definedName>
    <definedName name="revreq" localSheetId="10">#REF!</definedName>
    <definedName name="revreq" localSheetId="5">#REF!</definedName>
    <definedName name="revreq" localSheetId="14">#REF!</definedName>
    <definedName name="revreq">#REF!</definedName>
    <definedName name="SPS_COS" localSheetId="3">#REF!</definedName>
    <definedName name="SPS_COS" localSheetId="10">#REF!</definedName>
    <definedName name="SPS_COS" localSheetId="5">#REF!</definedName>
    <definedName name="SPS_COS" localSheetId="14">#REF!</definedName>
    <definedName name="SPS_COS">#REF!</definedName>
    <definedName name="taxcalc" localSheetId="3">#REF!</definedName>
    <definedName name="taxcalc" localSheetId="10">#REF!</definedName>
    <definedName name="taxcalc" localSheetId="14">#REF!</definedName>
    <definedName name="taxcalc">#REF!</definedName>
    <definedName name="Tota_Deferred" localSheetId="10">#REF!</definedName>
    <definedName name="Tota_Deferred" localSheetId="14">#REF!</definedName>
    <definedName name="Tota_Deferred">#REF!</definedName>
    <definedName name="WOStatus" localSheetId="10">#REF!</definedName>
    <definedName name="WOStatus" localSheetId="14">#REF!</definedName>
    <definedName name="WOStatus">#REF!</definedName>
    <definedName name="WoTask" localSheetId="10">#REF!</definedName>
    <definedName name="WoTask" localSheetId="14">#REF!</definedName>
    <definedName name="WoTask">#REF!</definedName>
    <definedName name="Xcel" localSheetId="3">'[8]Data Entry and Forecaster'!#REF!</definedName>
    <definedName name="Xcel" localSheetId="10">'[8]Data Entry and Forecaster'!#REF!</definedName>
    <definedName name="Xcel" localSheetId="5">'[9]Data Entry and Forecaster'!#REF!</definedName>
    <definedName name="Xcel">'[8]Data Entry and Forecaster'!#REF!</definedName>
    <definedName name="Xcel_COS" localSheetId="3">#REF!</definedName>
    <definedName name="Xcel_COS" localSheetId="10">#REF!</definedName>
    <definedName name="Xcel_COS" localSheetId="5">#REF!</definedName>
    <definedName name="Xcel_COS" localSheetId="14">#REF!</definedName>
    <definedName name="Xcel_COS" localSheetId="12">#REF!</definedName>
    <definedName name="Xcel_COS" localSheetId="18">#REF!</definedName>
    <definedName name="Xcel_COS">#REF!</definedName>
    <definedName name="Z_26693155_D691_4427_8747_8AAE3A06AD6E_.wvu.PrintArea" localSheetId="1" hidden="1">'ATC Attach O ER15-358'!$A$1:$K$337</definedName>
  </definedNames>
  <calcPr calcId="162913" iterate="1" iterateCount="1500" calcOnSave="0"/>
  <customWorkbookViews>
    <customWorkbookView name="Jim Hodgson - Personal View" guid="{26693155-D691-4427-8747-8AAE3A06AD6E}" mergeInterval="0" personalView="1" maximized="1" windowWidth="1676" windowHeight="908" activeSheetId="1"/>
  </customWorkbookViews>
</workbook>
</file>

<file path=xl/calcChain.xml><?xml version="1.0" encoding="utf-8"?>
<calcChain xmlns="http://schemas.openxmlformats.org/spreadsheetml/2006/main">
  <c r="P35" i="28" l="1"/>
  <c r="D191" i="1" l="1"/>
  <c r="N30" i="33"/>
  <c r="N28" i="33"/>
  <c r="N26" i="33"/>
  <c r="N24" i="33"/>
  <c r="N22" i="33"/>
  <c r="N20" i="33"/>
  <c r="N18" i="33"/>
  <c r="C18" i="33"/>
  <c r="N17" i="33"/>
  <c r="C17" i="33"/>
  <c r="N16" i="33"/>
  <c r="C16" i="33"/>
  <c r="N15" i="33"/>
  <c r="C15" i="33"/>
  <c r="N14" i="33"/>
  <c r="C14" i="33"/>
  <c r="N13" i="33"/>
  <c r="C13" i="33"/>
  <c r="N12" i="33"/>
  <c r="C12" i="33"/>
  <c r="N11" i="33"/>
  <c r="C11" i="33"/>
  <c r="N10" i="33"/>
  <c r="F10" i="33"/>
  <c r="F11" i="33" s="1"/>
  <c r="F12" i="33" s="1"/>
  <c r="F13" i="33" s="1"/>
  <c r="F14" i="33" s="1"/>
  <c r="F15" i="33" s="1"/>
  <c r="F16" i="33" s="1"/>
  <c r="F17" i="33" s="1"/>
  <c r="F18" i="33" s="1"/>
  <c r="F19" i="33" s="1"/>
  <c r="C10" i="33"/>
  <c r="J10" i="33" s="1"/>
  <c r="P10" i="33" s="1"/>
  <c r="F9" i="33"/>
  <c r="H9" i="33" s="1"/>
  <c r="H10" i="33" s="1"/>
  <c r="C9" i="33"/>
  <c r="D9" i="33" s="1"/>
  <c r="D10" i="33" s="1"/>
  <c r="D11" i="33" s="1"/>
  <c r="D12" i="33" s="1"/>
  <c r="D13" i="33" s="1"/>
  <c r="D14" i="33" s="1"/>
  <c r="D15" i="33" s="1"/>
  <c r="D16" i="33" s="1"/>
  <c r="D17" i="33" s="1"/>
  <c r="D18" i="33" s="1"/>
  <c r="N6" i="33"/>
  <c r="N31" i="33" s="1"/>
  <c r="P31" i="33" s="1"/>
  <c r="J6" i="33"/>
  <c r="F20" i="33" l="1"/>
  <c r="J19" i="33"/>
  <c r="P19" i="33" s="1"/>
  <c r="J12" i="33"/>
  <c r="P12" i="33" s="1"/>
  <c r="J14" i="33"/>
  <c r="P14" i="33" s="1"/>
  <c r="J16" i="33"/>
  <c r="P16" i="33" s="1"/>
  <c r="J18" i="33"/>
  <c r="P18" i="33" s="1"/>
  <c r="H11" i="33"/>
  <c r="H12" i="33" s="1"/>
  <c r="H13" i="33" s="1"/>
  <c r="H14" i="33" s="1"/>
  <c r="H15" i="33" s="1"/>
  <c r="H16" i="33" s="1"/>
  <c r="H17" i="33" s="1"/>
  <c r="H18" i="33" s="1"/>
  <c r="H19" i="33" s="1"/>
  <c r="H20" i="33" s="1"/>
  <c r="J13" i="33"/>
  <c r="P13" i="33" s="1"/>
  <c r="J17" i="33"/>
  <c r="P17" i="33" s="1"/>
  <c r="J11" i="33"/>
  <c r="P11" i="33" s="1"/>
  <c r="J15" i="33"/>
  <c r="P15" i="33" s="1"/>
  <c r="J9" i="33"/>
  <c r="L9" i="33" s="1"/>
  <c r="L10" i="33" s="1"/>
  <c r="L11" i="33" s="1"/>
  <c r="L12" i="33" s="1"/>
  <c r="L13" i="33" s="1"/>
  <c r="L14" i="33" s="1"/>
  <c r="L15" i="33" s="1"/>
  <c r="L16" i="33" s="1"/>
  <c r="L17" i="33" s="1"/>
  <c r="L18" i="33" s="1"/>
  <c r="L19" i="33" s="1"/>
  <c r="N19" i="33"/>
  <c r="N21" i="33"/>
  <c r="N23" i="33"/>
  <c r="N25" i="33"/>
  <c r="N27" i="33"/>
  <c r="N29" i="33"/>
  <c r="C33" i="16"/>
  <c r="D315" i="1"/>
  <c r="E20" i="32"/>
  <c r="D313" i="1"/>
  <c r="F21" i="33" l="1"/>
  <c r="J20" i="33"/>
  <c r="P20" i="33" s="1"/>
  <c r="C10" i="29"/>
  <c r="C14" i="29" s="1"/>
  <c r="D12" i="29"/>
  <c r="C10" i="32"/>
  <c r="C12" i="32" s="1"/>
  <c r="C16" i="32" s="1"/>
  <c r="C20" i="32" s="1"/>
  <c r="C17" i="31"/>
  <c r="D15" i="31"/>
  <c r="D14" i="31"/>
  <c r="D13" i="31"/>
  <c r="D12" i="31"/>
  <c r="D11" i="31"/>
  <c r="E12" i="29"/>
  <c r="F22" i="33" l="1"/>
  <c r="J21" i="33"/>
  <c r="P21" i="33" s="1"/>
  <c r="H21" i="33"/>
  <c r="H22" i="33" s="1"/>
  <c r="L20" i="33"/>
  <c r="L21" i="33" s="1"/>
  <c r="D17" i="31"/>
  <c r="D14" i="29"/>
  <c r="F23" i="33" l="1"/>
  <c r="H23" i="33" s="1"/>
  <c r="J22" i="33"/>
  <c r="P22" i="33" s="1"/>
  <c r="C22" i="16"/>
  <c r="P56" i="28"/>
  <c r="P55" i="28"/>
  <c r="P54" i="28"/>
  <c r="P53" i="28"/>
  <c r="P52" i="28"/>
  <c r="P51" i="28"/>
  <c r="P50" i="28"/>
  <c r="P49" i="28"/>
  <c r="P48" i="28"/>
  <c r="P47" i="28"/>
  <c r="P46" i="28"/>
  <c r="P45" i="28"/>
  <c r="P44" i="28"/>
  <c r="P43" i="28"/>
  <c r="P42" i="28"/>
  <c r="P41" i="28"/>
  <c r="P40" i="28"/>
  <c r="P39" i="28"/>
  <c r="P38" i="28"/>
  <c r="P37" i="28"/>
  <c r="P36" i="28"/>
  <c r="P34" i="28"/>
  <c r="P33" i="28"/>
  <c r="P32" i="28"/>
  <c r="P31" i="28"/>
  <c r="P30" i="28"/>
  <c r="P29" i="28"/>
  <c r="P28" i="28"/>
  <c r="P27" i="28"/>
  <c r="E22" i="28"/>
  <c r="O58" i="28"/>
  <c r="P59" i="28" s="1"/>
  <c r="M58" i="28"/>
  <c r="N59" i="28" s="1"/>
  <c r="I58" i="28"/>
  <c r="J59" i="28" s="1"/>
  <c r="E58" i="28"/>
  <c r="F59" i="28" s="1"/>
  <c r="K58" i="28"/>
  <c r="L59" i="28" s="1"/>
  <c r="G58" i="28"/>
  <c r="H59" i="28" s="1"/>
  <c r="L58" i="28"/>
  <c r="M59" i="28" s="1"/>
  <c r="H58" i="28"/>
  <c r="I59" i="28" s="1"/>
  <c r="D58" i="28"/>
  <c r="E59" i="28" s="1"/>
  <c r="N58" i="28"/>
  <c r="O59" i="28" s="1"/>
  <c r="J58" i="28"/>
  <c r="K59" i="28" s="1"/>
  <c r="F58" i="28"/>
  <c r="G59" i="28" s="1"/>
  <c r="P58" i="28" l="1"/>
  <c r="Q59" i="28" s="1"/>
  <c r="F24" i="33"/>
  <c r="J23" i="33"/>
  <c r="P23" i="33" s="1"/>
  <c r="L22" i="33"/>
  <c r="L23" i="33" s="1"/>
  <c r="C19" i="16"/>
  <c r="C58" i="28"/>
  <c r="D59" i="28" s="1"/>
  <c r="D88" i="1" l="1"/>
  <c r="F25" i="33"/>
  <c r="J24" i="33"/>
  <c r="P24" i="33" s="1"/>
  <c r="H24" i="33"/>
  <c r="H25" i="33" s="1"/>
  <c r="I280" i="1"/>
  <c r="C23" i="16"/>
  <c r="G8" i="15"/>
  <c r="F26" i="33" l="1"/>
  <c r="J25" i="33"/>
  <c r="P25" i="33" s="1"/>
  <c r="L24" i="33"/>
  <c r="I284" i="1"/>
  <c r="L25" i="33" l="1"/>
  <c r="F27" i="33"/>
  <c r="J26" i="33"/>
  <c r="P26" i="33" s="1"/>
  <c r="H26" i="33"/>
  <c r="H27" i="33" s="1"/>
  <c r="P57" i="6"/>
  <c r="F28" i="33" l="1"/>
  <c r="J27" i="33"/>
  <c r="P27" i="33" s="1"/>
  <c r="L26" i="33"/>
  <c r="L27" i="33" s="1"/>
  <c r="H13" i="22"/>
  <c r="F29" i="33" l="1"/>
  <c r="J28" i="33"/>
  <c r="P28" i="33" s="1"/>
  <c r="H28" i="33"/>
  <c r="H29" i="33" s="1"/>
  <c r="C21" i="19"/>
  <c r="C37" i="19"/>
  <c r="C53" i="19"/>
  <c r="F30" i="33" l="1"/>
  <c r="J30" i="33" s="1"/>
  <c r="P30" i="33" s="1"/>
  <c r="J29" i="33"/>
  <c r="P29" i="33" s="1"/>
  <c r="L28" i="33"/>
  <c r="AH76" i="27"/>
  <c r="AG76" i="27"/>
  <c r="AD76" i="27"/>
  <c r="W76" i="27"/>
  <c r="P76" i="27"/>
  <c r="N76" i="27"/>
  <c r="M76" i="27"/>
  <c r="J76" i="27"/>
  <c r="C76" i="27"/>
  <c r="AJ74" i="27"/>
  <c r="X74" i="27"/>
  <c r="D74" i="27"/>
  <c r="AJ73" i="27"/>
  <c r="X73" i="27"/>
  <c r="D73" i="27"/>
  <c r="AJ72" i="27"/>
  <c r="X72" i="27"/>
  <c r="D72" i="27"/>
  <c r="AJ71" i="27"/>
  <c r="X71" i="27"/>
  <c r="D71" i="27"/>
  <c r="AJ70" i="27"/>
  <c r="X70" i="27"/>
  <c r="D70" i="27"/>
  <c r="AJ69" i="27"/>
  <c r="X69" i="27"/>
  <c r="D69" i="27"/>
  <c r="AJ68" i="27"/>
  <c r="X68" i="27"/>
  <c r="D68" i="27"/>
  <c r="AJ67" i="27"/>
  <c r="X67" i="27"/>
  <c r="D67" i="27"/>
  <c r="AJ66" i="27"/>
  <c r="X66" i="27"/>
  <c r="D66" i="27"/>
  <c r="AJ65" i="27"/>
  <c r="X65" i="27"/>
  <c r="D65" i="27"/>
  <c r="AJ64" i="27"/>
  <c r="X64" i="27"/>
  <c r="D64" i="27"/>
  <c r="AJ63" i="27"/>
  <c r="X63" i="27"/>
  <c r="D63" i="27"/>
  <c r="AJ62" i="27"/>
  <c r="X62" i="27"/>
  <c r="D62" i="27"/>
  <c r="AJ61" i="27"/>
  <c r="X61" i="27"/>
  <c r="D61" i="27"/>
  <c r="AJ60" i="27"/>
  <c r="X60" i="27"/>
  <c r="D60" i="27"/>
  <c r="AJ59" i="27"/>
  <c r="X59" i="27"/>
  <c r="D59" i="27"/>
  <c r="AJ58" i="27"/>
  <c r="D58" i="27"/>
  <c r="AJ57" i="27"/>
  <c r="D57" i="27"/>
  <c r="AJ56" i="27"/>
  <c r="D56" i="27"/>
  <c r="AO53" i="27"/>
  <c r="T50" i="27"/>
  <c r="T51" i="27" s="1"/>
  <c r="AM48" i="27"/>
  <c r="W48" i="27"/>
  <c r="C48" i="27"/>
  <c r="AB34" i="27"/>
  <c r="AI34" i="27" s="1"/>
  <c r="H34" i="27"/>
  <c r="O34" i="27" s="1"/>
  <c r="AB30" i="27"/>
  <c r="AI30" i="27" s="1"/>
  <c r="H30" i="27"/>
  <c r="O30" i="27" s="1"/>
  <c r="AB19" i="27"/>
  <c r="AB25" i="27" s="1"/>
  <c r="AB26" i="27" s="1"/>
  <c r="H19" i="27"/>
  <c r="H25" i="27" s="1"/>
  <c r="H26" i="27" s="1"/>
  <c r="AB11" i="27"/>
  <c r="AB44" i="27" s="1"/>
  <c r="AI44" i="27" s="1"/>
  <c r="H11" i="27"/>
  <c r="H44" i="27" s="1"/>
  <c r="O44" i="27" s="1"/>
  <c r="B2" i="27"/>
  <c r="J67" i="26"/>
  <c r="I67" i="26"/>
  <c r="H67" i="26"/>
  <c r="G67" i="26"/>
  <c r="F67" i="26"/>
  <c r="J66" i="26"/>
  <c r="I66" i="26"/>
  <c r="H66" i="26"/>
  <c r="G66" i="26"/>
  <c r="F66" i="26"/>
  <c r="J65" i="26"/>
  <c r="I65" i="26"/>
  <c r="H65" i="26"/>
  <c r="G65" i="26"/>
  <c r="F65" i="26"/>
  <c r="J64" i="26"/>
  <c r="I64" i="26"/>
  <c r="H64" i="26"/>
  <c r="G64" i="26"/>
  <c r="F64" i="26"/>
  <c r="J63" i="26"/>
  <c r="I63" i="26"/>
  <c r="H63" i="26"/>
  <c r="G63" i="26"/>
  <c r="F63" i="26"/>
  <c r="J62" i="26"/>
  <c r="I62" i="26"/>
  <c r="H62" i="26"/>
  <c r="G62" i="26"/>
  <c r="F62" i="26"/>
  <c r="J61" i="26"/>
  <c r="I61" i="26"/>
  <c r="H61" i="26"/>
  <c r="G61" i="26"/>
  <c r="F61" i="26"/>
  <c r="I60" i="26"/>
  <c r="H60" i="26"/>
  <c r="G60" i="26"/>
  <c r="F60" i="26"/>
  <c r="I59" i="26"/>
  <c r="H59" i="26"/>
  <c r="G59" i="26"/>
  <c r="F59" i="26"/>
  <c r="I58" i="26"/>
  <c r="H58" i="26"/>
  <c r="G58" i="26"/>
  <c r="F58" i="26"/>
  <c r="I57" i="26"/>
  <c r="H57" i="26"/>
  <c r="G57" i="26"/>
  <c r="F57" i="26"/>
  <c r="H56" i="26"/>
  <c r="G56" i="26"/>
  <c r="F56" i="26"/>
  <c r="H55" i="26"/>
  <c r="G55" i="26"/>
  <c r="F55" i="26"/>
  <c r="H54" i="26"/>
  <c r="G54" i="26"/>
  <c r="F54" i="26"/>
  <c r="H53" i="26"/>
  <c r="G53" i="26"/>
  <c r="F53" i="26"/>
  <c r="G52" i="26"/>
  <c r="F52" i="26"/>
  <c r="G51" i="26"/>
  <c r="F51" i="26"/>
  <c r="G50" i="26"/>
  <c r="F50" i="26"/>
  <c r="G49" i="26"/>
  <c r="F49" i="26"/>
  <c r="F48" i="26"/>
  <c r="F47" i="26"/>
  <c r="F46" i="26"/>
  <c r="F45" i="26"/>
  <c r="J24" i="26"/>
  <c r="I24" i="26"/>
  <c r="H24" i="26"/>
  <c r="G24" i="26"/>
  <c r="F24" i="26"/>
  <c r="J23" i="26"/>
  <c r="I23" i="26"/>
  <c r="H23" i="26"/>
  <c r="G23" i="26"/>
  <c r="F23" i="26"/>
  <c r="J22" i="26"/>
  <c r="I22" i="26"/>
  <c r="H22" i="26"/>
  <c r="G22" i="26"/>
  <c r="F22" i="26"/>
  <c r="J21" i="26"/>
  <c r="I21" i="26"/>
  <c r="H21" i="26"/>
  <c r="G21" i="26"/>
  <c r="F21" i="26"/>
  <c r="J18" i="26"/>
  <c r="I18" i="26"/>
  <c r="H18" i="26"/>
  <c r="G18" i="26"/>
  <c r="F18" i="26"/>
  <c r="K17" i="26"/>
  <c r="K16" i="26"/>
  <c r="K15" i="26"/>
  <c r="K14" i="26"/>
  <c r="K18" i="26" s="1"/>
  <c r="J11" i="26"/>
  <c r="I11" i="26"/>
  <c r="H11" i="26"/>
  <c r="G11" i="26"/>
  <c r="F11" i="26"/>
  <c r="K10" i="26"/>
  <c r="K9" i="26"/>
  <c r="K8" i="26"/>
  <c r="K11" i="26" s="1"/>
  <c r="K7" i="26"/>
  <c r="D41" i="25"/>
  <c r="J39" i="25"/>
  <c r="I39" i="25"/>
  <c r="H39" i="25"/>
  <c r="G39" i="25"/>
  <c r="F39" i="25"/>
  <c r="J38" i="25"/>
  <c r="I38" i="25"/>
  <c r="H38" i="25"/>
  <c r="G38" i="25"/>
  <c r="F38" i="25"/>
  <c r="J37" i="25"/>
  <c r="I37" i="25"/>
  <c r="H37" i="25"/>
  <c r="G37" i="25"/>
  <c r="F37" i="25"/>
  <c r="J36" i="25"/>
  <c r="I36" i="25"/>
  <c r="H36" i="25"/>
  <c r="G36" i="25"/>
  <c r="F36" i="25"/>
  <c r="J35" i="25"/>
  <c r="I35" i="25"/>
  <c r="H35" i="25"/>
  <c r="G35" i="25"/>
  <c r="F35" i="25"/>
  <c r="J34" i="25"/>
  <c r="I34" i="25"/>
  <c r="H34" i="25"/>
  <c r="G34" i="25"/>
  <c r="F34" i="25"/>
  <c r="J33" i="25"/>
  <c r="I33" i="25"/>
  <c r="H33" i="25"/>
  <c r="G33" i="25"/>
  <c r="F33" i="25"/>
  <c r="J32" i="25"/>
  <c r="I32" i="25"/>
  <c r="H32" i="25"/>
  <c r="G32" i="25"/>
  <c r="F32" i="25"/>
  <c r="J31" i="25"/>
  <c r="I31" i="25"/>
  <c r="H31" i="25"/>
  <c r="G31" i="25"/>
  <c r="F31" i="25"/>
  <c r="J30" i="25"/>
  <c r="I30" i="25"/>
  <c r="H30" i="25"/>
  <c r="G30" i="25"/>
  <c r="F30" i="25"/>
  <c r="J29" i="25"/>
  <c r="I29" i="25"/>
  <c r="H29" i="25"/>
  <c r="G29" i="25"/>
  <c r="F29" i="25"/>
  <c r="I28" i="25"/>
  <c r="H28" i="25"/>
  <c r="G28" i="25"/>
  <c r="F28" i="25"/>
  <c r="I27" i="25"/>
  <c r="H27" i="25"/>
  <c r="G27" i="25"/>
  <c r="F27" i="25"/>
  <c r="I26" i="25"/>
  <c r="H26" i="25"/>
  <c r="G26" i="25"/>
  <c r="F26" i="25"/>
  <c r="I25" i="25"/>
  <c r="H25" i="25"/>
  <c r="G25" i="25"/>
  <c r="F25" i="25"/>
  <c r="H24" i="25"/>
  <c r="G24" i="25"/>
  <c r="F24" i="25"/>
  <c r="H23" i="25"/>
  <c r="G23" i="25"/>
  <c r="F23" i="25"/>
  <c r="H22" i="25"/>
  <c r="G22" i="25"/>
  <c r="F22" i="25"/>
  <c r="H21" i="25"/>
  <c r="G21" i="25"/>
  <c r="F21" i="25"/>
  <c r="G20" i="25"/>
  <c r="F20" i="25"/>
  <c r="G19" i="25"/>
  <c r="F19" i="25"/>
  <c r="G18" i="25"/>
  <c r="F18" i="25"/>
  <c r="G17" i="25"/>
  <c r="G41" i="25" s="1"/>
  <c r="G7" i="25" s="1"/>
  <c r="G9" i="25" s="1"/>
  <c r="G10" i="25" s="1"/>
  <c r="F17" i="25"/>
  <c r="F16" i="25"/>
  <c r="F15" i="25"/>
  <c r="F14" i="25"/>
  <c r="F13" i="25"/>
  <c r="J8" i="25"/>
  <c r="I8" i="25"/>
  <c r="H8" i="25"/>
  <c r="G8" i="25"/>
  <c r="F8" i="25"/>
  <c r="K6" i="25"/>
  <c r="L74" i="24"/>
  <c r="P41" i="24" s="1"/>
  <c r="P42" i="24" s="1"/>
  <c r="AB72" i="24"/>
  <c r="AB71" i="24"/>
  <c r="AB70" i="24"/>
  <c r="AB69" i="24"/>
  <c r="AB68" i="24"/>
  <c r="AB67" i="24"/>
  <c r="AB66" i="24"/>
  <c r="AB65" i="24"/>
  <c r="AB64" i="24"/>
  <c r="AB63" i="24"/>
  <c r="AB62" i="24"/>
  <c r="AB61" i="24"/>
  <c r="AB60" i="24"/>
  <c r="AB59" i="24"/>
  <c r="AB58" i="24"/>
  <c r="AB57" i="24"/>
  <c r="AB56" i="24"/>
  <c r="AB55" i="24"/>
  <c r="AB54" i="24"/>
  <c r="AB53" i="24"/>
  <c r="AB52" i="24"/>
  <c r="AB51" i="24"/>
  <c r="AB50" i="24"/>
  <c r="AB49" i="24"/>
  <c r="AB48" i="24"/>
  <c r="AB47" i="24"/>
  <c r="AG44" i="24"/>
  <c r="F42" i="24"/>
  <c r="C42" i="24"/>
  <c r="AE39" i="24"/>
  <c r="S39" i="24"/>
  <c r="C39" i="24"/>
  <c r="V33" i="24"/>
  <c r="AB33" i="24" s="1"/>
  <c r="L33" i="24"/>
  <c r="F33" i="24"/>
  <c r="V29" i="24"/>
  <c r="AB29" i="24" s="1"/>
  <c r="AB35" i="24" s="1"/>
  <c r="W42" i="24" s="1"/>
  <c r="W47" i="24" s="1"/>
  <c r="L29" i="24"/>
  <c r="L35" i="24" s="1"/>
  <c r="G42" i="24" s="1"/>
  <c r="G47" i="24" s="1"/>
  <c r="F29" i="24"/>
  <c r="V23" i="24"/>
  <c r="AB23" i="24" s="1"/>
  <c r="L23" i="24"/>
  <c r="F23" i="24"/>
  <c r="V19" i="24"/>
  <c r="AB19" i="24" s="1"/>
  <c r="L19" i="24"/>
  <c r="F19" i="24"/>
  <c r="V14" i="24"/>
  <c r="V15" i="24" s="1"/>
  <c r="AB15" i="24" s="1"/>
  <c r="F14" i="24"/>
  <c r="F15" i="24" s="1"/>
  <c r="L15" i="24" s="1"/>
  <c r="L25" i="24" s="1"/>
  <c r="D42" i="24" s="1"/>
  <c r="D47" i="24" s="1"/>
  <c r="L29" i="33" l="1"/>
  <c r="L30" i="33" s="1"/>
  <c r="H30" i="33"/>
  <c r="H41" i="25"/>
  <c r="H7" i="25" s="1"/>
  <c r="H9" i="25" s="1"/>
  <c r="H10" i="25" s="1"/>
  <c r="F25" i="26"/>
  <c r="J25" i="26"/>
  <c r="F69" i="26"/>
  <c r="F27" i="26" s="1"/>
  <c r="F33" i="26" s="1"/>
  <c r="J69" i="26"/>
  <c r="J27" i="26" s="1"/>
  <c r="X76" i="27"/>
  <c r="AB25" i="24"/>
  <c r="T42" i="24" s="1"/>
  <c r="T47" i="24" s="1"/>
  <c r="I41" i="25"/>
  <c r="I7" i="25" s="1"/>
  <c r="I9" i="25" s="1"/>
  <c r="I10" i="25" s="1"/>
  <c r="G69" i="26"/>
  <c r="G27" i="26" s="1"/>
  <c r="I30" i="26"/>
  <c r="I37" i="26" s="1"/>
  <c r="F41" i="25"/>
  <c r="F7" i="25" s="1"/>
  <c r="F9" i="25" s="1"/>
  <c r="J41" i="25"/>
  <c r="J7" i="25" s="1"/>
  <c r="J9" i="25" s="1"/>
  <c r="J10" i="25" s="1"/>
  <c r="H25" i="26"/>
  <c r="F32" i="26"/>
  <c r="F39" i="26" s="1"/>
  <c r="J32" i="26"/>
  <c r="J39" i="26" s="1"/>
  <c r="H69" i="26"/>
  <c r="H27" i="26" s="1"/>
  <c r="H33" i="26" s="1"/>
  <c r="H40" i="26" s="1"/>
  <c r="I69" i="26"/>
  <c r="I27" i="26" s="1"/>
  <c r="I32" i="26" s="1"/>
  <c r="I39" i="26" s="1"/>
  <c r="H36" i="27"/>
  <c r="O26" i="27"/>
  <c r="O36" i="27" s="1"/>
  <c r="G49" i="27" s="1"/>
  <c r="G56" i="27" s="1"/>
  <c r="AI26" i="27"/>
  <c r="AI36" i="27" s="1"/>
  <c r="AA49" i="27" s="1"/>
  <c r="AA56" i="27" s="1"/>
  <c r="AB36" i="27"/>
  <c r="AB21" i="27"/>
  <c r="AI21" i="27" s="1"/>
  <c r="Y49" i="27" s="1"/>
  <c r="Y56" i="27" s="1"/>
  <c r="H40" i="27"/>
  <c r="O40" i="27" s="1"/>
  <c r="O46" i="27" s="1"/>
  <c r="K49" i="27" s="1"/>
  <c r="K56" i="27" s="1"/>
  <c r="H21" i="27"/>
  <c r="O21" i="27" s="1"/>
  <c r="E49" i="27" s="1"/>
  <c r="E56" i="27" s="1"/>
  <c r="E57" i="27" s="1"/>
  <c r="AB40" i="27"/>
  <c r="AI40" i="27" s="1"/>
  <c r="AI46" i="27" s="1"/>
  <c r="AE49" i="27" s="1"/>
  <c r="AE56" i="27" s="1"/>
  <c r="D76" i="27"/>
  <c r="AJ76" i="27"/>
  <c r="H31" i="26"/>
  <c r="H38" i="26" s="1"/>
  <c r="G33" i="26"/>
  <c r="J31" i="26"/>
  <c r="J38" i="26" s="1"/>
  <c r="J33" i="26"/>
  <c r="J40" i="26" s="1"/>
  <c r="F10" i="25"/>
  <c r="G31" i="26"/>
  <c r="H32" i="26"/>
  <c r="H39" i="26" s="1"/>
  <c r="H30" i="26"/>
  <c r="K21" i="26"/>
  <c r="K23" i="26"/>
  <c r="K22" i="26"/>
  <c r="K24" i="26"/>
  <c r="I25" i="26"/>
  <c r="J30" i="26"/>
  <c r="H37" i="26"/>
  <c r="G30" i="26"/>
  <c r="G37" i="26" s="1"/>
  <c r="I31" i="26"/>
  <c r="I38" i="26" s="1"/>
  <c r="G32" i="26"/>
  <c r="G39" i="26" s="1"/>
  <c r="I33" i="26"/>
  <c r="I40" i="26" s="1"/>
  <c r="G38" i="26"/>
  <c r="G40" i="26"/>
  <c r="G25" i="26"/>
  <c r="W48" i="24"/>
  <c r="X47" i="24"/>
  <c r="H47" i="24"/>
  <c r="G48" i="24"/>
  <c r="E47" i="24"/>
  <c r="D48" i="24"/>
  <c r="U47" i="24"/>
  <c r="T48" i="24"/>
  <c r="AB74" i="24"/>
  <c r="F30" i="26" l="1"/>
  <c r="K9" i="25"/>
  <c r="K10" i="25" s="1"/>
  <c r="F31" i="26"/>
  <c r="F38" i="26" s="1"/>
  <c r="K47" i="24"/>
  <c r="AA47" i="24"/>
  <c r="H34" i="26"/>
  <c r="AA57" i="27"/>
  <c r="AB56" i="27"/>
  <c r="AF56" i="27"/>
  <c r="AE57" i="27"/>
  <c r="E58" i="27"/>
  <c r="F57" i="27"/>
  <c r="Y57" i="27"/>
  <c r="Z56" i="27"/>
  <c r="G57" i="27"/>
  <c r="H56" i="27"/>
  <c r="L56" i="27"/>
  <c r="K57" i="27"/>
  <c r="F56" i="27"/>
  <c r="G41" i="26"/>
  <c r="H41" i="26"/>
  <c r="K32" i="26"/>
  <c r="K38" i="26"/>
  <c r="K33" i="26"/>
  <c r="J37" i="26"/>
  <c r="J41" i="26" s="1"/>
  <c r="J34" i="26"/>
  <c r="K30" i="26"/>
  <c r="F34" i="26"/>
  <c r="F37" i="26"/>
  <c r="I34" i="26"/>
  <c r="I41" i="26"/>
  <c r="G34" i="26"/>
  <c r="K25" i="26"/>
  <c r="K39" i="26"/>
  <c r="K31" i="26"/>
  <c r="F40" i="26"/>
  <c r="K40" i="26" s="1"/>
  <c r="M47" i="24"/>
  <c r="T49" i="24"/>
  <c r="U48" i="24"/>
  <c r="H48" i="24"/>
  <c r="G49" i="24"/>
  <c r="D49" i="24"/>
  <c r="E48" i="24"/>
  <c r="AC47" i="24"/>
  <c r="W49" i="24"/>
  <c r="X48" i="24"/>
  <c r="K48" i="24" l="1"/>
  <c r="M48" i="24" s="1"/>
  <c r="Y58" i="27"/>
  <c r="Z57" i="27"/>
  <c r="K58" i="27"/>
  <c r="L57" i="27"/>
  <c r="AC56" i="27"/>
  <c r="AE58" i="27"/>
  <c r="AF57" i="27"/>
  <c r="I56" i="27"/>
  <c r="G58" i="27"/>
  <c r="H57" i="27"/>
  <c r="I57" i="27" s="1"/>
  <c r="O57" i="27" s="1"/>
  <c r="Q57" i="27" s="1"/>
  <c r="E59" i="27"/>
  <c r="F58" i="27"/>
  <c r="AA58" i="27"/>
  <c r="AB57" i="27"/>
  <c r="K37" i="26"/>
  <c r="K41" i="26" s="1"/>
  <c r="F41" i="26"/>
  <c r="K34" i="26"/>
  <c r="X49" i="24"/>
  <c r="W50" i="24"/>
  <c r="T50" i="24"/>
  <c r="U49" i="24"/>
  <c r="G50" i="24"/>
  <c r="H49" i="24"/>
  <c r="AA48" i="24"/>
  <c r="D50" i="24"/>
  <c r="E49" i="24"/>
  <c r="K49" i="24" s="1"/>
  <c r="M49" i="24" s="1"/>
  <c r="AA59" i="27" l="1"/>
  <c r="AB58" i="27"/>
  <c r="G59" i="27"/>
  <c r="H58" i="27"/>
  <c r="I58" i="27" s="1"/>
  <c r="O58" i="27" s="1"/>
  <c r="Q58" i="27" s="1"/>
  <c r="O56" i="27"/>
  <c r="AF58" i="27"/>
  <c r="AE59" i="27"/>
  <c r="L58" i="27"/>
  <c r="K59" i="27"/>
  <c r="E60" i="27"/>
  <c r="F59" i="27"/>
  <c r="AI56" i="27"/>
  <c r="AC57" i="27"/>
  <c r="AI57" i="27" s="1"/>
  <c r="AK57" i="27" s="1"/>
  <c r="Z58" i="27"/>
  <c r="Y59" i="27"/>
  <c r="AC48" i="24"/>
  <c r="G51" i="24"/>
  <c r="H50" i="24"/>
  <c r="U50" i="24"/>
  <c r="AA50" i="24" s="1"/>
  <c r="AC50" i="24" s="1"/>
  <c r="T51" i="24"/>
  <c r="X50" i="24"/>
  <c r="W51" i="24"/>
  <c r="E50" i="24"/>
  <c r="K50" i="24" s="1"/>
  <c r="M50" i="24" s="1"/>
  <c r="D51" i="24"/>
  <c r="AA49" i="24"/>
  <c r="AC49" i="24" s="1"/>
  <c r="E61" i="27" l="1"/>
  <c r="F60" i="27"/>
  <c r="H59" i="27"/>
  <c r="I59" i="27" s="1"/>
  <c r="O59" i="27" s="1"/>
  <c r="Q59" i="27" s="1"/>
  <c r="G60" i="27"/>
  <c r="AF59" i="27"/>
  <c r="AE60" i="27"/>
  <c r="Y60" i="27"/>
  <c r="Z59" i="27"/>
  <c r="AK56" i="27"/>
  <c r="K60" i="27"/>
  <c r="L59" i="27"/>
  <c r="Q56" i="27"/>
  <c r="AC58" i="27"/>
  <c r="AI58" i="27" s="1"/>
  <c r="AK58" i="27" s="1"/>
  <c r="AB59" i="27"/>
  <c r="AA60" i="27"/>
  <c r="H51" i="24"/>
  <c r="G52" i="24"/>
  <c r="W52" i="24"/>
  <c r="X51" i="24"/>
  <c r="U51" i="24"/>
  <c r="T52" i="24"/>
  <c r="E51" i="24"/>
  <c r="K51" i="24" s="1"/>
  <c r="M51" i="24" s="1"/>
  <c r="D52" i="24"/>
  <c r="AB60" i="27" l="1"/>
  <c r="AA61" i="27"/>
  <c r="E62" i="27"/>
  <c r="F61" i="27"/>
  <c r="K61" i="27"/>
  <c r="L60" i="27"/>
  <c r="Y61" i="27"/>
  <c r="Z60" i="27"/>
  <c r="AE61" i="27"/>
  <c r="AF60" i="27"/>
  <c r="G61" i="27"/>
  <c r="H60" i="27"/>
  <c r="I60" i="27" s="1"/>
  <c r="AC59" i="27"/>
  <c r="AI59" i="27" s="1"/>
  <c r="AK59" i="27" s="1"/>
  <c r="X52" i="24"/>
  <c r="W53" i="24"/>
  <c r="AA51" i="24"/>
  <c r="D53" i="24"/>
  <c r="E52" i="24"/>
  <c r="U52" i="24"/>
  <c r="T53" i="24"/>
  <c r="H52" i="24"/>
  <c r="G53" i="24"/>
  <c r="O60" i="27" l="1"/>
  <c r="AE62" i="27"/>
  <c r="AF61" i="27"/>
  <c r="AC60" i="27"/>
  <c r="AI60" i="27" s="1"/>
  <c r="AK60" i="27" s="1"/>
  <c r="L61" i="27"/>
  <c r="K62" i="27"/>
  <c r="Y62" i="27"/>
  <c r="Z61" i="27"/>
  <c r="E63" i="27"/>
  <c r="F62" i="27"/>
  <c r="G62" i="27"/>
  <c r="H61" i="27"/>
  <c r="I61" i="27" s="1"/>
  <c r="AA62" i="27"/>
  <c r="AB61" i="27"/>
  <c r="H53" i="24"/>
  <c r="G54" i="24"/>
  <c r="K52" i="24"/>
  <c r="M52" i="24" s="1"/>
  <c r="X53" i="24"/>
  <c r="W54" i="24"/>
  <c r="T54" i="24"/>
  <c r="U53" i="24"/>
  <c r="E53" i="24"/>
  <c r="K53" i="24" s="1"/>
  <c r="M53" i="24" s="1"/>
  <c r="D54" i="24"/>
  <c r="AA52" i="24"/>
  <c r="AC52" i="24" s="1"/>
  <c r="AC51" i="24"/>
  <c r="AA53" i="24" l="1"/>
  <c r="AC53" i="24" s="1"/>
  <c r="O61" i="27"/>
  <c r="Q61" i="27" s="1"/>
  <c r="Y63" i="27"/>
  <c r="Z62" i="27"/>
  <c r="AB62" i="27"/>
  <c r="AA63" i="27"/>
  <c r="K63" i="27"/>
  <c r="L62" i="27"/>
  <c r="AF62" i="27"/>
  <c r="AE63" i="27"/>
  <c r="G63" i="27"/>
  <c r="H62" i="27"/>
  <c r="I62" i="27" s="1"/>
  <c r="O62" i="27" s="1"/>
  <c r="E64" i="27"/>
  <c r="F63" i="27"/>
  <c r="AC61" i="27"/>
  <c r="Q60" i="27"/>
  <c r="T55" i="24"/>
  <c r="U54" i="24"/>
  <c r="G55" i="24"/>
  <c r="H54" i="24"/>
  <c r="E54" i="24"/>
  <c r="D55" i="24"/>
  <c r="W55" i="24"/>
  <c r="X54" i="24"/>
  <c r="Q62" i="27" l="1"/>
  <c r="AE64" i="27"/>
  <c r="AF63" i="27"/>
  <c r="Y64" i="27"/>
  <c r="Z63" i="27"/>
  <c r="E65" i="27"/>
  <c r="F64" i="27"/>
  <c r="AB63" i="27"/>
  <c r="AA64" i="27"/>
  <c r="AI61" i="27"/>
  <c r="G64" i="27"/>
  <c r="H63" i="27"/>
  <c r="I63" i="27" s="1"/>
  <c r="K64" i="27"/>
  <c r="L63" i="27"/>
  <c r="AC62" i="27"/>
  <c r="AI62" i="27" s="1"/>
  <c r="AK62" i="27" s="1"/>
  <c r="K54" i="24"/>
  <c r="M54" i="24" s="1"/>
  <c r="T56" i="24"/>
  <c r="U55" i="24"/>
  <c r="G56" i="24"/>
  <c r="H55" i="24"/>
  <c r="X55" i="24"/>
  <c r="W56" i="24"/>
  <c r="E55" i="24"/>
  <c r="D56" i="24"/>
  <c r="AA54" i="24"/>
  <c r="AC54" i="24" s="1"/>
  <c r="K55" i="24" l="1"/>
  <c r="M55" i="24" s="1"/>
  <c r="AC63" i="27"/>
  <c r="AI63" i="27" s="1"/>
  <c r="AK63" i="27" s="1"/>
  <c r="AK61" i="27"/>
  <c r="I64" i="27"/>
  <c r="AE65" i="27"/>
  <c r="AF64" i="27"/>
  <c r="O63" i="27"/>
  <c r="E66" i="27"/>
  <c r="F65" i="27"/>
  <c r="Y65" i="27"/>
  <c r="Z64" i="27"/>
  <c r="L64" i="27"/>
  <c r="K65" i="27"/>
  <c r="G65" i="27"/>
  <c r="H64" i="27"/>
  <c r="AA65" i="27"/>
  <c r="AB64" i="27"/>
  <c r="G57" i="24"/>
  <c r="H56" i="24"/>
  <c r="W57" i="24"/>
  <c r="X56" i="24"/>
  <c r="AA55" i="24"/>
  <c r="AC55" i="24" s="1"/>
  <c r="U56" i="24"/>
  <c r="AA56" i="24" s="1"/>
  <c r="AC56" i="24" s="1"/>
  <c r="T57" i="24"/>
  <c r="E56" i="24"/>
  <c r="K56" i="24" s="1"/>
  <c r="M56" i="24" s="1"/>
  <c r="D57" i="24"/>
  <c r="AC64" i="27" l="1"/>
  <c r="AI64" i="27" s="1"/>
  <c r="AK64" i="27" s="1"/>
  <c r="O64" i="27"/>
  <c r="Q64" i="27" s="1"/>
  <c r="H65" i="27"/>
  <c r="G66" i="27"/>
  <c r="Q63" i="27"/>
  <c r="AA66" i="27"/>
  <c r="AB65" i="27"/>
  <c r="E67" i="27"/>
  <c r="F66" i="27"/>
  <c r="AF65" i="27"/>
  <c r="AE66" i="27"/>
  <c r="Y66" i="27"/>
  <c r="Z65" i="27"/>
  <c r="L65" i="27"/>
  <c r="K66" i="27"/>
  <c r="I65" i="27"/>
  <c r="U57" i="24"/>
  <c r="T58" i="24"/>
  <c r="H57" i="24"/>
  <c r="G58" i="24"/>
  <c r="D58" i="24"/>
  <c r="E57" i="24"/>
  <c r="W58" i="24"/>
  <c r="X57" i="24"/>
  <c r="K57" i="24" l="1"/>
  <c r="M57" i="24" s="1"/>
  <c r="AA57" i="24"/>
  <c r="AC57" i="24" s="1"/>
  <c r="AC65" i="27"/>
  <c r="AI65" i="27" s="1"/>
  <c r="AK65" i="27" s="1"/>
  <c r="E68" i="27"/>
  <c r="F67" i="27"/>
  <c r="O65" i="27"/>
  <c r="Q65" i="27" s="1"/>
  <c r="AF66" i="27"/>
  <c r="AE67" i="27"/>
  <c r="H66" i="27"/>
  <c r="I66" i="27" s="1"/>
  <c r="O66" i="27" s="1"/>
  <c r="Q66" i="27" s="1"/>
  <c r="G67" i="27"/>
  <c r="Y67" i="27"/>
  <c r="Z66" i="27"/>
  <c r="K67" i="27"/>
  <c r="L66" i="27"/>
  <c r="AB66" i="27"/>
  <c r="AA67" i="27"/>
  <c r="D59" i="24"/>
  <c r="E58" i="24"/>
  <c r="X58" i="24"/>
  <c r="W59" i="24"/>
  <c r="T59" i="24"/>
  <c r="U58" i="24"/>
  <c r="AA58" i="24" s="1"/>
  <c r="AC58" i="24" s="1"/>
  <c r="H58" i="24"/>
  <c r="G59" i="24"/>
  <c r="K58" i="24" l="1"/>
  <c r="M58" i="24" s="1"/>
  <c r="Y68" i="27"/>
  <c r="Z67" i="27"/>
  <c r="AE68" i="27"/>
  <c r="AF67" i="27"/>
  <c r="G68" i="27"/>
  <c r="H67" i="27"/>
  <c r="I67" i="27" s="1"/>
  <c r="AC66" i="27"/>
  <c r="AI66" i="27" s="1"/>
  <c r="AK66" i="27" s="1"/>
  <c r="AB67" i="27"/>
  <c r="AA68" i="27"/>
  <c r="K68" i="27"/>
  <c r="L67" i="27"/>
  <c r="E69" i="27"/>
  <c r="F68" i="27"/>
  <c r="G60" i="24"/>
  <c r="H59" i="24"/>
  <c r="T60" i="24"/>
  <c r="U59" i="24"/>
  <c r="X59" i="24"/>
  <c r="W60" i="24"/>
  <c r="E59" i="24"/>
  <c r="D60" i="24"/>
  <c r="O67" i="27" l="1"/>
  <c r="Q67" i="27" s="1"/>
  <c r="AA59" i="24"/>
  <c r="AC59" i="24" s="1"/>
  <c r="G69" i="27"/>
  <c r="H68" i="27"/>
  <c r="Y69" i="27"/>
  <c r="Z68" i="27"/>
  <c r="E70" i="27"/>
  <c r="F69" i="27"/>
  <c r="L68" i="27"/>
  <c r="K69" i="27"/>
  <c r="AC67" i="27"/>
  <c r="AI67" i="27" s="1"/>
  <c r="AK67" i="27" s="1"/>
  <c r="I68" i="27"/>
  <c r="AA69" i="27"/>
  <c r="AB68" i="27"/>
  <c r="AE69" i="27"/>
  <c r="AF68" i="27"/>
  <c r="U60" i="24"/>
  <c r="AA60" i="24" s="1"/>
  <c r="AC60" i="24" s="1"/>
  <c r="T61" i="24"/>
  <c r="E60" i="24"/>
  <c r="D61" i="24"/>
  <c r="W61" i="24"/>
  <c r="X60" i="24"/>
  <c r="K59" i="24"/>
  <c r="M59" i="24" s="1"/>
  <c r="G61" i="24"/>
  <c r="H60" i="24"/>
  <c r="L69" i="27" l="1"/>
  <c r="K70" i="27"/>
  <c r="AC68" i="27"/>
  <c r="AI68" i="27" s="1"/>
  <c r="AK68" i="27" s="1"/>
  <c r="O68" i="27"/>
  <c r="Q68" i="27" s="1"/>
  <c r="AA70" i="27"/>
  <c r="AB69" i="27"/>
  <c r="Y70" i="27"/>
  <c r="Z69" i="27"/>
  <c r="AF69" i="27"/>
  <c r="AE70" i="27"/>
  <c r="E71" i="27"/>
  <c r="F70" i="27"/>
  <c r="H69" i="27"/>
  <c r="I69" i="27" s="1"/>
  <c r="O69" i="27" s="1"/>
  <c r="Q69" i="27" s="1"/>
  <c r="G70" i="27"/>
  <c r="K60" i="24"/>
  <c r="M60" i="24" s="1"/>
  <c r="W62" i="24"/>
  <c r="X61" i="24"/>
  <c r="U61" i="24"/>
  <c r="T62" i="24"/>
  <c r="H61" i="24"/>
  <c r="G62" i="24"/>
  <c r="D62" i="24"/>
  <c r="E61" i="24"/>
  <c r="K61" i="24" l="1"/>
  <c r="M61" i="24" s="1"/>
  <c r="AB70" i="27"/>
  <c r="AA71" i="27"/>
  <c r="H70" i="27"/>
  <c r="I70" i="27" s="1"/>
  <c r="O70" i="27" s="1"/>
  <c r="Q70" i="27" s="1"/>
  <c r="G71" i="27"/>
  <c r="Y71" i="27"/>
  <c r="Z70" i="27"/>
  <c r="AF70" i="27"/>
  <c r="AE71" i="27"/>
  <c r="K71" i="27"/>
  <c r="L70" i="27"/>
  <c r="E72" i="27"/>
  <c r="F71" i="27"/>
  <c r="AC69" i="27"/>
  <c r="AI69" i="27" s="1"/>
  <c r="AK69" i="27" s="1"/>
  <c r="T63" i="24"/>
  <c r="U62" i="24"/>
  <c r="D63" i="24"/>
  <c r="E62" i="24"/>
  <c r="X62" i="24"/>
  <c r="W63" i="24"/>
  <c r="H62" i="24"/>
  <c r="G63" i="24"/>
  <c r="AA61" i="24"/>
  <c r="AC61" i="24" s="1"/>
  <c r="K62" i="24" l="1"/>
  <c r="M62" i="24" s="1"/>
  <c r="K72" i="27"/>
  <c r="L71" i="27"/>
  <c r="G72" i="27"/>
  <c r="H71" i="27"/>
  <c r="E73" i="27"/>
  <c r="F72" i="27"/>
  <c r="AC70" i="27"/>
  <c r="AI70" i="27" s="1"/>
  <c r="AK70" i="27" s="1"/>
  <c r="AB71" i="27"/>
  <c r="AA72" i="27"/>
  <c r="AE72" i="27"/>
  <c r="AF71" i="27"/>
  <c r="Y72" i="27"/>
  <c r="Z71" i="27"/>
  <c r="AC71" i="27" s="1"/>
  <c r="I71" i="27"/>
  <c r="O71" i="27" s="1"/>
  <c r="Q71" i="27" s="1"/>
  <c r="X63" i="24"/>
  <c r="W64" i="24"/>
  <c r="E63" i="24"/>
  <c r="D64" i="24"/>
  <c r="G64" i="24"/>
  <c r="H63" i="24"/>
  <c r="AA62" i="24"/>
  <c r="AC62" i="24" s="1"/>
  <c r="T64" i="24"/>
  <c r="U63" i="24"/>
  <c r="AA63" i="24" s="1"/>
  <c r="AC63" i="24" s="1"/>
  <c r="AI71" i="27" l="1"/>
  <c r="AK71" i="27" s="1"/>
  <c r="G73" i="27"/>
  <c r="H72" i="27"/>
  <c r="I72" i="27" s="1"/>
  <c r="O72" i="27" s="1"/>
  <c r="Q72" i="27" s="1"/>
  <c r="AE73" i="27"/>
  <c r="AF72" i="27"/>
  <c r="AA73" i="27"/>
  <c r="AB72" i="27"/>
  <c r="E74" i="27"/>
  <c r="F74" i="27" s="1"/>
  <c r="F73" i="27"/>
  <c r="L72" i="27"/>
  <c r="K73" i="27"/>
  <c r="Y73" i="27"/>
  <c r="Z72" i="27"/>
  <c r="U64" i="24"/>
  <c r="T65" i="24"/>
  <c r="E64" i="24"/>
  <c r="D65" i="24"/>
  <c r="W65" i="24"/>
  <c r="X64" i="24"/>
  <c r="G65" i="24"/>
  <c r="H64" i="24"/>
  <c r="K63" i="24"/>
  <c r="M63" i="24" s="1"/>
  <c r="K64" i="24" l="1"/>
  <c r="M64" i="24" s="1"/>
  <c r="Y74" i="27"/>
  <c r="Z74" i="27" s="1"/>
  <c r="Z73" i="27"/>
  <c r="AC72" i="27"/>
  <c r="AI72" i="27" s="1"/>
  <c r="AK72" i="27" s="1"/>
  <c r="F76" i="27"/>
  <c r="H73" i="27"/>
  <c r="I73" i="27" s="1"/>
  <c r="G74" i="27"/>
  <c r="H74" i="27" s="1"/>
  <c r="H76" i="27" s="1"/>
  <c r="L73" i="27"/>
  <c r="K74" i="27"/>
  <c r="L74" i="27" s="1"/>
  <c r="AA74" i="27"/>
  <c r="AB74" i="27" s="1"/>
  <c r="AB76" i="27" s="1"/>
  <c r="AB73" i="27"/>
  <c r="AF73" i="27"/>
  <c r="AE74" i="27"/>
  <c r="AF74" i="27" s="1"/>
  <c r="AF76" i="27" s="1"/>
  <c r="H65" i="24"/>
  <c r="G66" i="24"/>
  <c r="D66" i="24"/>
  <c r="E65" i="24"/>
  <c r="U65" i="24"/>
  <c r="T66" i="24"/>
  <c r="W66" i="24"/>
  <c r="X65" i="24"/>
  <c r="AA64" i="24"/>
  <c r="AC64" i="24" s="1"/>
  <c r="AC73" i="27" l="1"/>
  <c r="O73" i="27"/>
  <c r="Q73" i="27" s="1"/>
  <c r="L76" i="27"/>
  <c r="AI73" i="27"/>
  <c r="AK73" i="27" s="1"/>
  <c r="I74" i="27"/>
  <c r="AC74" i="27"/>
  <c r="Z76" i="27"/>
  <c r="T67" i="24"/>
  <c r="U66" i="24"/>
  <c r="D67" i="24"/>
  <c r="E66" i="24"/>
  <c r="AA65" i="24"/>
  <c r="AC65" i="24" s="1"/>
  <c r="H66" i="24"/>
  <c r="G67" i="24"/>
  <c r="X66" i="24"/>
  <c r="W67" i="24"/>
  <c r="K65" i="24"/>
  <c r="M65" i="24" s="1"/>
  <c r="AA66" i="24" l="1"/>
  <c r="AC66" i="24" s="1"/>
  <c r="O74" i="27"/>
  <c r="I76" i="27"/>
  <c r="AI74" i="27"/>
  <c r="AC76" i="27"/>
  <c r="G68" i="24"/>
  <c r="H67" i="24"/>
  <c r="K66" i="24"/>
  <c r="M66" i="24" s="1"/>
  <c r="E67" i="24"/>
  <c r="D68" i="24"/>
  <c r="X67" i="24"/>
  <c r="W68" i="24"/>
  <c r="T68" i="24"/>
  <c r="U67" i="24"/>
  <c r="AA67" i="24" l="1"/>
  <c r="AC67" i="24" s="1"/>
  <c r="K67" i="24"/>
  <c r="M67" i="24" s="1"/>
  <c r="AK74" i="27"/>
  <c r="AI76" i="27"/>
  <c r="Q74" i="27"/>
  <c r="O76" i="27"/>
  <c r="U68" i="24"/>
  <c r="T69" i="24"/>
  <c r="E68" i="24"/>
  <c r="D69" i="24"/>
  <c r="G69" i="24"/>
  <c r="H68" i="24"/>
  <c r="W69" i="24"/>
  <c r="X68" i="24"/>
  <c r="Q76" i="27" l="1"/>
  <c r="AK76" i="27"/>
  <c r="W70" i="24"/>
  <c r="X69" i="24"/>
  <c r="D70" i="24"/>
  <c r="E69" i="24"/>
  <c r="H69" i="24"/>
  <c r="G70" i="24"/>
  <c r="U69" i="24"/>
  <c r="T70" i="24"/>
  <c r="AA68" i="24"/>
  <c r="AC68" i="24" s="1"/>
  <c r="K68" i="24"/>
  <c r="M68" i="24" s="1"/>
  <c r="K69" i="24" l="1"/>
  <c r="M69" i="24" s="1"/>
  <c r="R57" i="27"/>
  <c r="T57" i="27" s="1"/>
  <c r="R58" i="27"/>
  <c r="T58" i="27" s="1"/>
  <c r="R59" i="27"/>
  <c r="T59" i="27" s="1"/>
  <c r="R56" i="27"/>
  <c r="R61" i="27"/>
  <c r="T61" i="27" s="1"/>
  <c r="R60" i="27"/>
  <c r="T60" i="27" s="1"/>
  <c r="R62" i="27"/>
  <c r="T62" i="27" s="1"/>
  <c r="R64" i="27"/>
  <c r="T64" i="27" s="1"/>
  <c r="R63" i="27"/>
  <c r="T63" i="27" s="1"/>
  <c r="R66" i="27"/>
  <c r="T66" i="27" s="1"/>
  <c r="R65" i="27"/>
  <c r="T65" i="27" s="1"/>
  <c r="R67" i="27"/>
  <c r="T67" i="27" s="1"/>
  <c r="R69" i="27"/>
  <c r="T69" i="27" s="1"/>
  <c r="R68" i="27"/>
  <c r="T68" i="27" s="1"/>
  <c r="R70" i="27"/>
  <c r="T70" i="27" s="1"/>
  <c r="R71" i="27"/>
  <c r="T71" i="27" s="1"/>
  <c r="R72" i="27"/>
  <c r="T72" i="27" s="1"/>
  <c r="R73" i="27"/>
  <c r="T73" i="27" s="1"/>
  <c r="R74" i="27"/>
  <c r="T74" i="27" s="1"/>
  <c r="T71" i="24"/>
  <c r="U70" i="24"/>
  <c r="AA69" i="24"/>
  <c r="AC69" i="24" s="1"/>
  <c r="D71" i="24"/>
  <c r="E70" i="24"/>
  <c r="K70" i="24" s="1"/>
  <c r="M70" i="24" s="1"/>
  <c r="H70" i="24"/>
  <c r="G71" i="24"/>
  <c r="X70" i="24"/>
  <c r="W71" i="24"/>
  <c r="AM73" i="27" l="1"/>
  <c r="AM66" i="27"/>
  <c r="AM60" i="27"/>
  <c r="AM71" i="27"/>
  <c r="AM67" i="27"/>
  <c r="AM64" i="27"/>
  <c r="T56" i="27"/>
  <c r="R76" i="27"/>
  <c r="AM74" i="27"/>
  <c r="AM70" i="27"/>
  <c r="AM65" i="27"/>
  <c r="AM62" i="27"/>
  <c r="AM59" i="27"/>
  <c r="AM68" i="27"/>
  <c r="AM58" i="27"/>
  <c r="AM72" i="27"/>
  <c r="AM69" i="27"/>
  <c r="AM63" i="27"/>
  <c r="AM61" i="27"/>
  <c r="AM57" i="27"/>
  <c r="X71" i="24"/>
  <c r="W72" i="24"/>
  <c r="X72" i="24" s="1"/>
  <c r="AA70" i="24"/>
  <c r="AC70" i="24" s="1"/>
  <c r="G72" i="24"/>
  <c r="H72" i="24" s="1"/>
  <c r="H71" i="24"/>
  <c r="E71" i="24"/>
  <c r="K71" i="24" s="1"/>
  <c r="M71" i="24" s="1"/>
  <c r="D72" i="24"/>
  <c r="E72" i="24" s="1"/>
  <c r="T72" i="24"/>
  <c r="U72" i="24" s="1"/>
  <c r="AA72" i="24" s="1"/>
  <c r="U71" i="24"/>
  <c r="AA71" i="24" s="1"/>
  <c r="AC71" i="24" s="1"/>
  <c r="T76" i="27" l="1"/>
  <c r="U56" i="27" s="1"/>
  <c r="AM56" i="27"/>
  <c r="AC72" i="24"/>
  <c r="AA74" i="24"/>
  <c r="K72" i="24"/>
  <c r="AM76" i="27" l="1"/>
  <c r="U73" i="27"/>
  <c r="U60" i="27"/>
  <c r="U67" i="27"/>
  <c r="U70" i="27"/>
  <c r="U62" i="27"/>
  <c r="U68" i="27"/>
  <c r="U72" i="27"/>
  <c r="U63" i="27"/>
  <c r="U57" i="27"/>
  <c r="U76" i="27" s="1"/>
  <c r="U66" i="27"/>
  <c r="U71" i="27"/>
  <c r="U64" i="27"/>
  <c r="U74" i="27"/>
  <c r="U65" i="27"/>
  <c r="U59" i="27"/>
  <c r="U58" i="27"/>
  <c r="U69" i="27"/>
  <c r="U61" i="27"/>
  <c r="AC74" i="24"/>
  <c r="M72" i="24"/>
  <c r="K74" i="24"/>
  <c r="AN51" i="27" l="1"/>
  <c r="AN56" i="27" s="1"/>
  <c r="AN66" i="27"/>
  <c r="AO66" i="27" s="1"/>
  <c r="AN63" i="27"/>
  <c r="AO63" i="27" s="1"/>
  <c r="AN61" i="27"/>
  <c r="AO61" i="27" s="1"/>
  <c r="AN64" i="27"/>
  <c r="AO64" i="27" s="1"/>
  <c r="AN72" i="27"/>
  <c r="AO72" i="27" s="1"/>
  <c r="AN59" i="27"/>
  <c r="AO59" i="27" s="1"/>
  <c r="AN74" i="27"/>
  <c r="AO74" i="27" s="1"/>
  <c r="AN62" i="27"/>
  <c r="AO62" i="27" s="1"/>
  <c r="AN68" i="27"/>
  <c r="AO68" i="27" s="1"/>
  <c r="AN67" i="27"/>
  <c r="AO67" i="27" s="1"/>
  <c r="AN69" i="27"/>
  <c r="AO69" i="27" s="1"/>
  <c r="AN71" i="27"/>
  <c r="AO71" i="27" s="1"/>
  <c r="AN57" i="27"/>
  <c r="AO57" i="27" s="1"/>
  <c r="R75" i="3" s="1"/>
  <c r="AN73" i="27"/>
  <c r="AO73" i="27" s="1"/>
  <c r="AN58" i="27"/>
  <c r="AO58" i="27" s="1"/>
  <c r="AN65" i="27"/>
  <c r="AO65" i="27" s="1"/>
  <c r="AN60" i="27"/>
  <c r="AO60" i="27" s="1"/>
  <c r="M74" i="24"/>
  <c r="AN70" i="27" l="1"/>
  <c r="AO70" i="27" s="1"/>
  <c r="AO56" i="27"/>
  <c r="N48" i="24"/>
  <c r="P48" i="24" s="1"/>
  <c r="N47" i="24"/>
  <c r="N49" i="24"/>
  <c r="P49" i="24" s="1"/>
  <c r="N50" i="24"/>
  <c r="P50" i="24" s="1"/>
  <c r="N51" i="24"/>
  <c r="P51" i="24" s="1"/>
  <c r="N53" i="24"/>
  <c r="P53" i="24" s="1"/>
  <c r="N52" i="24"/>
  <c r="P52" i="24" s="1"/>
  <c r="N55" i="24"/>
  <c r="P55" i="24" s="1"/>
  <c r="N54" i="24"/>
  <c r="P54" i="24" s="1"/>
  <c r="N56" i="24"/>
  <c r="P56" i="24" s="1"/>
  <c r="N57" i="24"/>
  <c r="P57" i="24" s="1"/>
  <c r="N58" i="24"/>
  <c r="P58" i="24" s="1"/>
  <c r="N59" i="24"/>
  <c r="P59" i="24" s="1"/>
  <c r="N61" i="24"/>
  <c r="P61" i="24" s="1"/>
  <c r="N60" i="24"/>
  <c r="P60" i="24" s="1"/>
  <c r="N62" i="24"/>
  <c r="P62" i="24" s="1"/>
  <c r="N63" i="24"/>
  <c r="P63" i="24" s="1"/>
  <c r="N64" i="24"/>
  <c r="P64" i="24" s="1"/>
  <c r="N65" i="24"/>
  <c r="P65" i="24" s="1"/>
  <c r="N66" i="24"/>
  <c r="P66" i="24" s="1"/>
  <c r="N67" i="24"/>
  <c r="P67" i="24" s="1"/>
  <c r="N69" i="24"/>
  <c r="P69" i="24" s="1"/>
  <c r="N68" i="24"/>
  <c r="P68" i="24" s="1"/>
  <c r="N70" i="24"/>
  <c r="P70" i="24" s="1"/>
  <c r="N71" i="24"/>
  <c r="P71" i="24" s="1"/>
  <c r="N72" i="24"/>
  <c r="P72" i="24" s="1"/>
  <c r="AO76" i="27" l="1"/>
  <c r="R74" i="3"/>
  <c r="AN76" i="27"/>
  <c r="AE69" i="24"/>
  <c r="AE61" i="24"/>
  <c r="AE53" i="24"/>
  <c r="AE70" i="24"/>
  <c r="AE66" i="24"/>
  <c r="AE62" i="24"/>
  <c r="AE58" i="24"/>
  <c r="AE55" i="24"/>
  <c r="AE50" i="24"/>
  <c r="AE68" i="24"/>
  <c r="AE65" i="24"/>
  <c r="AE60" i="24"/>
  <c r="AE57" i="24"/>
  <c r="AE52" i="24"/>
  <c r="AE49" i="24"/>
  <c r="AE72" i="24"/>
  <c r="AE64" i="24"/>
  <c r="AE56" i="24"/>
  <c r="N74" i="24"/>
  <c r="P47" i="24"/>
  <c r="AE71" i="24"/>
  <c r="AE67" i="24"/>
  <c r="AE63" i="24"/>
  <c r="AE59" i="24"/>
  <c r="AE54" i="24"/>
  <c r="AE51" i="24"/>
  <c r="AE48" i="24"/>
  <c r="P74" i="24" l="1"/>
  <c r="Q47" i="24" s="1"/>
  <c r="AE47" i="24"/>
  <c r="Q69" i="24" l="1"/>
  <c r="Q53" i="24"/>
  <c r="Q66" i="24"/>
  <c r="Q58" i="24"/>
  <c r="Q50" i="24"/>
  <c r="Q65" i="24"/>
  <c r="Q57" i="24"/>
  <c r="Q49" i="24"/>
  <c r="Q64" i="24"/>
  <c r="Q67" i="24"/>
  <c r="Q59" i="24"/>
  <c r="Q51" i="24"/>
  <c r="Q61" i="24"/>
  <c r="Q70" i="24"/>
  <c r="Q62" i="24"/>
  <c r="Q55" i="24"/>
  <c r="Q68" i="24"/>
  <c r="Q60" i="24"/>
  <c r="Q52" i="24"/>
  <c r="Q72" i="24"/>
  <c r="Q56" i="24"/>
  <c r="Q71" i="24"/>
  <c r="Q63" i="24"/>
  <c r="Q54" i="24"/>
  <c r="Q48" i="24"/>
  <c r="AE74" i="24"/>
  <c r="Q74" i="24" l="1"/>
  <c r="AF42" i="24"/>
  <c r="AF63" i="24" s="1"/>
  <c r="AG63" i="24" s="1"/>
  <c r="AF67" i="24"/>
  <c r="AG67" i="24" s="1"/>
  <c r="AF48" i="24"/>
  <c r="AG48" i="24" s="1"/>
  <c r="N76" i="2" s="1"/>
  <c r="AF52" i="24"/>
  <c r="AG52" i="24" s="1"/>
  <c r="N80" i="2" s="1"/>
  <c r="AF57" i="24"/>
  <c r="AG57" i="24" s="1"/>
  <c r="N83" i="2" s="1"/>
  <c r="AF66" i="24"/>
  <c r="AG66" i="24" s="1"/>
  <c r="AF65" i="24"/>
  <c r="AG65" i="24" s="1"/>
  <c r="AF56" i="24"/>
  <c r="AG56" i="24" s="1"/>
  <c r="N86" i="2" s="1"/>
  <c r="AF68" i="24"/>
  <c r="AG68" i="24" s="1"/>
  <c r="AF62" i="24"/>
  <c r="AG62" i="24" s="1"/>
  <c r="N90" i="2" s="1"/>
  <c r="AF61" i="24"/>
  <c r="AG61" i="24" s="1"/>
  <c r="N88" i="2" s="1"/>
  <c r="AF51" i="24"/>
  <c r="AG51" i="24" s="1"/>
  <c r="N79" i="2" s="1"/>
  <c r="AF50" i="24"/>
  <c r="AG50" i="24" s="1"/>
  <c r="N78" i="2" s="1"/>
  <c r="AF71" i="24"/>
  <c r="AG71" i="24" s="1"/>
  <c r="AF55" i="24"/>
  <c r="AG55" i="24" s="1"/>
  <c r="N85" i="2" s="1"/>
  <c r="AF59" i="24"/>
  <c r="AG59" i="24" s="1"/>
  <c r="N84" i="2" s="1"/>
  <c r="AF49" i="24"/>
  <c r="AG49" i="24" s="1"/>
  <c r="N77" i="2" s="1"/>
  <c r="AF53" i="24"/>
  <c r="AG53" i="24" s="1"/>
  <c r="N81" i="2" s="1"/>
  <c r="AF64" i="24"/>
  <c r="AG64" i="24" s="1"/>
  <c r="AF58" i="24"/>
  <c r="AG58" i="24" s="1"/>
  <c r="N89" i="2" s="1"/>
  <c r="AF54" i="24"/>
  <c r="AG54" i="24" s="1"/>
  <c r="N82" i="2" s="1"/>
  <c r="AF72" i="24"/>
  <c r="AG72" i="24" s="1"/>
  <c r="AF60" i="24"/>
  <c r="AG60" i="24" s="1"/>
  <c r="N87" i="2" s="1"/>
  <c r="AF70" i="24"/>
  <c r="AG70" i="24" s="1"/>
  <c r="AF47" i="24"/>
  <c r="AF69" i="24" l="1"/>
  <c r="AG69" i="24" s="1"/>
  <c r="AF74" i="24"/>
  <c r="AG47" i="24"/>
  <c r="AG74" i="24" l="1"/>
  <c r="N75" i="2"/>
  <c r="L79" i="2"/>
  <c r="L80" i="2"/>
  <c r="K79" i="2"/>
  <c r="K80" i="2"/>
  <c r="H79" i="2"/>
  <c r="H80" i="2"/>
  <c r="H90" i="2"/>
  <c r="E79" i="2"/>
  <c r="E80" i="2"/>
  <c r="E90" i="2"/>
  <c r="Q67" i="6"/>
  <c r="Q62" i="6"/>
  <c r="Q57" i="6"/>
  <c r="Q39" i="6"/>
  <c r="Q38" i="6"/>
  <c r="Q37" i="6"/>
  <c r="Q36" i="6"/>
  <c r="Q35" i="6"/>
  <c r="Q34" i="6"/>
  <c r="Q33" i="6"/>
  <c r="Q32" i="6"/>
  <c r="Q31" i="6"/>
  <c r="Q30" i="6"/>
  <c r="Q29" i="6"/>
  <c r="Q28" i="6"/>
  <c r="Q27" i="6"/>
  <c r="Q24" i="6"/>
  <c r="C10" i="23"/>
  <c r="D10" i="23" s="1"/>
  <c r="C11" i="23"/>
  <c r="C12" i="23"/>
  <c r="D12" i="23" s="1"/>
  <c r="C13" i="23"/>
  <c r="C14" i="23"/>
  <c r="D14" i="23" s="1"/>
  <c r="C15" i="23"/>
  <c r="C16" i="23"/>
  <c r="D16" i="23" s="1"/>
  <c r="C17" i="23"/>
  <c r="C18" i="23"/>
  <c r="D18" i="23" s="1"/>
  <c r="C19" i="23"/>
  <c r="C20" i="23"/>
  <c r="D20" i="23" s="1"/>
  <c r="C21" i="23"/>
  <c r="C22" i="23"/>
  <c r="D22" i="23" s="1"/>
  <c r="C23" i="23"/>
  <c r="C24" i="23"/>
  <c r="D24" i="23" s="1"/>
  <c r="C25" i="23"/>
  <c r="C26" i="23"/>
  <c r="D26" i="23" s="1"/>
  <c r="C27" i="23"/>
  <c r="D27" i="23" s="1"/>
  <c r="C28" i="23"/>
  <c r="D28" i="23" s="1"/>
  <c r="C29" i="23"/>
  <c r="D29" i="23" s="1"/>
  <c r="D31" i="23"/>
  <c r="D30" i="23"/>
  <c r="D25" i="23"/>
  <c r="D23" i="23"/>
  <c r="D21" i="23"/>
  <c r="D19" i="23"/>
  <c r="D17" i="23"/>
  <c r="D15" i="23"/>
  <c r="D13" i="23"/>
  <c r="D11" i="23"/>
  <c r="C9" i="23"/>
  <c r="D9" i="23"/>
  <c r="D8" i="23"/>
  <c r="H91" i="2" l="1"/>
  <c r="L91" i="2"/>
  <c r="K91" i="2"/>
  <c r="E91" i="2"/>
  <c r="Q40" i="6"/>
  <c r="D32" i="23"/>
  <c r="D33" i="23"/>
  <c r="D34" i="23"/>
  <c r="B42" i="23"/>
  <c r="H14" i="22" l="1"/>
  <c r="H15" i="22"/>
  <c r="G270" i="1" s="1"/>
  <c r="D35" i="23" l="1"/>
  <c r="D36" i="23"/>
  <c r="D38" i="23" l="1"/>
  <c r="D115" i="1"/>
  <c r="D114" i="1"/>
  <c r="D116" i="1"/>
  <c r="A10" i="16"/>
  <c r="A12" i="16" s="1"/>
  <c r="A13" i="16" s="1"/>
  <c r="A14" i="16" s="1"/>
  <c r="A15" i="16" s="1"/>
  <c r="A16" i="16" s="1"/>
  <c r="A17" i="16" s="1"/>
  <c r="A18" i="16" s="1"/>
  <c r="A19" i="16" s="1"/>
  <c r="A21" i="16" s="1"/>
  <c r="A22" i="16" s="1"/>
  <c r="A23" i="16" s="1"/>
  <c r="A24" i="16" s="1"/>
  <c r="A25" i="16" s="1"/>
  <c r="A26" i="16" s="1"/>
  <c r="C21" i="16" l="1"/>
  <c r="C26" i="16"/>
  <c r="D37" i="23"/>
  <c r="C56" i="19"/>
  <c r="C25" i="16"/>
  <c r="C24" i="16"/>
  <c r="D39" i="23" l="1"/>
  <c r="I283" i="1" l="1"/>
  <c r="D40" i="23"/>
  <c r="D41" i="23"/>
  <c r="D42" i="23" l="1"/>
  <c r="E40" i="23" s="1"/>
  <c r="H40" i="23" s="1"/>
  <c r="E9" i="23" l="1"/>
  <c r="H9" i="23" s="1"/>
  <c r="E17" i="23"/>
  <c r="H17" i="23" s="1"/>
  <c r="E22" i="23"/>
  <c r="H22" i="23" s="1"/>
  <c r="E20" i="23"/>
  <c r="H20" i="23" s="1"/>
  <c r="E25" i="23"/>
  <c r="H25" i="23" s="1"/>
  <c r="E15" i="23"/>
  <c r="H15" i="23" s="1"/>
  <c r="E16" i="23"/>
  <c r="H16" i="23" s="1"/>
  <c r="E29" i="23"/>
  <c r="H29" i="23" s="1"/>
  <c r="E26" i="23"/>
  <c r="H26" i="23" s="1"/>
  <c r="E24" i="23"/>
  <c r="H24" i="23" s="1"/>
  <c r="E10" i="23"/>
  <c r="H10" i="23" s="1"/>
  <c r="E19" i="23"/>
  <c r="H19" i="23" s="1"/>
  <c r="E28" i="23"/>
  <c r="H28" i="23" s="1"/>
  <c r="E14" i="23"/>
  <c r="H14" i="23" s="1"/>
  <c r="E30" i="23"/>
  <c r="H30" i="23" s="1"/>
  <c r="E13" i="23"/>
  <c r="H13" i="23" s="1"/>
  <c r="E8" i="23"/>
  <c r="E23" i="23"/>
  <c r="H23" i="23" s="1"/>
  <c r="E31" i="23"/>
  <c r="H31" i="23" s="1"/>
  <c r="E18" i="23"/>
  <c r="H18" i="23" s="1"/>
  <c r="E12" i="23"/>
  <c r="H12" i="23" s="1"/>
  <c r="E21" i="23"/>
  <c r="H21" i="23" s="1"/>
  <c r="E11" i="23"/>
  <c r="H11" i="23" s="1"/>
  <c r="E27" i="23"/>
  <c r="H27" i="23" s="1"/>
  <c r="E34" i="23"/>
  <c r="H34" i="23" s="1"/>
  <c r="E32" i="23"/>
  <c r="H32" i="23" s="1"/>
  <c r="E33" i="23"/>
  <c r="H33" i="23" s="1"/>
  <c r="E36" i="23"/>
  <c r="H36" i="23" s="1"/>
  <c r="E35" i="23"/>
  <c r="H35" i="23" s="1"/>
  <c r="E38" i="23"/>
  <c r="H38" i="23" s="1"/>
  <c r="E37" i="23"/>
  <c r="H37" i="23" s="1"/>
  <c r="E39" i="23"/>
  <c r="H39" i="23" s="1"/>
  <c r="E41" i="23"/>
  <c r="H41" i="23" s="1"/>
  <c r="E42" i="23" l="1"/>
  <c r="H8" i="23"/>
  <c r="H42" i="23" s="1"/>
  <c r="G268" i="1" s="1"/>
  <c r="D21" i="15" l="1"/>
  <c r="D23" i="15" s="1"/>
  <c r="G23" i="15" s="1"/>
  <c r="G25" i="15" s="1"/>
  <c r="G28" i="15" s="1"/>
  <c r="G31" i="15" s="1"/>
  <c r="E29" i="12" l="1"/>
  <c r="G16" i="11" l="1"/>
  <c r="G20" i="11" s="1"/>
  <c r="I235" i="1" s="1"/>
  <c r="A14" i="11"/>
  <c r="A15" i="11" s="1"/>
  <c r="A16" i="11" s="1"/>
  <c r="G24" i="11" l="1"/>
  <c r="A18" i="11"/>
  <c r="A20" i="11" s="1"/>
  <c r="E20" i="11"/>
  <c r="A22" i="11" l="1"/>
  <c r="A24" i="11" s="1"/>
  <c r="E24" i="11" l="1"/>
  <c r="D1" i="7"/>
  <c r="E1" i="7" s="1"/>
  <c r="F1" i="7" s="1"/>
  <c r="G1" i="7" s="1"/>
  <c r="H1" i="7" s="1"/>
  <c r="I1" i="7" s="1"/>
  <c r="J1" i="7" s="1"/>
  <c r="K1" i="7" s="1"/>
  <c r="L1" i="7" s="1"/>
  <c r="M1" i="7" s="1"/>
  <c r="N1" i="7" s="1"/>
  <c r="B11" i="7"/>
  <c r="B27" i="7" s="1"/>
  <c r="B12" i="7"/>
  <c r="B28" i="7" s="1"/>
  <c r="B23" i="7"/>
  <c r="B39" i="7" s="1"/>
  <c r="C24" i="7"/>
  <c r="D24" i="7"/>
  <c r="E24" i="7"/>
  <c r="F24" i="7"/>
  <c r="G24" i="7"/>
  <c r="H24" i="7"/>
  <c r="I24" i="7"/>
  <c r="J24" i="7"/>
  <c r="K24" i="7"/>
  <c r="L24" i="7"/>
  <c r="M24" i="7"/>
  <c r="N24" i="7"/>
  <c r="C27" i="7"/>
  <c r="D27" i="7"/>
  <c r="E27" i="7"/>
  <c r="F27" i="7"/>
  <c r="G27" i="7"/>
  <c r="H27" i="7"/>
  <c r="I27" i="7"/>
  <c r="J27" i="7"/>
  <c r="K27" i="7"/>
  <c r="L27" i="7"/>
  <c r="M27" i="7"/>
  <c r="N27" i="7"/>
  <c r="C28" i="7"/>
  <c r="D28" i="7"/>
  <c r="E28" i="7"/>
  <c r="F28" i="7"/>
  <c r="G28" i="7"/>
  <c r="H28" i="7"/>
  <c r="I28" i="7"/>
  <c r="J28" i="7"/>
  <c r="K28" i="7"/>
  <c r="L28" i="7"/>
  <c r="M28" i="7"/>
  <c r="N28" i="7"/>
  <c r="B29" i="7"/>
  <c r="C29" i="7"/>
  <c r="C40" i="7" s="1"/>
  <c r="D29" i="7"/>
  <c r="E29" i="7"/>
  <c r="F29" i="7"/>
  <c r="G29" i="7"/>
  <c r="G40" i="7" s="1"/>
  <c r="H29" i="7"/>
  <c r="I29" i="7"/>
  <c r="J29" i="7"/>
  <c r="K29" i="7"/>
  <c r="K40" i="7" s="1"/>
  <c r="L29" i="7"/>
  <c r="M29" i="7"/>
  <c r="N29" i="7"/>
  <c r="B30" i="7"/>
  <c r="C30" i="7"/>
  <c r="D30" i="7"/>
  <c r="E30" i="7"/>
  <c r="F30" i="7"/>
  <c r="G30" i="7"/>
  <c r="H30" i="7"/>
  <c r="I30" i="7"/>
  <c r="J30" i="7"/>
  <c r="K30" i="7"/>
  <c r="L30" i="7"/>
  <c r="M30" i="7"/>
  <c r="N30" i="7"/>
  <c r="B31" i="7"/>
  <c r="C31" i="7"/>
  <c r="D31" i="7"/>
  <c r="E31" i="7"/>
  <c r="E40" i="7" s="1"/>
  <c r="F31" i="7"/>
  <c r="G31" i="7"/>
  <c r="H31" i="7"/>
  <c r="I31" i="7"/>
  <c r="J31" i="7"/>
  <c r="K31" i="7"/>
  <c r="L31" i="7"/>
  <c r="M31" i="7"/>
  <c r="M40" i="7" s="1"/>
  <c r="N31" i="7"/>
  <c r="B32" i="7"/>
  <c r="C32" i="7"/>
  <c r="D32" i="7"/>
  <c r="E32" i="7"/>
  <c r="F32" i="7"/>
  <c r="G32" i="7"/>
  <c r="H32" i="7"/>
  <c r="I32" i="7"/>
  <c r="J32" i="7"/>
  <c r="K32" i="7"/>
  <c r="L32" i="7"/>
  <c r="M32" i="7"/>
  <c r="N32" i="7"/>
  <c r="B33" i="7"/>
  <c r="C33" i="7"/>
  <c r="D33" i="7"/>
  <c r="E33" i="7"/>
  <c r="F33" i="7"/>
  <c r="G33" i="7"/>
  <c r="H33" i="7"/>
  <c r="I33" i="7"/>
  <c r="J33" i="7"/>
  <c r="K33" i="7"/>
  <c r="L33" i="7"/>
  <c r="M33" i="7"/>
  <c r="N33" i="7"/>
  <c r="B34" i="7"/>
  <c r="C34" i="7"/>
  <c r="D34" i="7"/>
  <c r="E34" i="7"/>
  <c r="F34" i="7"/>
  <c r="G34" i="7"/>
  <c r="H34" i="7"/>
  <c r="I34" i="7"/>
  <c r="J34" i="7"/>
  <c r="K34" i="7"/>
  <c r="L34" i="7"/>
  <c r="M34" i="7"/>
  <c r="N34" i="7"/>
  <c r="B35" i="7"/>
  <c r="C35" i="7"/>
  <c r="D35" i="7"/>
  <c r="E35" i="7"/>
  <c r="F35" i="7"/>
  <c r="G35" i="7"/>
  <c r="H35" i="7"/>
  <c r="I35" i="7"/>
  <c r="J35" i="7"/>
  <c r="K35" i="7"/>
  <c r="L35" i="7"/>
  <c r="M35" i="7"/>
  <c r="N35" i="7"/>
  <c r="B36" i="7"/>
  <c r="C36" i="7"/>
  <c r="D36" i="7"/>
  <c r="E36" i="7"/>
  <c r="F36" i="7"/>
  <c r="G36" i="7"/>
  <c r="H36" i="7"/>
  <c r="I36" i="7"/>
  <c r="J36" i="7"/>
  <c r="K36" i="7"/>
  <c r="L36" i="7"/>
  <c r="M36" i="7"/>
  <c r="N36" i="7"/>
  <c r="B37" i="7"/>
  <c r="C37" i="7"/>
  <c r="D37" i="7"/>
  <c r="E37" i="7"/>
  <c r="F37" i="7"/>
  <c r="G37" i="7"/>
  <c r="H37" i="7"/>
  <c r="I37" i="7"/>
  <c r="J37" i="7"/>
  <c r="K37" i="7"/>
  <c r="L37" i="7"/>
  <c r="M37" i="7"/>
  <c r="N37" i="7"/>
  <c r="B38" i="7"/>
  <c r="C38" i="7"/>
  <c r="D38" i="7"/>
  <c r="E38" i="7"/>
  <c r="F38" i="7"/>
  <c r="G38" i="7"/>
  <c r="H38" i="7"/>
  <c r="I38" i="7"/>
  <c r="J38" i="7"/>
  <c r="K38" i="7"/>
  <c r="L38" i="7"/>
  <c r="M38" i="7"/>
  <c r="N38" i="7"/>
  <c r="C39" i="7"/>
  <c r="D39" i="7"/>
  <c r="E39" i="7"/>
  <c r="F39" i="7"/>
  <c r="G39" i="7"/>
  <c r="H39" i="7"/>
  <c r="I39" i="7"/>
  <c r="J39" i="7"/>
  <c r="K39" i="7"/>
  <c r="L39" i="7"/>
  <c r="M39" i="7"/>
  <c r="N39" i="7"/>
  <c r="I40" i="7"/>
  <c r="B45" i="7"/>
  <c r="B46" i="7"/>
  <c r="B47" i="7"/>
  <c r="B48" i="7"/>
  <c r="B49" i="7"/>
  <c r="B50" i="7"/>
  <c r="B51" i="7"/>
  <c r="B52" i="7"/>
  <c r="B53" i="7"/>
  <c r="B54" i="7"/>
  <c r="B55" i="7"/>
  <c r="B56" i="7"/>
  <c r="C57" i="7"/>
  <c r="D57" i="7"/>
  <c r="E57" i="7"/>
  <c r="F57" i="7"/>
  <c r="G57" i="7"/>
  <c r="H57" i="7"/>
  <c r="I57" i="7"/>
  <c r="J57" i="7"/>
  <c r="K57" i="7"/>
  <c r="L57" i="7"/>
  <c r="M57" i="7"/>
  <c r="N57" i="7"/>
  <c r="C62" i="7"/>
  <c r="D62" i="7"/>
  <c r="E62" i="7"/>
  <c r="F62" i="7"/>
  <c r="G62" i="7"/>
  <c r="H62" i="7"/>
  <c r="I62" i="7"/>
  <c r="J62" i="7"/>
  <c r="K62" i="7"/>
  <c r="L62" i="7"/>
  <c r="M62" i="7"/>
  <c r="N62" i="7"/>
  <c r="C67" i="7"/>
  <c r="D67" i="7"/>
  <c r="E67" i="7"/>
  <c r="F67" i="7"/>
  <c r="G67" i="7"/>
  <c r="H67" i="7"/>
  <c r="I67" i="7"/>
  <c r="J67" i="7"/>
  <c r="K67" i="7"/>
  <c r="L67" i="7"/>
  <c r="M67" i="7"/>
  <c r="N67" i="7"/>
  <c r="D1" i="6"/>
  <c r="E1" i="6" s="1"/>
  <c r="F1" i="6" s="1"/>
  <c r="G1" i="6" s="1"/>
  <c r="H1" i="6" s="1"/>
  <c r="I1" i="6" s="1"/>
  <c r="J1" i="6" s="1"/>
  <c r="K1" i="6" s="1"/>
  <c r="L1" i="6" s="1"/>
  <c r="M1" i="6" s="1"/>
  <c r="N1" i="6" s="1"/>
  <c r="O1" i="6" s="1"/>
  <c r="P1" i="6" s="1"/>
  <c r="Q1" i="6" s="1"/>
  <c r="B11" i="6"/>
  <c r="B27" i="6" s="1"/>
  <c r="B12" i="6"/>
  <c r="B45" i="6" s="1"/>
  <c r="B23" i="6"/>
  <c r="B39" i="6" s="1"/>
  <c r="C24" i="6"/>
  <c r="D24" i="6"/>
  <c r="E24" i="6"/>
  <c r="F24" i="6"/>
  <c r="G24" i="6"/>
  <c r="H24" i="6"/>
  <c r="I24" i="6"/>
  <c r="J24" i="6"/>
  <c r="K24" i="6"/>
  <c r="L24" i="6"/>
  <c r="M24" i="6"/>
  <c r="N24" i="6"/>
  <c r="O24" i="6"/>
  <c r="C27" i="6"/>
  <c r="D27" i="6"/>
  <c r="E27" i="6"/>
  <c r="E40" i="6" s="1"/>
  <c r="F27" i="6"/>
  <c r="G27" i="6"/>
  <c r="H27" i="6"/>
  <c r="I27" i="6"/>
  <c r="J27" i="6"/>
  <c r="K27" i="6"/>
  <c r="L27" i="6"/>
  <c r="M27" i="6"/>
  <c r="N27" i="6"/>
  <c r="O27" i="6"/>
  <c r="P27" i="6"/>
  <c r="B28" i="6"/>
  <c r="C28" i="6"/>
  <c r="D28" i="6"/>
  <c r="E28" i="6"/>
  <c r="F28" i="6"/>
  <c r="G28" i="6"/>
  <c r="H28" i="6"/>
  <c r="I28" i="6"/>
  <c r="J28" i="6"/>
  <c r="K28" i="6"/>
  <c r="L28" i="6"/>
  <c r="M28" i="6"/>
  <c r="N28" i="6"/>
  <c r="O28" i="6"/>
  <c r="P28" i="6"/>
  <c r="B29" i="6"/>
  <c r="C29" i="6"/>
  <c r="D29" i="6"/>
  <c r="E29" i="6"/>
  <c r="F29" i="6"/>
  <c r="G29" i="6"/>
  <c r="H29" i="6"/>
  <c r="I29" i="6"/>
  <c r="J29" i="6"/>
  <c r="K29" i="6"/>
  <c r="L29" i="6"/>
  <c r="M29" i="6"/>
  <c r="N29" i="6"/>
  <c r="O29" i="6"/>
  <c r="P29" i="6"/>
  <c r="B30" i="6"/>
  <c r="C30" i="6"/>
  <c r="D30" i="6"/>
  <c r="E30" i="6"/>
  <c r="F30" i="6"/>
  <c r="G30" i="6"/>
  <c r="H30" i="6"/>
  <c r="I30" i="6"/>
  <c r="J30" i="6"/>
  <c r="K30" i="6"/>
  <c r="L30" i="6"/>
  <c r="M30" i="6"/>
  <c r="N30" i="6"/>
  <c r="O30" i="6"/>
  <c r="P30" i="6"/>
  <c r="B31" i="6"/>
  <c r="C31" i="6"/>
  <c r="D31" i="6"/>
  <c r="E31" i="6"/>
  <c r="F31" i="6"/>
  <c r="G31" i="6"/>
  <c r="H31" i="6"/>
  <c r="I31" i="6"/>
  <c r="J31" i="6"/>
  <c r="K31" i="6"/>
  <c r="L31" i="6"/>
  <c r="M31" i="6"/>
  <c r="N31" i="6"/>
  <c r="O31" i="6"/>
  <c r="P31" i="6"/>
  <c r="B32" i="6"/>
  <c r="C32" i="6"/>
  <c r="D32" i="6"/>
  <c r="E32" i="6"/>
  <c r="F32" i="6"/>
  <c r="G32" i="6"/>
  <c r="H32" i="6"/>
  <c r="I32" i="6"/>
  <c r="J32" i="6"/>
  <c r="K32" i="6"/>
  <c r="L32" i="6"/>
  <c r="M32" i="6"/>
  <c r="N32" i="6"/>
  <c r="O32" i="6"/>
  <c r="P32" i="6"/>
  <c r="B33" i="6"/>
  <c r="C33" i="6"/>
  <c r="D33" i="6"/>
  <c r="E33" i="6"/>
  <c r="F33" i="6"/>
  <c r="G33" i="6"/>
  <c r="H33" i="6"/>
  <c r="I33" i="6"/>
  <c r="J33" i="6"/>
  <c r="K33" i="6"/>
  <c r="L33" i="6"/>
  <c r="M33" i="6"/>
  <c r="N33" i="6"/>
  <c r="O33" i="6"/>
  <c r="P33" i="6"/>
  <c r="B34" i="6"/>
  <c r="C34" i="6"/>
  <c r="D34" i="6"/>
  <c r="E34" i="6"/>
  <c r="F34" i="6"/>
  <c r="G34" i="6"/>
  <c r="H34" i="6"/>
  <c r="I34" i="6"/>
  <c r="J34" i="6"/>
  <c r="K34" i="6"/>
  <c r="L34" i="6"/>
  <c r="M34" i="6"/>
  <c r="N34" i="6"/>
  <c r="O34" i="6"/>
  <c r="P34" i="6"/>
  <c r="B35" i="6"/>
  <c r="C35" i="6"/>
  <c r="D35" i="6"/>
  <c r="E35" i="6"/>
  <c r="F35" i="6"/>
  <c r="G35" i="6"/>
  <c r="H35" i="6"/>
  <c r="I35" i="6"/>
  <c r="J35" i="6"/>
  <c r="K35" i="6"/>
  <c r="L35" i="6"/>
  <c r="M35" i="6"/>
  <c r="N35" i="6"/>
  <c r="O35" i="6"/>
  <c r="P35" i="6"/>
  <c r="B36" i="6"/>
  <c r="C36" i="6"/>
  <c r="D36" i="6"/>
  <c r="E36" i="6"/>
  <c r="F36" i="6"/>
  <c r="G36" i="6"/>
  <c r="H36" i="6"/>
  <c r="I36" i="6"/>
  <c r="J36" i="6"/>
  <c r="K36" i="6"/>
  <c r="L36" i="6"/>
  <c r="M36" i="6"/>
  <c r="N36" i="6"/>
  <c r="O36" i="6"/>
  <c r="P36" i="6"/>
  <c r="B37" i="6"/>
  <c r="C37" i="6"/>
  <c r="C40" i="6" s="1"/>
  <c r="D37" i="6"/>
  <c r="E37" i="6"/>
  <c r="F37" i="6"/>
  <c r="G37" i="6"/>
  <c r="H37" i="6"/>
  <c r="I37" i="6"/>
  <c r="J37" i="6"/>
  <c r="K37" i="6"/>
  <c r="L37" i="6"/>
  <c r="M37" i="6"/>
  <c r="N37" i="6"/>
  <c r="O37" i="6"/>
  <c r="P37" i="6"/>
  <c r="B38" i="6"/>
  <c r="C38" i="6"/>
  <c r="D38" i="6"/>
  <c r="E38" i="6"/>
  <c r="F38" i="6"/>
  <c r="G38" i="6"/>
  <c r="H38" i="6"/>
  <c r="I38" i="6"/>
  <c r="J38" i="6"/>
  <c r="K38" i="6"/>
  <c r="L38" i="6"/>
  <c r="M38" i="6"/>
  <c r="N38" i="6"/>
  <c r="O38" i="6"/>
  <c r="P38" i="6"/>
  <c r="C39" i="6"/>
  <c r="D39" i="6"/>
  <c r="E39" i="6"/>
  <c r="F39" i="6"/>
  <c r="G39" i="6"/>
  <c r="H39" i="6"/>
  <c r="I39" i="6"/>
  <c r="J39" i="6"/>
  <c r="K39" i="6"/>
  <c r="L39" i="6"/>
  <c r="M39" i="6"/>
  <c r="N39" i="6"/>
  <c r="O39" i="6"/>
  <c r="P39" i="6"/>
  <c r="B44" i="6"/>
  <c r="B46" i="6"/>
  <c r="B47" i="6"/>
  <c r="B48" i="6"/>
  <c r="B49" i="6"/>
  <c r="B50" i="6"/>
  <c r="B51" i="6"/>
  <c r="B52" i="6"/>
  <c r="B53" i="6"/>
  <c r="B54" i="6"/>
  <c r="B55" i="6"/>
  <c r="C57" i="6"/>
  <c r="D57" i="6"/>
  <c r="E57" i="6"/>
  <c r="F57" i="6"/>
  <c r="G57" i="6"/>
  <c r="H57" i="6"/>
  <c r="I57" i="6"/>
  <c r="J57" i="6"/>
  <c r="K57" i="6"/>
  <c r="L57" i="6"/>
  <c r="M57" i="6"/>
  <c r="N57" i="6"/>
  <c r="O57" i="6"/>
  <c r="H88" i="2" s="1"/>
  <c r="C62" i="6"/>
  <c r="D62" i="6"/>
  <c r="E62" i="6"/>
  <c r="F62" i="6"/>
  <c r="G62" i="6"/>
  <c r="H62" i="6"/>
  <c r="I62" i="6"/>
  <c r="J62" i="6"/>
  <c r="K62" i="6"/>
  <c r="L62" i="6"/>
  <c r="M62" i="6"/>
  <c r="N62" i="6"/>
  <c r="O62" i="6"/>
  <c r="K88" i="2" s="1"/>
  <c r="P62" i="6"/>
  <c r="K90" i="2" s="1"/>
  <c r="C67" i="6"/>
  <c r="D67" i="6"/>
  <c r="E67" i="6"/>
  <c r="F67" i="6"/>
  <c r="G67" i="6"/>
  <c r="H67" i="6"/>
  <c r="I67" i="6"/>
  <c r="J67" i="6"/>
  <c r="K67" i="6"/>
  <c r="L67" i="6"/>
  <c r="M67" i="6"/>
  <c r="N67" i="6"/>
  <c r="O67" i="6"/>
  <c r="P67" i="6"/>
  <c r="L90" i="2" s="1"/>
  <c r="N40" i="6" l="1"/>
  <c r="H40" i="7"/>
  <c r="O74" i="3"/>
  <c r="F74" i="3"/>
  <c r="E74" i="3"/>
  <c r="P74" i="3"/>
  <c r="B56" i="6"/>
  <c r="L84" i="2"/>
  <c r="K84" i="2"/>
  <c r="E84" i="2"/>
  <c r="H84" i="2"/>
  <c r="E77" i="2"/>
  <c r="H77" i="2"/>
  <c r="L77" i="2"/>
  <c r="K77" i="2"/>
  <c r="B44" i="7"/>
  <c r="P75" i="3"/>
  <c r="E75" i="3"/>
  <c r="F75" i="3"/>
  <c r="O75" i="3"/>
  <c r="L87" i="2"/>
  <c r="K87" i="2"/>
  <c r="E87" i="2"/>
  <c r="H87" i="2"/>
  <c r="L78" i="2"/>
  <c r="K78" i="2"/>
  <c r="E78" i="2"/>
  <c r="H78" i="2"/>
  <c r="M40" i="6"/>
  <c r="H89" i="2"/>
  <c r="E89" i="2"/>
  <c r="L89" i="2"/>
  <c r="K89" i="2"/>
  <c r="H76" i="2"/>
  <c r="E76" i="2"/>
  <c r="L76" i="2"/>
  <c r="K76" i="2"/>
  <c r="N40" i="7"/>
  <c r="J40" i="7"/>
  <c r="F40" i="7"/>
  <c r="L40" i="7"/>
  <c r="E88" i="2"/>
  <c r="L88" i="2"/>
  <c r="E83" i="2"/>
  <c r="H83" i="2"/>
  <c r="L83" i="2"/>
  <c r="K83" i="2"/>
  <c r="L75" i="2"/>
  <c r="H75" i="2"/>
  <c r="E75" i="2"/>
  <c r="K75" i="2"/>
  <c r="O40" i="6"/>
  <c r="D40" i="7"/>
  <c r="K86" i="2"/>
  <c r="E86" i="2"/>
  <c r="L86" i="2"/>
  <c r="H86" i="2"/>
  <c r="E85" i="2"/>
  <c r="H85" i="2"/>
  <c r="K85" i="2"/>
  <c r="L85" i="2"/>
  <c r="I40" i="6"/>
  <c r="L82" i="2"/>
  <c r="K82" i="2"/>
  <c r="H82" i="2"/>
  <c r="E82" i="2"/>
  <c r="G40" i="6"/>
  <c r="H81" i="2"/>
  <c r="E81" i="2"/>
  <c r="L81" i="2"/>
  <c r="K81" i="2"/>
  <c r="L40" i="6"/>
  <c r="P40" i="6"/>
  <c r="K40" i="6"/>
  <c r="J40" i="6"/>
  <c r="H40" i="6"/>
  <c r="F40" i="6"/>
  <c r="D40" i="6"/>
  <c r="A14" i="5"/>
  <c r="A15" i="5"/>
  <c r="A16" i="5" s="1"/>
  <c r="G16" i="5"/>
  <c r="G20" i="5" s="1"/>
  <c r="G24" i="5" s="1"/>
  <c r="E31" i="12" s="1"/>
  <c r="E32" i="12" s="1"/>
  <c r="E34" i="12" s="1"/>
  <c r="E36" i="12" s="1"/>
  <c r="G26" i="4" s="1"/>
  <c r="G18" i="4"/>
  <c r="G24" i="4" s="1"/>
  <c r="E24" i="4"/>
  <c r="E28" i="4"/>
  <c r="G28" i="4" l="1"/>
  <c r="A18" i="5"/>
  <c r="A20" i="5" s="1"/>
  <c r="E20" i="5"/>
  <c r="R99" i="3"/>
  <c r="P99" i="3"/>
  <c r="L97" i="3"/>
  <c r="L96" i="3"/>
  <c r="L95" i="3"/>
  <c r="L94" i="3"/>
  <c r="L93" i="3"/>
  <c r="L92" i="3"/>
  <c r="L91" i="3"/>
  <c r="L90" i="3"/>
  <c r="L89" i="3"/>
  <c r="L88" i="3"/>
  <c r="L87" i="3"/>
  <c r="L86" i="3"/>
  <c r="L85" i="3"/>
  <c r="L84" i="3"/>
  <c r="L83" i="3"/>
  <c r="L82" i="3"/>
  <c r="L81" i="3"/>
  <c r="L80" i="3"/>
  <c r="L79" i="3"/>
  <c r="L78" i="3"/>
  <c r="L77" i="3"/>
  <c r="L76" i="3"/>
  <c r="L75" i="3"/>
  <c r="L74" i="3"/>
  <c r="J66" i="3"/>
  <c r="S64" i="3"/>
  <c r="J63" i="3"/>
  <c r="C63" i="3"/>
  <c r="A22" i="5" l="1"/>
  <c r="A24" i="5" s="1"/>
  <c r="E24" i="5" l="1"/>
  <c r="N101" i="2"/>
  <c r="L101" i="2"/>
  <c r="G67" i="2"/>
  <c r="O64" i="2"/>
  <c r="G64" i="2"/>
  <c r="C64" i="2"/>
  <c r="I234" i="1" l="1"/>
  <c r="I236" i="1" s="1"/>
  <c r="A295" i="1"/>
  <c r="A221" i="1"/>
  <c r="A151" i="1"/>
  <c r="A80" i="1"/>
  <c r="I226" i="1"/>
  <c r="I229" i="1" s="1"/>
  <c r="I158" i="1"/>
  <c r="G244" i="1"/>
  <c r="G246" i="1"/>
  <c r="G247" i="1"/>
  <c r="D254" i="1"/>
  <c r="G252" i="1" s="1"/>
  <c r="I164" i="1"/>
  <c r="I157" i="1"/>
  <c r="D165" i="1"/>
  <c r="D123" i="1" s="1"/>
  <c r="D126" i="1" s="1"/>
  <c r="I30" i="1"/>
  <c r="D32" i="1" s="1"/>
  <c r="I268" i="1"/>
  <c r="G269" i="1"/>
  <c r="I269" i="1" s="1"/>
  <c r="I270" i="1"/>
  <c r="E8" i="32" s="1"/>
  <c r="D185" i="1"/>
  <c r="D118" i="1"/>
  <c r="D104" i="1"/>
  <c r="D105" i="1"/>
  <c r="D106" i="1"/>
  <c r="D107" i="1"/>
  <c r="D108" i="1"/>
  <c r="D109" i="1"/>
  <c r="D182" i="1"/>
  <c r="D171" i="1"/>
  <c r="I278" i="1"/>
  <c r="K292" i="1"/>
  <c r="K218" i="1"/>
  <c r="K148" i="1"/>
  <c r="K77" i="1"/>
  <c r="D271" i="1"/>
  <c r="D14" i="1"/>
  <c r="D248" i="1"/>
  <c r="D92" i="1"/>
  <c r="D101" i="1"/>
  <c r="G98" i="1"/>
  <c r="D189" i="1" l="1"/>
  <c r="C15" i="29"/>
  <c r="I238" i="1"/>
  <c r="I231" i="1"/>
  <c r="D194" i="1"/>
  <c r="D195" i="1"/>
  <c r="D110" i="1"/>
  <c r="D128" i="1" s="1"/>
  <c r="I271" i="1"/>
  <c r="E9" i="32" s="1"/>
  <c r="I37" i="1"/>
  <c r="I38" i="1" s="1"/>
  <c r="I36" i="1"/>
  <c r="D33" i="1"/>
  <c r="D36" i="1"/>
  <c r="D37" i="1" s="1"/>
  <c r="D38" i="1" s="1"/>
  <c r="D15" i="29" l="1"/>
  <c r="D17" i="29" s="1"/>
  <c r="C17" i="29"/>
  <c r="B17" i="29" s="1"/>
  <c r="D192" i="1" s="1"/>
  <c r="D196" i="1" s="1"/>
  <c r="E245" i="1"/>
  <c r="G245" i="1" s="1"/>
  <c r="G248" i="1" s="1"/>
  <c r="I248" i="1" s="1"/>
  <c r="G14" i="1"/>
  <c r="D199" i="1"/>
  <c r="I239" i="1"/>
  <c r="I240" i="1" s="1"/>
  <c r="G156" i="1" s="1"/>
  <c r="G87" i="1"/>
  <c r="I87" i="1" s="1"/>
  <c r="D186" i="1"/>
  <c r="G88" i="1" l="1"/>
  <c r="I88" i="1" s="1"/>
  <c r="G124" i="1"/>
  <c r="I124" i="1" s="1"/>
  <c r="D193" i="1"/>
  <c r="D197" i="1" s="1"/>
  <c r="D202" i="1" s="1"/>
  <c r="G90" i="1"/>
  <c r="I252" i="1"/>
  <c r="K252" i="1" s="1"/>
  <c r="G91" i="1" s="1"/>
  <c r="G96" i="1"/>
  <c r="G97" i="1" s="1"/>
  <c r="I97" i="1" s="1"/>
  <c r="I14" i="1"/>
  <c r="G15" i="1"/>
  <c r="I156" i="1"/>
  <c r="J24" i="3" s="1"/>
  <c r="J29" i="3" s="1"/>
  <c r="G162" i="1"/>
  <c r="I162" i="1" s="1"/>
  <c r="J18" i="3" l="1"/>
  <c r="G18" i="2"/>
  <c r="I106" i="1"/>
  <c r="I96" i="1"/>
  <c r="G120" i="1"/>
  <c r="I120" i="1" s="1"/>
  <c r="G16" i="1"/>
  <c r="I90" i="1"/>
  <c r="G99" i="1"/>
  <c r="G100" i="1"/>
  <c r="I91" i="1"/>
  <c r="I105" i="1" l="1"/>
  <c r="G19" i="2" s="1"/>
  <c r="J19" i="3"/>
  <c r="J31" i="3" s="1"/>
  <c r="L31" i="3" s="1"/>
  <c r="G95" i="3" s="1"/>
  <c r="H95" i="3" s="1"/>
  <c r="J20" i="3"/>
  <c r="I92" i="1"/>
  <c r="G92" i="1" s="1"/>
  <c r="G125" i="1" s="1"/>
  <c r="I125" i="1" s="1"/>
  <c r="G168" i="1"/>
  <c r="I168" i="1" s="1"/>
  <c r="G159" i="1"/>
  <c r="I99" i="1"/>
  <c r="I100" i="1"/>
  <c r="I109" i="1" s="1"/>
  <c r="G163" i="1"/>
  <c r="I16" i="1"/>
  <c r="G17" i="1"/>
  <c r="I17" i="1" s="1"/>
  <c r="G81" i="3" l="1"/>
  <c r="H81" i="3" s="1"/>
  <c r="G85" i="3"/>
  <c r="H85" i="3" s="1"/>
  <c r="G90" i="3"/>
  <c r="H90" i="3" s="1"/>
  <c r="G97" i="3"/>
  <c r="H97" i="3" s="1"/>
  <c r="G91" i="3"/>
  <c r="H91" i="3" s="1"/>
  <c r="G75" i="3"/>
  <c r="H75" i="3" s="1"/>
  <c r="G82" i="3"/>
  <c r="H82" i="3" s="1"/>
  <c r="G77" i="3"/>
  <c r="H77" i="3" s="1"/>
  <c r="G80" i="3"/>
  <c r="H80" i="3" s="1"/>
  <c r="G83" i="3"/>
  <c r="H83" i="3" s="1"/>
  <c r="G87" i="3"/>
  <c r="H87" i="3" s="1"/>
  <c r="G94" i="3"/>
  <c r="H94" i="3" s="1"/>
  <c r="G88" i="3"/>
  <c r="H88" i="3" s="1"/>
  <c r="G78" i="3"/>
  <c r="H78" i="3" s="1"/>
  <c r="G96" i="3"/>
  <c r="H96" i="3" s="1"/>
  <c r="G86" i="3"/>
  <c r="H86" i="3" s="1"/>
  <c r="G84" i="3"/>
  <c r="H84" i="3" s="1"/>
  <c r="G79" i="3"/>
  <c r="H79" i="3" s="1"/>
  <c r="G76" i="3"/>
  <c r="H76" i="3" s="1"/>
  <c r="G89" i="3"/>
  <c r="H89" i="3" s="1"/>
  <c r="G92" i="3"/>
  <c r="H92" i="3" s="1"/>
  <c r="G93" i="3"/>
  <c r="H93" i="3" s="1"/>
  <c r="G74" i="3"/>
  <c r="H74" i="3" s="1"/>
  <c r="G178" i="1"/>
  <c r="G180" i="1" s="1"/>
  <c r="I180" i="1" s="1"/>
  <c r="I163" i="1"/>
  <c r="G170" i="1"/>
  <c r="I170" i="1" s="1"/>
  <c r="I108" i="1"/>
  <c r="I110" i="1" s="1"/>
  <c r="G110" i="1" s="1"/>
  <c r="I101" i="1"/>
  <c r="G160" i="1"/>
  <c r="I159" i="1"/>
  <c r="G169" i="1"/>
  <c r="G181" i="1" l="1"/>
  <c r="I181" i="1" s="1"/>
  <c r="I178" i="1"/>
  <c r="G194" i="1"/>
  <c r="G114" i="1"/>
  <c r="I160" i="1"/>
  <c r="G161" i="1"/>
  <c r="I161" i="1" s="1"/>
  <c r="G175" i="1"/>
  <c r="I169" i="1"/>
  <c r="I171" i="1" s="1"/>
  <c r="G28" i="2" l="1"/>
  <c r="G29" i="2" s="1"/>
  <c r="M29" i="2" s="1"/>
  <c r="J39" i="3"/>
  <c r="J40" i="3" s="1"/>
  <c r="L40" i="3" s="1"/>
  <c r="I165" i="1"/>
  <c r="G115" i="1"/>
  <c r="I114" i="1"/>
  <c r="I175" i="1"/>
  <c r="G176" i="1"/>
  <c r="I176" i="1" s="1"/>
  <c r="G195" i="1"/>
  <c r="I194" i="1"/>
  <c r="I123" i="1" l="1"/>
  <c r="I126" i="1" s="1"/>
  <c r="J23" i="3"/>
  <c r="J35" i="3" s="1"/>
  <c r="J36" i="3" s="1"/>
  <c r="G22" i="2"/>
  <c r="G24" i="2" s="1"/>
  <c r="G25" i="2" s="1"/>
  <c r="M25" i="2" s="1"/>
  <c r="I182" i="1"/>
  <c r="I195" i="1"/>
  <c r="G196" i="1"/>
  <c r="I196" i="1" s="1"/>
  <c r="G116" i="1"/>
  <c r="I116" i="1" s="1"/>
  <c r="I115" i="1"/>
  <c r="G117" i="1"/>
  <c r="I117" i="1" s="1"/>
  <c r="J43" i="3" l="1"/>
  <c r="J44" i="3" s="1"/>
  <c r="L44" i="3" s="1"/>
  <c r="G32" i="2"/>
  <c r="G33" i="2" s="1"/>
  <c r="M33" i="2" s="1"/>
  <c r="M35" i="2" s="1"/>
  <c r="L36" i="3"/>
  <c r="I118" i="1"/>
  <c r="I128" i="1" s="1"/>
  <c r="I199" i="1" s="1"/>
  <c r="J53" i="3" l="1"/>
  <c r="J54" i="3" s="1"/>
  <c r="L54" i="3" s="1"/>
  <c r="E6" i="32"/>
  <c r="L46" i="3"/>
  <c r="I83" i="3" s="1"/>
  <c r="J83" i="3" s="1"/>
  <c r="K83" i="3" s="1"/>
  <c r="J46" i="3"/>
  <c r="F79" i="2"/>
  <c r="G79" i="2" s="1"/>
  <c r="F88" i="2"/>
  <c r="G88" i="2" s="1"/>
  <c r="F76" i="2"/>
  <c r="G76" i="2" s="1"/>
  <c r="F78" i="2"/>
  <c r="G78" i="2" s="1"/>
  <c r="F89" i="2"/>
  <c r="G89" i="2" s="1"/>
  <c r="F77" i="2"/>
  <c r="G77" i="2" s="1"/>
  <c r="F85" i="2"/>
  <c r="G85" i="2" s="1"/>
  <c r="F91" i="2"/>
  <c r="G91" i="2" s="1"/>
  <c r="F75" i="2"/>
  <c r="G75" i="2" s="1"/>
  <c r="F84" i="2"/>
  <c r="G84" i="2" s="1"/>
  <c r="F80" i="2"/>
  <c r="G80" i="2" s="1"/>
  <c r="F87" i="2"/>
  <c r="G87" i="2" s="1"/>
  <c r="F83" i="2"/>
  <c r="G83" i="2" s="1"/>
  <c r="F81" i="2"/>
  <c r="G81" i="2" s="1"/>
  <c r="F90" i="2"/>
  <c r="G90" i="2" s="1"/>
  <c r="F86" i="2"/>
  <c r="G86" i="2" s="1"/>
  <c r="F82" i="2"/>
  <c r="G82" i="2" s="1"/>
  <c r="I193" i="1"/>
  <c r="I197" i="1" s="1"/>
  <c r="G42" i="2"/>
  <c r="G43" i="2" s="1"/>
  <c r="M43" i="2" s="1"/>
  <c r="J49" i="3" l="1"/>
  <c r="J50" i="3" s="1"/>
  <c r="L50" i="3" s="1"/>
  <c r="L56" i="3" s="1"/>
  <c r="M96" i="3" s="1"/>
  <c r="N96" i="3" s="1"/>
  <c r="E14" i="32"/>
  <c r="I75" i="3"/>
  <c r="J75" i="3" s="1"/>
  <c r="K75" i="3" s="1"/>
  <c r="I78" i="3"/>
  <c r="J78" i="3" s="1"/>
  <c r="K78" i="3" s="1"/>
  <c r="I95" i="3"/>
  <c r="J95" i="3" s="1"/>
  <c r="K95" i="3" s="1"/>
  <c r="I80" i="3"/>
  <c r="J80" i="3" s="1"/>
  <c r="K80" i="3" s="1"/>
  <c r="I76" i="3"/>
  <c r="J76" i="3" s="1"/>
  <c r="K76" i="3" s="1"/>
  <c r="I86" i="3"/>
  <c r="J86" i="3" s="1"/>
  <c r="K86" i="3" s="1"/>
  <c r="I74" i="3"/>
  <c r="J74" i="3" s="1"/>
  <c r="K74" i="3" s="1"/>
  <c r="I97" i="3"/>
  <c r="J97" i="3" s="1"/>
  <c r="K97" i="3" s="1"/>
  <c r="I81" i="3"/>
  <c r="J81" i="3" s="1"/>
  <c r="K81" i="3" s="1"/>
  <c r="I79" i="3"/>
  <c r="J79" i="3" s="1"/>
  <c r="K79" i="3" s="1"/>
  <c r="I90" i="3"/>
  <c r="J90" i="3" s="1"/>
  <c r="K90" i="3" s="1"/>
  <c r="I82" i="3"/>
  <c r="J82" i="3" s="1"/>
  <c r="K82" i="3" s="1"/>
  <c r="I87" i="3"/>
  <c r="J87" i="3" s="1"/>
  <c r="K87" i="3" s="1"/>
  <c r="I88" i="3"/>
  <c r="J88" i="3" s="1"/>
  <c r="K88" i="3" s="1"/>
  <c r="I93" i="3"/>
  <c r="J93" i="3" s="1"/>
  <c r="K93" i="3" s="1"/>
  <c r="I84" i="3"/>
  <c r="J84" i="3" s="1"/>
  <c r="K84" i="3" s="1"/>
  <c r="I85" i="3"/>
  <c r="J85" i="3" s="1"/>
  <c r="K85" i="3" s="1"/>
  <c r="I94" i="3"/>
  <c r="J94" i="3" s="1"/>
  <c r="K94" i="3" s="1"/>
  <c r="I91" i="3"/>
  <c r="J91" i="3" s="1"/>
  <c r="K91" i="3" s="1"/>
  <c r="I89" i="3"/>
  <c r="J89" i="3" s="1"/>
  <c r="K89" i="3" s="1"/>
  <c r="I96" i="3"/>
  <c r="J96" i="3" s="1"/>
  <c r="K96" i="3" s="1"/>
  <c r="I77" i="3"/>
  <c r="J77" i="3" s="1"/>
  <c r="K77" i="3" s="1"/>
  <c r="I92" i="3"/>
  <c r="J92" i="3" s="1"/>
  <c r="K92" i="3" s="1"/>
  <c r="I202" i="1"/>
  <c r="G38" i="2"/>
  <c r="G39" i="2" s="1"/>
  <c r="M39" i="2" s="1"/>
  <c r="M45" i="2" s="1"/>
  <c r="M74" i="3" l="1"/>
  <c r="N74" i="3" s="1"/>
  <c r="M94" i="3"/>
  <c r="N94" i="3" s="1"/>
  <c r="M81" i="3"/>
  <c r="N81" i="3" s="1"/>
  <c r="Q81" i="3" s="1"/>
  <c r="S81" i="3" s="1"/>
  <c r="M75" i="3"/>
  <c r="N75" i="3" s="1"/>
  <c r="M86" i="3"/>
  <c r="N86" i="3" s="1"/>
  <c r="Q86" i="3" s="1"/>
  <c r="S86" i="3" s="1"/>
  <c r="M85" i="3"/>
  <c r="N85" i="3" s="1"/>
  <c r="Q85" i="3" s="1"/>
  <c r="S85" i="3" s="1"/>
  <c r="M89" i="3"/>
  <c r="N89" i="3" s="1"/>
  <c r="Q89" i="3" s="1"/>
  <c r="S89" i="3" s="1"/>
  <c r="M90" i="3"/>
  <c r="N90" i="3" s="1"/>
  <c r="Q90" i="3" s="1"/>
  <c r="S90" i="3" s="1"/>
  <c r="M87" i="3"/>
  <c r="N87" i="3" s="1"/>
  <c r="Q87" i="3" s="1"/>
  <c r="S87" i="3" s="1"/>
  <c r="M92" i="3"/>
  <c r="N92" i="3" s="1"/>
  <c r="Q92" i="3" s="1"/>
  <c r="S92" i="3" s="1"/>
  <c r="M88" i="3"/>
  <c r="N88" i="3" s="1"/>
  <c r="Q88" i="3" s="1"/>
  <c r="S88" i="3" s="1"/>
  <c r="M84" i="3"/>
  <c r="N84" i="3" s="1"/>
  <c r="Q84" i="3" s="1"/>
  <c r="S84" i="3" s="1"/>
  <c r="M77" i="3"/>
  <c r="N77" i="3" s="1"/>
  <c r="Q77" i="3" s="1"/>
  <c r="S77" i="3" s="1"/>
  <c r="M97" i="3"/>
  <c r="N97" i="3" s="1"/>
  <c r="Q97" i="3" s="1"/>
  <c r="S97" i="3" s="1"/>
  <c r="M82" i="3"/>
  <c r="N82" i="3" s="1"/>
  <c r="Q82" i="3" s="1"/>
  <c r="S82" i="3" s="1"/>
  <c r="M91" i="3"/>
  <c r="N91" i="3" s="1"/>
  <c r="Q91" i="3" s="1"/>
  <c r="S91" i="3" s="1"/>
  <c r="M79" i="3"/>
  <c r="N79" i="3" s="1"/>
  <c r="Q79" i="3" s="1"/>
  <c r="S79" i="3" s="1"/>
  <c r="M95" i="3"/>
  <c r="N95" i="3" s="1"/>
  <c r="Q95" i="3" s="1"/>
  <c r="S95" i="3" s="1"/>
  <c r="M76" i="3"/>
  <c r="N76" i="3" s="1"/>
  <c r="Q76" i="3" s="1"/>
  <c r="S76" i="3" s="1"/>
  <c r="M80" i="3"/>
  <c r="N80" i="3" s="1"/>
  <c r="Q80" i="3" s="1"/>
  <c r="S80" i="3" s="1"/>
  <c r="M93" i="3"/>
  <c r="N93" i="3" s="1"/>
  <c r="Q93" i="3" s="1"/>
  <c r="S93" i="3" s="1"/>
  <c r="M83" i="3"/>
  <c r="N83" i="3" s="1"/>
  <c r="Q83" i="3" s="1"/>
  <c r="S83" i="3" s="1"/>
  <c r="M78" i="3"/>
  <c r="N78" i="3" s="1"/>
  <c r="Q78" i="3" s="1"/>
  <c r="S78" i="3" s="1"/>
  <c r="Q75" i="3"/>
  <c r="S75" i="3" s="1"/>
  <c r="Q96" i="3"/>
  <c r="S96" i="3" s="1"/>
  <c r="Q74" i="3"/>
  <c r="S74" i="3" s="1"/>
  <c r="Q94" i="3"/>
  <c r="S94" i="3" s="1"/>
  <c r="I89" i="2"/>
  <c r="J89" i="2" s="1"/>
  <c r="M89" i="2" s="1"/>
  <c r="I79" i="2"/>
  <c r="J79" i="2" s="1"/>
  <c r="M79" i="2" s="1"/>
  <c r="I83" i="2"/>
  <c r="J83" i="2" s="1"/>
  <c r="M83" i="2" s="1"/>
  <c r="I87" i="2"/>
  <c r="J87" i="2" s="1"/>
  <c r="M87" i="2" s="1"/>
  <c r="I81" i="2"/>
  <c r="J81" i="2" s="1"/>
  <c r="M81" i="2" s="1"/>
  <c r="I80" i="2"/>
  <c r="J80" i="2" s="1"/>
  <c r="M80" i="2" s="1"/>
  <c r="I84" i="2"/>
  <c r="J84" i="2" s="1"/>
  <c r="M84" i="2" s="1"/>
  <c r="I88" i="2"/>
  <c r="J88" i="2" s="1"/>
  <c r="M88" i="2" s="1"/>
  <c r="I90" i="2"/>
  <c r="J90" i="2" s="1"/>
  <c r="M90" i="2" s="1"/>
  <c r="I85" i="2"/>
  <c r="J85" i="2" s="1"/>
  <c r="M85" i="2" s="1"/>
  <c r="I78" i="2"/>
  <c r="J78" i="2" s="1"/>
  <c r="M78" i="2" s="1"/>
  <c r="I82" i="2"/>
  <c r="J82" i="2" s="1"/>
  <c r="M82" i="2" s="1"/>
  <c r="I86" i="2"/>
  <c r="J86" i="2" s="1"/>
  <c r="M86" i="2" s="1"/>
  <c r="I91" i="2"/>
  <c r="J91" i="2" s="1"/>
  <c r="M91" i="2" s="1"/>
  <c r="I76" i="2"/>
  <c r="J76" i="2" s="1"/>
  <c r="M76" i="2" s="1"/>
  <c r="I77" i="2"/>
  <c r="J77" i="2" s="1"/>
  <c r="M77" i="2" s="1"/>
  <c r="I75" i="2"/>
  <c r="J75" i="2" s="1"/>
  <c r="M75" i="2" s="1"/>
  <c r="S99" i="3" l="1"/>
  <c r="Q99" i="3"/>
  <c r="Q101" i="3" s="1"/>
  <c r="D210" i="1" s="1"/>
  <c r="I210" i="1" s="1"/>
  <c r="I286" i="1" s="1"/>
  <c r="O82" i="2"/>
  <c r="O88" i="2"/>
  <c r="O87" i="2"/>
  <c r="O77" i="2"/>
  <c r="O76" i="2"/>
  <c r="O78" i="2"/>
  <c r="O84" i="2"/>
  <c r="O83" i="2"/>
  <c r="O91" i="2"/>
  <c r="O85" i="2"/>
  <c r="O80" i="2"/>
  <c r="O79" i="2"/>
  <c r="O86" i="2"/>
  <c r="O90" i="2"/>
  <c r="O81" i="2"/>
  <c r="O89" i="2"/>
  <c r="M101" i="2"/>
  <c r="M103" i="2" s="1"/>
  <c r="D206" i="1" s="1"/>
  <c r="O75" i="2"/>
  <c r="O101" i="2" l="1"/>
  <c r="I206" i="1"/>
  <c r="D211" i="1"/>
  <c r="I285" i="1" l="1"/>
  <c r="I287" i="1" s="1"/>
  <c r="I211" i="1"/>
  <c r="I11" i="1" s="1"/>
  <c r="D15" i="1" l="1"/>
  <c r="I15" i="1" l="1"/>
  <c r="I18" i="1" s="1"/>
  <c r="I20" i="1" l="1"/>
  <c r="G6" i="15" s="1"/>
  <c r="G10" i="15" s="1"/>
  <c r="G12" i="15" s="1"/>
  <c r="C31" i="16" l="1"/>
  <c r="C35" i="16" s="1"/>
</calcChain>
</file>

<file path=xl/sharedStrings.xml><?xml version="1.0" encoding="utf-8"?>
<sst xmlns="http://schemas.openxmlformats.org/spreadsheetml/2006/main" count="1866" uniqueCount="1029">
  <si>
    <t xml:space="preserve">Formula Rate - Non-Levelized </t>
  </si>
  <si>
    <t xml:space="preserve"> </t>
  </si>
  <si>
    <t>Thirteen Monthly Balances</t>
  </si>
  <si>
    <t>Composite Depreciation Rates</t>
  </si>
  <si>
    <t>Line</t>
  </si>
  <si>
    <t>Allocated</t>
  </si>
  <si>
    <t>No.</t>
  </si>
  <si>
    <t>Amount</t>
  </si>
  <si>
    <t xml:space="preserve">REVENUE CREDITS </t>
  </si>
  <si>
    <t>(Note T)</t>
  </si>
  <si>
    <t>Total</t>
  </si>
  <si>
    <t>Allocator</t>
  </si>
  <si>
    <t xml:space="preserve">  Account No. 454</t>
  </si>
  <si>
    <t>(page 4, line 34)</t>
  </si>
  <si>
    <t>TP</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</si>
  <si>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</si>
  <si>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</si>
  <si>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</si>
  <si>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</si>
  <si>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</si>
  <si>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</si>
  <si>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</si>
  <si>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</si>
  <si>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</si>
  <si>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</si>
  <si>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</si>
  <si>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</si>
  <si>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</si>
  <si>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</si>
  <si>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</si>
  <si>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</si>
  <si>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</si>
  <si>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</si>
  <si>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</si>
  <si>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</si>
  <si>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</si>
  <si>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</si>
  <si>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</si>
  <si>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</si>
  <si>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</si>
  <si>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</si>
  <si>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</si>
  <si>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Capped at weekly rate</t>
  </si>
  <si>
    <t>Point-To-Point Rate ($/MWh)</t>
  </si>
  <si>
    <t>Capped at weekly</t>
  </si>
  <si>
    <t xml:space="preserve"> times 1,000)</t>
  </si>
  <si>
    <t>and daily rates</t>
  </si>
  <si>
    <t>Short Term</t>
  </si>
  <si>
    <t>Long Term</t>
  </si>
  <si>
    <t>(1)</t>
  </si>
  <si>
    <t>(2)</t>
  </si>
  <si>
    <t>(3)</t>
  </si>
  <si>
    <t>(4)</t>
  </si>
  <si>
    <t>(5)</t>
  </si>
  <si>
    <t>Form No. 1</t>
  </si>
  <si>
    <t>Transmission</t>
  </si>
  <si>
    <t>Page, Line, Col.</t>
  </si>
  <si>
    <t>Company Total</t>
  </si>
  <si>
    <t xml:space="preserve">                  Allocator</t>
  </si>
  <si>
    <t>(Col 3 times Col 4)</t>
  </si>
  <si>
    <t>GROSS PLANT IN SERVICE</t>
  </si>
  <si>
    <t xml:space="preserve">  Production</t>
  </si>
  <si>
    <t>NA</t>
  </si>
  <si>
    <t>2a</t>
  </si>
  <si>
    <t>2b</t>
  </si>
  <si>
    <t xml:space="preserve">  Distribution</t>
  </si>
  <si>
    <t>W/S</t>
  </si>
  <si>
    <t xml:space="preserve">  Common</t>
  </si>
  <si>
    <t>356.1</t>
  </si>
  <si>
    <t>CE</t>
  </si>
  <si>
    <t>GP=</t>
  </si>
  <si>
    <t>ACCUMULATED DEPRECIATION</t>
  </si>
  <si>
    <t>8a</t>
  </si>
  <si>
    <t>8b</t>
  </si>
  <si>
    <t>NET PLANT IN SERVICE</t>
  </si>
  <si>
    <t>14a</t>
  </si>
  <si>
    <t>14b</t>
  </si>
  <si>
    <t>NP=</t>
  </si>
  <si>
    <t xml:space="preserve">  Account No. 281 (enter negative)</t>
  </si>
  <si>
    <t>273.8.k</t>
  </si>
  <si>
    <t>zero</t>
  </si>
  <si>
    <t>NP</t>
  </si>
  <si>
    <t xml:space="preserve">  Account No. 283 (enter negative)</t>
  </si>
  <si>
    <t>277.9.k</t>
  </si>
  <si>
    <t xml:space="preserve">  Account No. 190 </t>
  </si>
  <si>
    <t>234.8.c</t>
  </si>
  <si>
    <t xml:space="preserve">  Account No. 255 (enter negative)</t>
  </si>
  <si>
    <t>TOTAL ADJUSTMENTS  (sum lines 19- 23)</t>
  </si>
  <si>
    <t xml:space="preserve">LAND HELD FOR FUTURE USE </t>
  </si>
  <si>
    <t>WORKING CAPITAL  (Note H)</t>
  </si>
  <si>
    <t xml:space="preserve">  Materials &amp; Supplies  (Note G)</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</si>
  <si>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</si>
  <si>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</si>
  <si>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</si>
  <si>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</si>
  <si>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</si>
  <si>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</si>
  <si>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</si>
  <si>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</si>
  <si>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</si>
  <si>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</si>
  <si>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TAXES OTHER THAN INCOME TAXES  (Note J)</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</si>
  <si>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</si>
  <si>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</si>
  <si>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</si>
  <si>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</si>
  <si>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</si>
  <si>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</si>
  <si>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</si>
  <si>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</si>
  <si>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</si>
  <si>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</si>
  <si>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 (1-TEP)=</t>
  </si>
  <si>
    <t xml:space="preserve">     CIT=(T/1-T) * (1-(WCLTD/R)) =</t>
  </si>
  <si>
    <t xml:space="preserve">       and FIT, SIT &amp; p are as given in footnote K.</t>
  </si>
  <si>
    <t>Amortized Investment Tax Credit (266.8f) (enter negative)</t>
  </si>
  <si>
    <t>24a</t>
  </si>
  <si>
    <t>Excess Deferred Income Taxes (enter negative)</t>
  </si>
  <si>
    <t>24b</t>
  </si>
  <si>
    <t>Tax Affect of Permanent Differences</t>
  </si>
  <si>
    <t>Income Tax Calculation = line 22 * line 28</t>
  </si>
  <si>
    <t>ITC adjustment (line 23 * line 24)</t>
  </si>
  <si>
    <t>26a</t>
  </si>
  <si>
    <t>Excess Deferred Income Tax Adjustment (line 23 * line 24a)</t>
  </si>
  <si>
    <t>26b</t>
  </si>
  <si>
    <t>Permanent Differences Tax Adjustment</t>
  </si>
  <si>
    <t xml:space="preserve">RETURN </t>
  </si>
  <si>
    <t>REV. REQUIREMENT  (sum lines 8, 12, 20, 27, 28)</t>
  </si>
  <si>
    <t xml:space="preserve">                SUPPORTING CALCULATIONS AND NOTES</t>
  </si>
  <si>
    <t>TRANSMISSION PLANT INCLUDED IN ISO RATES</t>
  </si>
  <si>
    <t>TP=</t>
  </si>
  <si>
    <t xml:space="preserve">TRANSMISSION EXPENSES </t>
  </si>
  <si>
    <t>TE=</t>
  </si>
  <si>
    <t>Form 1 Reference</t>
  </si>
  <si>
    <t>$</t>
  </si>
  <si>
    <t>Allocation</t>
  </si>
  <si>
    <t xml:space="preserve">  Transmission</t>
  </si>
  <si>
    <t>W&amp;S Allocator</t>
  </si>
  <si>
    <t xml:space="preserve">  Other</t>
  </si>
  <si>
    <t>($ / Allocation)</t>
  </si>
  <si>
    <t xml:space="preserve">  Total  (sum lines 12-15)</t>
  </si>
  <si>
    <t>=</t>
  </si>
  <si>
    <t>WS</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</si>
  <si>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</si>
  <si>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</si>
  <si>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</si>
  <si>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</si>
  <si>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</si>
  <si>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</si>
  <si>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</si>
  <si>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</si>
  <si>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</si>
  <si>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</si>
  <si>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</si>
  <si>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</si>
  <si>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n/a</t>
  </si>
  <si>
    <t xml:space="preserve">                                          Development of Common Stock:</t>
  </si>
  <si>
    <t xml:space="preserve">Less Preferred Stock (line 28) </t>
  </si>
  <si>
    <t>Common Stock</t>
  </si>
  <si>
    <t>(sum lines 23-25)</t>
  </si>
  <si>
    <t>Cost</t>
  </si>
  <si>
    <t>%</t>
  </si>
  <si>
    <t>(Note P)</t>
  </si>
  <si>
    <t>Weighted</t>
  </si>
  <si>
    <t>=WCLTD</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</si>
  <si>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</si>
  <si>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</si>
  <si>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</si>
  <si>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</si>
  <si>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</si>
  <si>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</si>
  <si>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</si>
  <si>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</si>
  <si>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</si>
  <si>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</si>
  <si>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</si>
  <si>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(330.x.n)</t>
  </si>
  <si>
    <t xml:space="preserve">  a. Transmission charges for all transmission transactions </t>
  </si>
  <si>
    <t xml:space="preserve">  b. Transmission charges for all transmission transactions included in Divisor on Page 1</t>
  </si>
  <si>
    <t>General Note:  References to pages in this formulary rate are indicated as:  (page#, line#, col.#)</t>
  </si>
  <si>
    <t>Note</t>
  </si>
  <si>
    <t>Letter</t>
  </si>
  <si>
    <t>A</t>
  </si>
  <si>
    <t>B</t>
  </si>
  <si>
    <t>C</t>
  </si>
  <si>
    <t>D</t>
  </si>
  <si>
    <t>E</t>
  </si>
  <si>
    <t xml:space="preserve">The FERC's annual charges for the year assessed the Transmission Owner for service under this tariff. </t>
  </si>
  <si>
    <t>F</t>
  </si>
  <si>
    <t>G</t>
  </si>
  <si>
    <t>Identified in Form 1 as being only transmission related.</t>
  </si>
  <si>
    <t>H</t>
  </si>
  <si>
    <t>I</t>
  </si>
  <si>
    <t>J</t>
  </si>
  <si>
    <t>K</t>
  </si>
  <si>
    <t xml:space="preserve">         Inputs Required:</t>
  </si>
  <si>
    <t>FIT =</t>
  </si>
  <si>
    <t>SIT=</t>
  </si>
  <si>
    <t>p =</t>
  </si>
  <si>
    <t>TEP =</t>
  </si>
  <si>
    <t>L</t>
  </si>
  <si>
    <t>M</t>
  </si>
  <si>
    <t>N</t>
  </si>
  <si>
    <t>O</t>
  </si>
  <si>
    <t>Enter dollar amounts</t>
  </si>
  <si>
    <t>P</t>
  </si>
  <si>
    <t>Q</t>
  </si>
  <si>
    <t>R</t>
  </si>
  <si>
    <t>Includes income related only to transmission facilities, such as pole attachments, rentals and special use.</t>
  </si>
  <si>
    <t>S</t>
  </si>
  <si>
    <t>T</t>
  </si>
  <si>
    <t>U</t>
  </si>
  <si>
    <t>calculated</t>
  </si>
  <si>
    <t>page 1 of 5</t>
  </si>
  <si>
    <t>page 2 of 5</t>
  </si>
  <si>
    <t>page 3 of 5</t>
  </si>
  <si>
    <t>page 4 of 5</t>
  </si>
  <si>
    <t>page 5 of 5</t>
  </si>
  <si>
    <t>American Transmission Company LLC</t>
  </si>
  <si>
    <t>V</t>
  </si>
  <si>
    <t>207.75.g</t>
  </si>
  <si>
    <t>219.20-24.c</t>
  </si>
  <si>
    <t>219.26.c</t>
  </si>
  <si>
    <t>267.8.h</t>
  </si>
  <si>
    <t>111.57.c</t>
  </si>
  <si>
    <t xml:space="preserve">  Account No. 282 (enter negative)</t>
  </si>
  <si>
    <t>263.i</t>
  </si>
  <si>
    <t>Total Income Taxes (line 25 plus line 26 plus lines 26a and 26b)</t>
  </si>
  <si>
    <t>Proprietary Capital (112.16.c)</t>
  </si>
  <si>
    <t>Less Account 216.1 (112.12.c)  (enter negative)</t>
  </si>
  <si>
    <t xml:space="preserve">  Preferred Stock  (112.3.c)</t>
  </si>
  <si>
    <t>Long Term Interest (117, sum of 62.c through 66.c)</t>
  </si>
  <si>
    <t>1a</t>
  </si>
  <si>
    <t>W</t>
  </si>
  <si>
    <t>ACCOUNT 456.1 (OTHER ELECTRIC REVENUES)  (Note V)</t>
  </si>
  <si>
    <t xml:space="preserve">  Account No. 456.1</t>
  </si>
  <si>
    <t>205.46.g</t>
  </si>
  <si>
    <t>321.112.b</t>
  </si>
  <si>
    <t>321.96.b</t>
  </si>
  <si>
    <t>323.197.b</t>
  </si>
  <si>
    <t>354.20.b</t>
  </si>
  <si>
    <t>354.21.b</t>
  </si>
  <si>
    <t>354.23.b</t>
  </si>
  <si>
    <t>354.24,25,26.b</t>
  </si>
  <si>
    <t>Preferred Dividends (118.29c)  (positive number)</t>
  </si>
  <si>
    <t xml:space="preserve">  Less Contract Demand from Grandfathered Interzonal Transactions over one year (enter negative)  (Note S)</t>
  </si>
  <si>
    <t>(Note E)</t>
  </si>
  <si>
    <t>FERC Annual Charge ($/MWh)</t>
  </si>
  <si>
    <t>TOTAL GROSS PLANT  (sum lines 1-5)</t>
  </si>
  <si>
    <t>TOTAL ACCUM. DEPRECIATION  (sum lines 7-11)</t>
  </si>
  <si>
    <t>ADJUSTMENTS TO RATE BASE  (Note F)</t>
  </si>
  <si>
    <t xml:space="preserve">     Less LSE Expenses Included in Transmission O&amp;M Accounts  (Note W)</t>
  </si>
  <si>
    <t xml:space="preserve">     Less EPRI &amp; Reg. Comm. Exp. &amp; Non-safety  Ad.  (Note I)</t>
  </si>
  <si>
    <t xml:space="preserve">     Plus Transmission Related Reg. Comm. Exp.  (Note I)</t>
  </si>
  <si>
    <t>TOTAL DEPRECIATION  (sum lines 9 - 11)</t>
  </si>
  <si>
    <t>(Note K)</t>
  </si>
  <si>
    <t xml:space="preserve">      1 / (1 - T)  =  (from line 21)</t>
  </si>
  <si>
    <t xml:space="preserve">  [Rate Base (page 2, line 30) * Rate of Return (page 4, line 30)]</t>
  </si>
  <si>
    <t>WAGES &amp; SALARY ALLOCATOR  (W&amp;S)</t>
  </si>
  <si>
    <t>COMMON PLANT ALLOCATOR  (CE)  (Note O)</t>
  </si>
  <si>
    <t xml:space="preserve">  Long Term Debt  (112, sum of 18.c through 21.c)</t>
  </si>
  <si>
    <t>ACCOUNT 454 (RENT FROM ELECTRIC PROPERTY)  (Note R)</t>
  </si>
  <si>
    <t>(line 1- line 7)</t>
  </si>
  <si>
    <t>(line 3 - line 9)</t>
  </si>
  <si>
    <t>(line 4 - line 10)</t>
  </si>
  <si>
    <t>(line 5 - line 11)</t>
  </si>
  <si>
    <t xml:space="preserve">[Revenue Requirement for facilities included on page 2, line 2, and also  </t>
  </si>
  <si>
    <t>included in Attachment GG]</t>
  </si>
  <si>
    <t>REV. REQUIREMENT TO BE COLLECTED UNDER ATTACHMENT O</t>
  </si>
  <si>
    <t>36a</t>
  </si>
  <si>
    <t>X</t>
  </si>
  <si>
    <t>(State Income Tax Rate or Composite SIT)</t>
  </si>
  <si>
    <t>(percent of federal income tax deductible for state purposes)</t>
  </si>
  <si>
    <t>(percent of the tax exempt ownership)</t>
  </si>
  <si>
    <t>TOTAL NET PLANT  (sum lines 13-17)</t>
  </si>
  <si>
    <t>TOTAL WORKING CAPITAL  (sum lines 26 - 28)</t>
  </si>
  <si>
    <t>Removes transmission plant determined by Commission order to be state-jurisdictional according to the seven-factor test (until Form 1 balances are adjusted to reflect application of seven-factor test).</t>
  </si>
  <si>
    <t>Line 33 must equal zero since all short-term power sales must be unbundled and the transmission component reflected in Account No. 456 and all other uses are to be included in the divisor.</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</si>
  <si>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</si>
  <si>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Preliminary Survey and Investigation charges related to transmission construction projects started on or after January 1, 2004 are included in account 566 and not in account 183.</t>
  </si>
  <si>
    <t>Cash Working Capital assigned to transmission is one-eighth of O&amp;M allocated to transmission at page 3, line 8, column 5.  Prepayments are the electric related prepayments booked to Account No. 165 and reported on pages 111, line 57 in the Form 1.</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</si>
  <si>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</si>
  <si>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</si>
  <si>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References to data from FERC Form 1 are indicated as:  #.y.x  (page, line, column)</t>
  </si>
  <si>
    <t>Rate Formula Template</t>
  </si>
  <si>
    <t>Utilizing FERC Form 1 Data</t>
  </si>
  <si>
    <t>Y</t>
  </si>
  <si>
    <r>
      <t xml:space="preserve">GROSS REVENUE REQUIREMENT  (page 3, line </t>
    </r>
    <r>
      <rPr>
        <sz val="12"/>
        <rFont val="Times New Roman"/>
        <family val="1"/>
      </rPr>
      <t>31)</t>
    </r>
  </si>
  <si>
    <t>(line 16 / 260; line 16 / 365)</t>
  </si>
  <si>
    <t>(line 16 / 4,160; line 16 / 8,760</t>
  </si>
  <si>
    <t>TOTAL O&amp;M   (sum lines 1, 3, 5a, 6, 7 less lines 1a, 2, 4, 5)</t>
  </si>
  <si>
    <t>Z</t>
  </si>
  <si>
    <t>214.x.d  (Note G)</t>
  </si>
  <si>
    <t>All amounts shown on this page (with the exception of CWC, line 26) are based on 13 month averages.  Work papers will be provided.</t>
  </si>
  <si>
    <r>
      <t>RATE BASE:</t>
    </r>
    <r>
      <rPr>
        <b/>
        <sz val="12"/>
        <color indexed="10"/>
        <rFont val="Times New Roman"/>
        <family val="1"/>
      </rPr>
      <t xml:space="preserve"> </t>
    </r>
  </si>
  <si>
    <t xml:space="preserve">  CWC </t>
  </si>
  <si>
    <t>Transmission plant included in ISO rates  (line 1 less lines 2 &amp; 3)</t>
  </si>
  <si>
    <r>
      <t>Total Transmission expenses  (page 3, line 1, column 3)</t>
    </r>
    <r>
      <rPr>
        <sz val="12"/>
        <color indexed="10"/>
        <rFont val="Times New Roman"/>
        <family val="1"/>
      </rPr>
      <t xml:space="preserve"> </t>
    </r>
  </si>
  <si>
    <r>
      <t>Included Transmission expenses  (line 6 less line</t>
    </r>
    <r>
      <rPr>
        <sz val="12"/>
        <color indexed="10"/>
        <rFont val="Times New Roman"/>
        <family val="1"/>
      </rPr>
      <t xml:space="preserve"> </t>
    </r>
    <r>
      <rPr>
        <sz val="12"/>
        <rFont val="Times New Roman"/>
        <family val="1"/>
      </rPr>
      <t>7)</t>
    </r>
  </si>
  <si>
    <t xml:space="preserve">  CWIP</t>
  </si>
  <si>
    <t>275.2.k</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</si>
  <si>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</si>
  <si>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Thirteen Month Average Rate Base Balances (Note Z)</t>
  </si>
  <si>
    <t>227.8.c &amp; .16.c</t>
  </si>
  <si>
    <t>336.11.b&amp;d</t>
  </si>
  <si>
    <t>Total Transmission plant  (page 2, line 2a, column 3)</t>
  </si>
  <si>
    <t>Less Transmission plant excluded from ISO rates  (Note M)</t>
  </si>
  <si>
    <t>Less Transmission plant included in OATT Ancillary Services  (Note N )</t>
  </si>
  <si>
    <t>Percentage of Transmission plant included in ISO Rates  (line 4 divided by line 1)</t>
  </si>
  <si>
    <t>Less revenue received attributable to account 457.1  (Note L)</t>
  </si>
  <si>
    <t>Percentage of Transmission expenses after adjustment  (line 8 divided by line 6)</t>
  </si>
  <si>
    <t>Percentage of Transmission plant included in ISO Rates  (line 5)</t>
  </si>
  <si>
    <t>Percentage of Transmission expenses included in ISO Rates  (line 9 times line 10)</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</si>
  <si>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</si>
  <si>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</si>
  <si>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Account 456.1 entry shall be the annual total of the quarterly values reported at Form 1, page 300.22.b.</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</si>
  <si>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</si>
  <si>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t>Peak as would be reported on page 401, column d of Form 1 at the time of the applicable pricing zone coincident monthly peaks.</t>
  </si>
  <si>
    <t>Labeled LF, LU, IF, IU on pages 310-311 of Form 1at the time of the applicable pricing zone coincident monthly peaks.</t>
  </si>
  <si>
    <t>Labeled LF on page 328 of Form 1 at the time of the applicable pricing zone coincident monthly peaks.</t>
  </si>
  <si>
    <t>30a</t>
  </si>
  <si>
    <t>(line 29 - line 30 - line30a)</t>
  </si>
  <si>
    <t>included in Attachment MM]</t>
  </si>
  <si>
    <t>36b</t>
  </si>
  <si>
    <t xml:space="preserve">  Total of (a)-(b)-(c)-(d)</t>
  </si>
  <si>
    <t>AA</t>
  </si>
  <si>
    <t>BB</t>
  </si>
  <si>
    <t xml:space="preserve">  General</t>
  </si>
  <si>
    <t>207.99.g</t>
  </si>
  <si>
    <t xml:space="preserve">  Transmission &amp; Intangible</t>
  </si>
  <si>
    <t>207.58.g &amp; 205.5g</t>
  </si>
  <si>
    <t>219.25.c&amp;d &amp; 200.21.c</t>
  </si>
  <si>
    <t>O&amp;M (Note U, Note CC)</t>
  </si>
  <si>
    <t>DEPRECIATION AND AMORTIZATION EXPENSE</t>
  </si>
  <si>
    <t>336.7.b &amp; 336.1.d</t>
  </si>
  <si>
    <t>336.10.b&amp;d</t>
  </si>
  <si>
    <t>Account Nos. 561.4 and 561.8 consist of RTO expenses billed to load-serving entities and are not included in Transmission Owner revenue requirements.</t>
  </si>
  <si>
    <t>CC</t>
  </si>
  <si>
    <t>Schedule 10-FERC charges should not be included in O&amp;M recovered under this Attachment O.</t>
  </si>
  <si>
    <t xml:space="preserve">       where WCLTD = (page 4, line 27) and R = (page 4, line 30)</t>
  </si>
  <si>
    <t>219.28.c&amp;d</t>
  </si>
  <si>
    <t>(line 2a- line 8a)</t>
  </si>
  <si>
    <t xml:space="preserve">  General </t>
  </si>
  <si>
    <t>LESS ATTACHMENT GG ADJUSTMENT [Attachment GG, page 2, line 3]   (Note X)</t>
  </si>
  <si>
    <t>LESS ATTACHMENT MM ADJUSTMENT [Attachment MM, page 2, line 3]   (Note AA)</t>
  </si>
  <si>
    <t xml:space="preserve">  c. Transmission charges from Schedules associated with Attachment GG  (Note Y)</t>
  </si>
  <si>
    <t xml:space="preserve">  d. Transmission charges from Schedules associated with Attachment MM  (Note BB)</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</si>
  <si>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</si>
  <si>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Pursuant to Attachment GG of the Midwest ISO Tariff, removes dollar amount of revenue requirements calculated pursuant to Attachment GG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</si>
  <si>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</si>
  <si>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</si>
  <si>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</si>
  <si>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Attachment GG - ATCLLC</t>
  </si>
  <si>
    <t>Formula Rate calculation</t>
  </si>
  <si>
    <t xml:space="preserve">     Rate Formula Template</t>
  </si>
  <si>
    <t xml:space="preserve"> Utilizing Attachment O - ATCLLC Data</t>
  </si>
  <si>
    <t>Page 1 of 2</t>
  </si>
  <si>
    <t>To be completed in conjunction with Attachment O - ATCLLC.</t>
  </si>
  <si>
    <t>Attachment O - ATCLLC</t>
  </si>
  <si>
    <t>Gross Transmission Plant - Total</t>
  </si>
  <si>
    <t>Attach O - ATCLLC, p 2, line 2 col 5 (Note A)</t>
  </si>
  <si>
    <t>Net Transmission Plant - Total</t>
  </si>
  <si>
    <t>Attach O - ATCLLC, p 2, line 14 col 5 (Note B)</t>
  </si>
  <si>
    <t>O&amp;M EXPENSE</t>
  </si>
  <si>
    <t>Total O&amp;M Allocated to Transmission</t>
  </si>
  <si>
    <t>Attach O - ATCLLC, p 3, line 8 col 5</t>
  </si>
  <si>
    <t>3a</t>
  </si>
  <si>
    <t>Less: Preliminary Survey and Investigation Adjustment  (Note I)</t>
  </si>
  <si>
    <t>Included in Attach O - ATCLLC, P 3, line 1 col 5</t>
  </si>
  <si>
    <t>3b</t>
  </si>
  <si>
    <t>Adjusted O&amp;M Allocated to Transmission</t>
  </si>
  <si>
    <t>(line 3 minus line 3a col 3)</t>
  </si>
  <si>
    <t>Annual Allocation Factor for O&amp;M</t>
  </si>
  <si>
    <t>(line 3b divided by line 1 col 3)</t>
  </si>
  <si>
    <t>GENERAL AND COMMON (G&amp;C) DEPRECIATION EXPENSE</t>
  </si>
  <si>
    <t>5</t>
  </si>
  <si>
    <t>Total G&amp;C Depreciation Expense</t>
  </si>
  <si>
    <t>Attach O - ATCLLC, p 3, lines 10 &amp; 11, col 5 (Note H)</t>
  </si>
  <si>
    <t>6</t>
  </si>
  <si>
    <t>Annual Allocation Factor for G&amp;C Depreciation Expense</t>
  </si>
  <si>
    <t>(line 5 divided by line 1 col 3)</t>
  </si>
  <si>
    <t>TAXES OTHER THAN INCOME TAXES</t>
  </si>
  <si>
    <t>7</t>
  </si>
  <si>
    <t>Total Other Taxes</t>
  </si>
  <si>
    <t>Attach O - ATCLLC, p 3, line 20 col 5</t>
  </si>
  <si>
    <t>8</t>
  </si>
  <si>
    <t>Annual Allocation Factor for Other Taxes</t>
  </si>
  <si>
    <t>(line 7 divided by line 1 col 3)</t>
  </si>
  <si>
    <t>9</t>
  </si>
  <si>
    <t>Annual Allocation Factor for Expense</t>
  </si>
  <si>
    <t>Sum of line 4, 6, and 8</t>
  </si>
  <si>
    <t>INCOME TAXES</t>
  </si>
  <si>
    <t>10</t>
  </si>
  <si>
    <t>Total Income Taxes</t>
  </si>
  <si>
    <t>Attach O - ATCLLC, p 3, line 27 col 5</t>
  </si>
  <si>
    <t>11</t>
  </si>
  <si>
    <t>Annual Allocation Factor for Income Taxes</t>
  </si>
  <si>
    <t>(line 10 divided by line 2 col 3)</t>
  </si>
  <si>
    <t>12</t>
  </si>
  <si>
    <t>Return on Rate Base</t>
  </si>
  <si>
    <t>Attach O - ATCLLC, p 3, line 28 col 5</t>
  </si>
  <si>
    <t>13</t>
  </si>
  <si>
    <t>Annual Allocation Factor for Return on Rate Base</t>
  </si>
  <si>
    <t>(line 12 divided by line 2 col 3)</t>
  </si>
  <si>
    <t>14</t>
  </si>
  <si>
    <t>Annual Allocation Factor for Return</t>
  </si>
  <si>
    <t>Sum of line 11 and 13</t>
  </si>
  <si>
    <t>Page 2 of 2</t>
  </si>
  <si>
    <t xml:space="preserve">                           Network Upgrade Charge Calculation By Project</t>
  </si>
  <si>
    <t>(9a)</t>
  </si>
  <si>
    <t>Line No.</t>
  </si>
  <si>
    <t>Project Name</t>
  </si>
  <si>
    <t>MTEP Project Number</t>
  </si>
  <si>
    <t xml:space="preserve">Project Gross Plant </t>
  </si>
  <si>
    <t>Annual Expense Charge</t>
  </si>
  <si>
    <t xml:space="preserve">Project Net Plant </t>
  </si>
  <si>
    <t>Annual Return Charge</t>
  </si>
  <si>
    <t>Project Depreciation Expense</t>
  </si>
  <si>
    <t>Preliminary Survey and Investigation Expense</t>
  </si>
  <si>
    <t>Annual Revenue Requirement</t>
  </si>
  <si>
    <t>True-Up Adjustment</t>
  </si>
  <si>
    <t>Network Upgrade Charge</t>
  </si>
  <si>
    <t>(Page 1 line 9)</t>
  </si>
  <si>
    <t>(Col. 3 * Col. 4)</t>
  </si>
  <si>
    <t>(Page 1 line 14)</t>
  </si>
  <si>
    <t>(Col. 6 * Col. 7)</t>
  </si>
  <si>
    <t>(Note J)</t>
  </si>
  <si>
    <t>(Sum Col. 5, 8, 9  &amp; 9a)</t>
  </si>
  <si>
    <t>(Note F)</t>
  </si>
  <si>
    <t>(Sum Col. 10 &amp; 11)
(Note G)</t>
  </si>
  <si>
    <t>1b</t>
  </si>
  <si>
    <t>1c</t>
  </si>
  <si>
    <t>Project 3</t>
  </si>
  <si>
    <t>2</t>
  </si>
  <si>
    <t>Annual Totals</t>
  </si>
  <si>
    <t>Rev. Req. Adj For Attachment O - ATCLLC</t>
  </si>
  <si>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</si>
  <si>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</si>
  <si>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</si>
  <si>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Project Net Plant is the Project Gross Plant Identified in Column 3 less the associated Accumulated Depreciation.</t>
  </si>
  <si>
    <t>Project Depreciation Expense is the actual value booked for the project and included in the Depreciation Expense in Attachment O - ATCLLC page 3 line 12.</t>
  </si>
  <si>
    <t>True-Up Adjustment is included pursuant to a FERC approved methodology, if applicable.</t>
  </si>
  <si>
    <t>The Network Upgrade Charge is the value to be used in schedules associated with Attachment GG - ATCLLC.</t>
  </si>
  <si>
    <t>The Total General and Common Depreciation Expense excludes any depreciation expense directly associated with a project and thereby included in page 2 column 9.</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</si>
  <si>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</si>
  <si>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RECB Projects and included in Attachment O – ATCLLC, Page 3, Line 1, Column 5.</t>
  </si>
  <si>
    <r>
      <t xml:space="preserve">Attachment MM - </t>
    </r>
    <r>
      <rPr>
        <sz val="10"/>
        <rFont val="Arial"/>
        <family val="2"/>
      </rPr>
      <t>ATCLLC</t>
    </r>
  </si>
  <si>
    <t>(inputs from Attachment O - ATCLLC are rounded to whole dollars)</t>
  </si>
  <si>
    <t>Attach O - ATCLLC, p 2, line 2a and 2b col 5 (Note A)</t>
  </si>
  <si>
    <t>Transmission Accumulated Depreciation</t>
  </si>
  <si>
    <t>Attach O - ATCLLC, p 2, line 8a and 8b col 5 (Note A)</t>
  </si>
  <si>
    <t>Line 1 minus Line 1a (Note B)</t>
  </si>
  <si>
    <t>O&amp;M TRANSMISSION EXPENSE</t>
  </si>
  <si>
    <t>Transmission O&amp;M</t>
  </si>
  <si>
    <t>Attach O - ATCLLC, p 3, line 1 col 5</t>
  </si>
  <si>
    <t>Preliminary and Survey Expense included in Attach O-</t>
  </si>
  <si>
    <t>3a1</t>
  </si>
  <si>
    <t>Less Preliminary Survey and Investigation Adjustment (Note I)</t>
  </si>
  <si>
    <t>ATCLLC, P 3, line 1 col 5</t>
  </si>
  <si>
    <t>Less: LSE Expenses included in above, if any</t>
  </si>
  <si>
    <t>Attach O - ATCLLC, p 3, line 1a col 5</t>
  </si>
  <si>
    <t>3c</t>
  </si>
  <si>
    <t>Less: Account 565 included in above, if any</t>
  </si>
  <si>
    <t>Attach O - ATCLLC, p 3, line 2 col 5</t>
  </si>
  <si>
    <t>3d</t>
  </si>
  <si>
    <t>Adjusted Transmission O&amp;M</t>
  </si>
  <si>
    <t>Line 3a minus Lines 3a1, 3b and 3c</t>
  </si>
  <si>
    <t>Annual Allocation Factor for Transmission O&amp;M</t>
  </si>
  <si>
    <t>(Line 3d divided by line 1a, col 3)</t>
  </si>
  <si>
    <t>OTHER O&amp;M EXPENSE</t>
  </si>
  <si>
    <t>4a</t>
  </si>
  <si>
    <t>Other O&amp;M Allocated to Transmission</t>
  </si>
  <si>
    <t>Line 3 minus Line 3d and 3a1</t>
  </si>
  <si>
    <t>4b</t>
  </si>
  <si>
    <t>Annual Allocation Factor for Other O&amp;M</t>
  </si>
  <si>
    <t>Line 4a divided by Line 1, col 3</t>
  </si>
  <si>
    <t>Annual Allocation Factor for Other Expense</t>
  </si>
  <si>
    <t>Sum of line 4b, 6, and 8</t>
  </si>
  <si>
    <t>Multi-Value Project (MVP) Revenue Requirement Calculation</t>
  </si>
  <si>
    <t>(6)</t>
  </si>
  <si>
    <t>(7)</t>
  </si>
  <si>
    <t>(8)</t>
  </si>
  <si>
    <t>(9)</t>
  </si>
  <si>
    <t>(10)</t>
  </si>
  <si>
    <t>(11)</t>
  </si>
  <si>
    <t>(12)</t>
  </si>
  <si>
    <t>(13)</t>
  </si>
  <si>
    <t>(13a)</t>
  </si>
  <si>
    <t>(14)</t>
  </si>
  <si>
    <t>(15)</t>
  </si>
  <si>
    <t>(16)</t>
  </si>
  <si>
    <t>Project Gross Plant</t>
  </si>
  <si>
    <t>Project Accumulated Depreciation</t>
  </si>
  <si>
    <t>Transmission O&amp;M Annual Allocation Factor</t>
  </si>
  <si>
    <t>Annual Allocation for Transmission O&amp;M Expense</t>
  </si>
  <si>
    <t>Other Expense Annual Allocation Factor</t>
  </si>
  <si>
    <t>Annual Allocation for Other Expense</t>
  </si>
  <si>
    <t>Preliminary Survey and Investigation Expenses</t>
  </si>
  <si>
    <t>MVP Annual Adjusted Revenue Requirement</t>
  </si>
  <si>
    <t>Page 1 line 4</t>
  </si>
  <si>
    <t>(Col 4 * Col 5)</t>
  </si>
  <si>
    <t>Page 1 line 9</t>
  </si>
  <si>
    <t>(Col 3 * Col 7)</t>
  </si>
  <si>
    <t>(Col 6 + Col 8)</t>
  </si>
  <si>
    <t>(Col 3 - Col 4)</t>
  </si>
  <si>
    <t>(Col 10 * Col 11)</t>
  </si>
  <si>
    <t>(Sum Col. 9, 12, 13 &amp; 13a)</t>
  </si>
  <si>
    <t>Sum Col. 14 &amp; 15
(Note G)</t>
  </si>
  <si>
    <t>Multi-Value Projects (MVP)</t>
  </si>
  <si>
    <t>1d</t>
  </si>
  <si>
    <t>1e</t>
  </si>
  <si>
    <t>1f</t>
  </si>
  <si>
    <t>1g</t>
  </si>
  <si>
    <t>1h</t>
  </si>
  <si>
    <t>1i</t>
  </si>
  <si>
    <t>1j</t>
  </si>
  <si>
    <t>1k</t>
  </si>
  <si>
    <t>1l</t>
  </si>
  <si>
    <t>1m</t>
  </si>
  <si>
    <t>1n</t>
  </si>
  <si>
    <t>1o</t>
  </si>
  <si>
    <t>1p</t>
  </si>
  <si>
    <t>1q</t>
  </si>
  <si>
    <t>1r</t>
  </si>
  <si>
    <t>1s</t>
  </si>
  <si>
    <t>1t</t>
  </si>
  <si>
    <t>1u</t>
  </si>
  <si>
    <t>1v</t>
  </si>
  <si>
    <t>1w</t>
  </si>
  <si>
    <t>1x</t>
  </si>
  <si>
    <t>MVP Total Annual Revenue Requirements</t>
  </si>
  <si>
    <r>
      <t xml:space="preserve">Gross Transmission Plant is that identified on page 2 lines 2a </t>
    </r>
    <r>
      <rPr>
        <sz val="10"/>
        <rFont val="Arial"/>
        <family val="2"/>
      </rPr>
      <t>and 2b of Attachment O- ATCLLC and is inclusive of any CWIP included in rate base.  Transmission Accumulated Depreciation comports with this Note A and Note B below.</t>
    </r>
  </si>
  <si>
    <r>
      <t>Net Transmission Plant is that identified on page 2 lines 14</t>
    </r>
    <r>
      <rPr>
        <sz val="10"/>
        <rFont val="Arial"/>
        <family val="2"/>
      </rPr>
      <t>a and 14b of Attachment O - ATCLLC and is inclusive of any CWIP included in rate base.</t>
    </r>
  </si>
  <si>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</si>
  <si>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</si>
  <si>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Note deliberately left blank.</t>
  </si>
  <si>
    <r>
      <t xml:space="preserve">Project Depreciation Expense is the actual value booked for the project and included in the Depreciation Expense in Attachment O - </t>
    </r>
    <r>
      <rPr>
        <sz val="10"/>
        <rFont val="Arial"/>
        <family val="2"/>
      </rPr>
      <t>ATCLLC page 3 line 12.</t>
    </r>
  </si>
  <si>
    <t>True-Up Adjustment is included pursuant to Attachment MM - ATCLLC Annual True-up Procedure.</t>
  </si>
  <si>
    <t>The MVP Annual Revenue Requirement is the value to be used in Schedule 26-A.</t>
  </si>
  <si>
    <t>The Total General and Common Depreciation Expense excludes any depreciation expense directly associated with a project and thereby included in page 2 column 13.</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</si>
  <si>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</si>
  <si>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</si>
  <si>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</si>
  <si>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</si>
  <si>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</si>
  <si>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</si>
  <si>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</si>
  <si>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</si>
  <si>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</si>
  <si>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</si>
  <si>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</si>
  <si>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</si>
  <si>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</si>
  <si>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</si>
  <si>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</si>
  <si>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</si>
  <si>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</si>
  <si>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</si>
  <si>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</si>
  <si>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</si>
  <si>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</si>
  <si>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 or Actual:</t>
  </si>
  <si>
    <t>True-Up Year:</t>
  </si>
  <si>
    <t>Rate Year:</t>
  </si>
  <si>
    <t>American Transmission Company</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</si>
  <si>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</si>
  <si>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</si>
  <si>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</si>
  <si>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</si>
  <si>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</si>
  <si>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</si>
  <si>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</si>
  <si>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</si>
  <si>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</si>
  <si>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</si>
  <si>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</si>
  <si>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</si>
  <si>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</si>
  <si>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</si>
  <si>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</si>
  <si>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</si>
  <si>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</si>
  <si>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</si>
  <si>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</si>
  <si>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</si>
  <si>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</si>
  <si>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</si>
  <si>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</si>
  <si>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</si>
  <si>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</si>
  <si>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</si>
  <si>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</si>
  <si>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</si>
  <si>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</si>
  <si>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November</t>
  </si>
  <si>
    <t>October</t>
  </si>
  <si>
    <t>September</t>
  </si>
  <si>
    <t xml:space="preserve">August </t>
  </si>
  <si>
    <t>July</t>
  </si>
  <si>
    <t>June</t>
  </si>
  <si>
    <t>May</t>
  </si>
  <si>
    <t>April</t>
  </si>
  <si>
    <t xml:space="preserve">March </t>
  </si>
  <si>
    <t>February</t>
  </si>
  <si>
    <t>Column (3)</t>
  </si>
  <si>
    <t>Gross Plant</t>
  </si>
  <si>
    <t>Reliability</t>
  </si>
  <si>
    <t>Allocation Type Per Attachment FF</t>
  </si>
  <si>
    <t>XYZ</t>
  </si>
  <si>
    <t>Pricing Zone</t>
  </si>
  <si>
    <t>Project 12</t>
  </si>
  <si>
    <t>Project 11</t>
  </si>
  <si>
    <t>Project 10</t>
  </si>
  <si>
    <t>Project 9</t>
  </si>
  <si>
    <t>Project 8</t>
  </si>
  <si>
    <t>Project 7</t>
  </si>
  <si>
    <t>Project 6</t>
  </si>
  <si>
    <t>Project 5</t>
  </si>
  <si>
    <t>Project 4</t>
  </si>
  <si>
    <t>MTEP Project ID</t>
  </si>
  <si>
    <t>ATC</t>
  </si>
  <si>
    <t>Reporting Company</t>
  </si>
  <si>
    <t xml:space="preserve">Rate Year </t>
  </si>
  <si>
    <t>Attachment GG - Supporting Data for Network Upgrade Charge Calculation - Forward Looking Rate Transmission Owner</t>
  </si>
  <si>
    <t>Column (14)</t>
  </si>
  <si>
    <t>Column (13)</t>
  </si>
  <si>
    <t>Column (10)</t>
  </si>
  <si>
    <t>MVP</t>
  </si>
  <si>
    <t>Attachment MM - Supporting Data for Network Upgrade Charge Calculation - Forward Looking Rate Transmission Owner</t>
  </si>
  <si>
    <t>Interest Accrual booked from July 2014 thru June 2016</t>
  </si>
  <si>
    <t>Actual</t>
  </si>
  <si>
    <t>For  the 12 months ended 12/31/2016</t>
  </si>
  <si>
    <t>For the 12 months ended 12/31/2016</t>
  </si>
  <si>
    <t>2014 Schedule 1 True Up Receiveable (Under Collection)</t>
  </si>
  <si>
    <t>Month</t>
  </si>
  <si>
    <t>Debt Amount</t>
  </si>
  <si>
    <t>Monthly Effective Rate</t>
  </si>
  <si>
    <t>Weighted Effective Rate</t>
  </si>
  <si>
    <t>Weighted Avg. ST Debt -Jan 2014</t>
  </si>
  <si>
    <t>Weighted Avg. ST Debt -Feb 2014</t>
  </si>
  <si>
    <t>Weighted Avg. ST Debt -Mar 2014</t>
  </si>
  <si>
    <t>Weighted Avg. ST Debt - Apr 2014</t>
  </si>
  <si>
    <t>Weighted Avg. ST Debt - May 2014</t>
  </si>
  <si>
    <t>Weighted Avg. ST Debt - June 2014</t>
  </si>
  <si>
    <t>Weighted Avg. ST Debt - July 2014</t>
  </si>
  <si>
    <t>Weighted Avg. ST Debt - Aug 2014</t>
  </si>
  <si>
    <t>Weighted Avg. ST Debt - Sept 2014</t>
  </si>
  <si>
    <t>Weighted Avg. ST Debt - Oct 2014</t>
  </si>
  <si>
    <t>Weighted Avg. ST Debt - Nov 2014</t>
  </si>
  <si>
    <t>Weighted Avg. ST Debt - Dec 2014</t>
  </si>
  <si>
    <t>Weighted Avg. ST Debt -Jan 2015</t>
  </si>
  <si>
    <t>Weighted Avg. ST Debt -Feb 2015</t>
  </si>
  <si>
    <t>Weighted Avg. ST Debt -Mar 2015</t>
  </si>
  <si>
    <t>Weighted Avg. ST Debt - Apr 2015</t>
  </si>
  <si>
    <t>Weighted Avg. ST Debt - May 2015</t>
  </si>
  <si>
    <t>Weighted Avg. ST Debt - June 2015</t>
  </si>
  <si>
    <t>Weighted Avg. ST Debt - July 2015</t>
  </si>
  <si>
    <t>Weighted Avg. ST Debt - Aug 2015</t>
  </si>
  <si>
    <t>Weighted Avg. ST Debt - Sept 2015</t>
  </si>
  <si>
    <t>Average ST Debt Rate</t>
  </si>
  <si>
    <t>Over Collected Amount</t>
  </si>
  <si>
    <t>Per Year</t>
  </si>
  <si>
    <t>Years</t>
  </si>
  <si>
    <t>Total Interest Due</t>
  </si>
  <si>
    <t>Total True-up</t>
  </si>
  <si>
    <t xml:space="preserve">Estimated Network Revenue Requirement True-up </t>
  </si>
  <si>
    <t>Total Network Revenue Requirement per Attachment O</t>
  </si>
  <si>
    <t>Network Billings</t>
  </si>
  <si>
    <t>For the Year Ended December 31, 2016</t>
  </si>
  <si>
    <t>2016 Over-collection</t>
  </si>
  <si>
    <t>Less:  True-up to be refunded in 2018</t>
  </si>
  <si>
    <t>True-up being refunded in 2017</t>
  </si>
  <si>
    <r>
      <t>Monthly</t>
    </r>
    <r>
      <rPr>
        <sz val="12"/>
        <rFont val="Arial"/>
        <family val="2"/>
      </rPr>
      <t xml:space="preserve"> FERC Interest Rate:</t>
    </r>
  </si>
  <si>
    <t>Avg.</t>
  </si>
  <si>
    <t>Avg. Monthly FERC Rate</t>
  </si>
  <si>
    <t>Per Month</t>
  </si>
  <si>
    <t>1st Qtr 2016</t>
  </si>
  <si>
    <t>2nd Qtr 2016</t>
  </si>
  <si>
    <t>3rd Qtr 2016</t>
  </si>
  <si>
    <t>X  12 months</t>
  </si>
  <si>
    <t>Amount being Refunded in 2017, Including Interest</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</si>
  <si>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</si>
  <si>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</si>
  <si>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</si>
  <si>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</si>
  <si>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</si>
  <si>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</si>
  <si>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</si>
  <si>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</si>
  <si>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</si>
  <si>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</si>
  <si>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</si>
  <si>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</si>
  <si>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</si>
  <si>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</si>
  <si>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</si>
  <si>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</si>
  <si>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</si>
  <si>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</si>
  <si>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</si>
  <si>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</si>
  <si>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Account 456.1 in Attachment O-ATCLLC</t>
  </si>
  <si>
    <t>FERC Form 1 300.22.b</t>
  </si>
  <si>
    <t>Attachment O-ATCLLC, Page 4, Line 34 (line (1) above)</t>
  </si>
  <si>
    <t>Attachment O-ATCLLC, Page 4, Line 35 (sum of lines (2) and (10)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</si>
  <si>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</si>
  <si>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</si>
  <si>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</si>
  <si>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</si>
  <si>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</si>
  <si>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</si>
  <si>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Attachment O-ATCLLC, Page 4, Line 37 (sum of lines (2) and (5) above)</t>
  </si>
  <si>
    <t>Reconciliation to Network True-up</t>
  </si>
  <si>
    <t>Attachment O revenue requirement</t>
  </si>
  <si>
    <t>Less:  2016 network billings</t>
  </si>
  <si>
    <t>2016 Attachment O true-up over-collection</t>
  </si>
  <si>
    <t>Computation of Average Deferred Tax Balances</t>
  </si>
  <si>
    <t>Month Ended</t>
  </si>
  <si>
    <t>Balance to Average</t>
  </si>
  <si>
    <t>Account 190</t>
  </si>
  <si>
    <t>Account 282</t>
  </si>
  <si>
    <t>Account 283</t>
  </si>
  <si>
    <t>Total 13 Month Average</t>
  </si>
  <si>
    <t>2016 Revenue Requirement and True-up</t>
  </si>
  <si>
    <t>Federal Rate</t>
  </si>
  <si>
    <t>Interest</t>
  </si>
  <si>
    <t>On September 28, 2016 FERC issued an order (docket EL14-12) setting the base ROE of ATC and other MISO Transmission owners to 10.32%</t>
  </si>
  <si>
    <t>effective on that date.  ATC and other MISO transmission owners were granted a 50-bp adder (approved by FERC in docket ER15-358) for participation in MISO.</t>
  </si>
  <si>
    <t>Computation of Average Annual Return on Common Equity (ROE)</t>
  </si>
  <si>
    <t>Therefore, ATC's all-in ROE was 12.2% from January 1, 2016 - September 27, 2016 and 10.82% from September 28, 2016 - December 31, 2016.  A computation</t>
  </si>
  <si>
    <t>of the weighted-average rate for 2016 is as follows:</t>
  </si>
  <si>
    <t>Jan. 1 - Sept. 27</t>
  </si>
  <si>
    <t>Sept. 28 - Dec. 31</t>
  </si>
  <si>
    <t>Calculation of Weighted Avg. Debt Rate</t>
  </si>
  <si>
    <t>Description</t>
  </si>
  <si>
    <t>Months O/S during year</t>
  </si>
  <si>
    <t>Weighted Debt Amount</t>
  </si>
  <si>
    <t>Eff. Rate**</t>
  </si>
  <si>
    <t>Weighted Rate</t>
  </si>
  <si>
    <t>Verfied against debt amortization tables</t>
  </si>
  <si>
    <t>12/02 $50.0 M Debt</t>
  </si>
  <si>
    <t>8/29/03 $70M &amp; 10/31/03 $30M Debt</t>
  </si>
  <si>
    <t>4/29/05 $40M &amp; 8/01/05 $60M Debt</t>
  </si>
  <si>
    <t>2/20/07 $75M Debt;5/01/07 $75M; 8/01/07 $100M</t>
  </si>
  <si>
    <t>4/30/08 $200M Debt</t>
  </si>
  <si>
    <t>3/16/09 $115M</t>
  </si>
  <si>
    <t>5/15/09 $35M</t>
  </si>
  <si>
    <t>2/1/10 $100M</t>
  </si>
  <si>
    <t>4/1/10 $50M</t>
  </si>
  <si>
    <t>12/15/10 $75M</t>
  </si>
  <si>
    <t>3/14/11 $75M</t>
  </si>
  <si>
    <t>3/14/11 $150M</t>
  </si>
  <si>
    <t>4/18/12 $150M</t>
  </si>
  <si>
    <t>1/22/14 $50M - 15yr</t>
  </si>
  <si>
    <t>1/22/14 $50M - 30yr</t>
  </si>
  <si>
    <t>12/11/14 $75M</t>
  </si>
  <si>
    <t>12/11/14 $29M</t>
  </si>
  <si>
    <t>12/11/14 $47M</t>
  </si>
  <si>
    <t>4/14/15 $50M</t>
  </si>
  <si>
    <t>4/14/15 $21M</t>
  </si>
  <si>
    <t>4/14/15 $28M</t>
  </si>
  <si>
    <t>Weighted Avg. ST Debt -Jan</t>
  </si>
  <si>
    <t>Weighted Avg. ST Debt -Feb</t>
  </si>
  <si>
    <t>Weighted Avg. ST Debt -Mar</t>
  </si>
  <si>
    <t>Weighted Avg. ST Debt - Apr</t>
  </si>
  <si>
    <t>Weighted Avg. ST Debt - May</t>
  </si>
  <si>
    <t>Weighted Avg. ST Debt - June</t>
  </si>
  <si>
    <t>Weighted Avg. ST Debt - July</t>
  </si>
  <si>
    <t>Weighted Avg. ST Debt - Aug</t>
  </si>
  <si>
    <t>Weighted Avg. ST Debt - Sept</t>
  </si>
  <si>
    <t>Weighted Avg. ST Debt - Oct</t>
  </si>
  <si>
    <t>Weighted Avg. ST Debt - Nov</t>
  </si>
  <si>
    <t>Weighted Avg. ST Debt - Dec</t>
  </si>
  <si>
    <t>11/15/16 $75M</t>
  </si>
  <si>
    <t>Werner West-Morgan</t>
  </si>
  <si>
    <t>Pleasant Valley - St. Lawrence</t>
  </si>
  <si>
    <t>Cranberry-Conover-Iron River-Plains</t>
  </si>
  <si>
    <t>Rockdale-W.Middleton 345kV</t>
  </si>
  <si>
    <t>G507-Cedar Ridge Wind Farm</t>
  </si>
  <si>
    <t>GIC706-H012 Glacier Hills Wind Park</t>
  </si>
  <si>
    <t>2452 / 3160</t>
  </si>
  <si>
    <t>2nd Kewaunee Xfr</t>
  </si>
  <si>
    <t>Straits Power Flow Controller</t>
  </si>
  <si>
    <t>G834 Interim Upgrades</t>
  </si>
  <si>
    <t>G833 Interim Upgrades</t>
  </si>
  <si>
    <t>Rebuild Arcadian - Waukesha 138kV lines</t>
  </si>
  <si>
    <t>Arnold Transformer</t>
  </si>
  <si>
    <t>G833/4 Long Term Solution</t>
  </si>
  <si>
    <t>Green Bay to Morgan 345 kV project and Menominee Co to Delta Co 138 kV line</t>
  </si>
  <si>
    <t>Lafayette County Wind GIC-J395 Falcon Substation &amp; Network Upgrades</t>
  </si>
  <si>
    <t>Lake Delton - Birchwood 138kV Line</t>
  </si>
  <si>
    <t>Horicon-East Beaver Dam 138kV Line</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</si>
  <si>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</si>
  <si>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</si>
  <si>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</si>
  <si>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</si>
  <si>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</si>
  <si>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</si>
  <si>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</si>
  <si>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</si>
  <si>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</si>
  <si>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</si>
  <si>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</si>
  <si>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</si>
  <si>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Attach O, p 3, lines 10 &amp; 11, col 5 (Note H)</t>
  </si>
  <si>
    <t>Attach O, p 3, line 20 col 5</t>
  </si>
  <si>
    <t>TOTIT</t>
  </si>
  <si>
    <t>Attach O, p 3, line 27 col 5</t>
  </si>
  <si>
    <t>Total income taxes</t>
  </si>
  <si>
    <t>Attach O, p 3, line 28 col 5</t>
  </si>
  <si>
    <t>Return</t>
  </si>
  <si>
    <t>Year</t>
  </si>
  <si>
    <r>
      <t xml:space="preserve">Revenue Received </t>
    </r>
    <r>
      <rPr>
        <b/>
        <vertAlign val="superscript"/>
        <sz val="12"/>
        <rFont val="Arial MT"/>
      </rPr>
      <t>4</t>
    </r>
  </si>
  <si>
    <t>Received</t>
  </si>
  <si>
    <t>True-up</t>
  </si>
  <si>
    <t>Interest Rate</t>
  </si>
  <si>
    <t xml:space="preserve">Annual Expense Factor </t>
  </si>
  <si>
    <t xml:space="preserve">Annual Return Factor </t>
  </si>
  <si>
    <t>C1</t>
  </si>
  <si>
    <t>C2</t>
  </si>
  <si>
    <t>C3</t>
  </si>
  <si>
    <t>C4</t>
  </si>
  <si>
    <t>C5</t>
  </si>
  <si>
    <t>C6</t>
  </si>
  <si>
    <t>C7</t>
  </si>
  <si>
    <t>C8</t>
  </si>
  <si>
    <t>I1</t>
  </si>
  <si>
    <t>I2</t>
  </si>
  <si>
    <t>I3</t>
  </si>
  <si>
    <t>I4</t>
  </si>
  <si>
    <t>I5</t>
  </si>
  <si>
    <t>I6</t>
  </si>
  <si>
    <t>I7</t>
  </si>
  <si>
    <t>I8</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</si>
  <si>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</si>
  <si>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</si>
  <si>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</si>
  <si>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</si>
  <si>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t>% of 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</si>
  <si>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</si>
  <si>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</si>
  <si>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</si>
  <si>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Lake Delton- Birchwood 138 kV line</t>
  </si>
  <si>
    <t>Horicon-East Beaver Dam 138 kV line</t>
  </si>
  <si>
    <t>Green Bay to Morgan project and Menominee Co to Delta Co 138 kV line/Green Bay-Morgan 138 kV line/Morgan-Plains 2nd 345 kV line/National 138 kV SVC</t>
  </si>
  <si>
    <t>Notes:</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</si>
  <si>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</si>
  <si>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</si>
  <si>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</si>
  <si>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</si>
  <si>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</si>
  <si>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</si>
  <si>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 xml:space="preserve">MTEP project 352 Correction (Cranberry-Conover-Iron River-Plains) </t>
  </si>
  <si>
    <t>Total Over Collection</t>
  </si>
  <si>
    <t>Interest Period</t>
  </si>
  <si>
    <t>Total True-up Correction</t>
  </si>
  <si>
    <t>Applicable Annual Quarter</t>
  </si>
  <si>
    <t>Annual Rate</t>
  </si>
  <si>
    <t>Monthly Rate</t>
  </si>
  <si>
    <t>First Quarter 2009</t>
  </si>
  <si>
    <t>Second Quarter 2009</t>
  </si>
  <si>
    <t>Third Quarter 2009</t>
  </si>
  <si>
    <t>Fourth Quarter 2009</t>
  </si>
  <si>
    <t>First Quarter 2010</t>
  </si>
  <si>
    <t>Second Quarter 2010</t>
  </si>
  <si>
    <t>Third Quarter 2010</t>
  </si>
  <si>
    <t>Fourth Quarter 2010</t>
  </si>
  <si>
    <t>First Quarter 2011</t>
  </si>
  <si>
    <t>Second Quarter 2011</t>
  </si>
  <si>
    <t>Third Quarter 2011</t>
  </si>
  <si>
    <t>Fourth Quarter 2011</t>
  </si>
  <si>
    <t>First Quarter 2012</t>
  </si>
  <si>
    <t>Second Quarter 2012</t>
  </si>
  <si>
    <t>Third Quarter 2012</t>
  </si>
  <si>
    <t>Fourth Quarter 2012</t>
  </si>
  <si>
    <t>First Quarter 2013</t>
  </si>
  <si>
    <t>Second Quarter 2013</t>
  </si>
  <si>
    <t>Third Quarter 2013</t>
  </si>
  <si>
    <t>Fourth Quarter 2013</t>
  </si>
  <si>
    <t>First Quarter 2014</t>
  </si>
  <si>
    <t>Second Quarter 2014</t>
  </si>
  <si>
    <t>Third Quarter 2014</t>
  </si>
  <si>
    <t>Fourth Quarter 2014</t>
  </si>
  <si>
    <t>First Quarter 2015</t>
  </si>
  <si>
    <t>Second Quarter 2015</t>
  </si>
  <si>
    <t>Third Quarter 2015</t>
  </si>
  <si>
    <t>Average FERC Rate</t>
  </si>
  <si>
    <t>Generation Interconnection Project (GIP) Depreciation Expense Correction</t>
  </si>
  <si>
    <t>Depreciation Expense Recovered in Rates</t>
  </si>
  <si>
    <t>1616 - G507-Cedar Ridge Wind Farm</t>
  </si>
  <si>
    <t>2452 / 3160 - GIC706-H012 Glacier Hills Wind Park</t>
  </si>
  <si>
    <t>2837 - G834 Interim Upgrades</t>
  </si>
  <si>
    <t>2793 - G833 Interim Upgrades</t>
  </si>
  <si>
    <t>Corrected Depreciation Expense - 50%</t>
  </si>
  <si>
    <t>Att. GG Over-collected</t>
  </si>
  <si>
    <t>Total Over-collected</t>
  </si>
  <si>
    <t>Interest on Att. GG</t>
  </si>
  <si>
    <t>Refund Amount</t>
  </si>
  <si>
    <t>Total Refund Amount</t>
  </si>
  <si>
    <t>Pleasant Prairie - Zion Energy Center 345 kV Line</t>
  </si>
  <si>
    <t>LaCrosse-Madison 345 kV - Dubuque Co - Spring Green 345 kV</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</si>
  <si>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</si>
  <si>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</si>
  <si>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</si>
  <si>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</si>
  <si>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</si>
  <si>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</si>
  <si>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</si>
  <si>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</si>
  <si>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</si>
  <si>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</si>
  <si>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</si>
  <si>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</si>
  <si>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</si>
  <si>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</si>
  <si>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</si>
  <si>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</si>
  <si>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</si>
  <si>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</si>
  <si>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</si>
  <si>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Revenue requirements were inadvertently recovered  under Attachment GG from 2009 through 2013 for MTEP project 352 for 3 lower-voltage transformers that were not eligible for regional cost sharing. The issue was corrected with the 2014 actual Attachment GG submitted to MISO and posted on OASIS on June 1, 2015. The over-collected amounts from 2009 through 2013 were refunded with interest to Schedule 26 customers over the 2016 rate period. The refunded amount of $4,551,407 is reflected in the amount in column 11 of ATC's 2016 actual Attachment GG corresponding to project 352.</t>
  </si>
  <si>
    <t>Revenue requirements calculated under Attachment GG for 2010 through 2014 inadvertently included 100% of depreciation expense relating to GIPs. Per Attachment FF, only 50% of GIP costs are recovered under Attachment GG. The over-collected amounts were refunded with interest to Schedule 26 customers over the 2016 rate period. The refunded amount for each GIP, as noted under the "Refund Amount" section shown below, is reflected in the amount in column 11 of ATC's 2016 actual Attachment GG for each corresponding GIP.</t>
  </si>
  <si>
    <t>(12.20% * 8/12 months)+((12.20%/12 months)*(27/30 days))</t>
  </si>
  <si>
    <t>((10.82%/12 months)*(3/30 days))+(10.82% * 3/12 months)</t>
  </si>
  <si>
    <t>CWIP in Rate Base Detail &amp; Reconciliation to FERC Form No. 1</t>
  </si>
  <si>
    <t>FERC Form No. 1 - Pg200, Line 11, Column c</t>
  </si>
  <si>
    <t>Account 107 Balance</t>
  </si>
  <si>
    <t>CWIP not in Rates</t>
  </si>
  <si>
    <t>CWIP in Rate Base</t>
  </si>
  <si>
    <t>13-month average for ratemaking</t>
  </si>
  <si>
    <t>CWIP in Rate Base Detail</t>
  </si>
  <si>
    <t>Green Bay - Morgan 345kV Construction</t>
  </si>
  <si>
    <t>Badger Coulee Lines</t>
  </si>
  <si>
    <t>Holmes - Escanaba New 138kV Line</t>
  </si>
  <si>
    <t>Cottage Grove Chiller Addition</t>
  </si>
  <si>
    <t>Line Y-32 Colley Rd - Brick Church Rebuild &amp; Uprate</t>
  </si>
  <si>
    <t>Line Y-17 Portage - Wautoma Rebuild</t>
  </si>
  <si>
    <t>Line K-115 Conversion</t>
  </si>
  <si>
    <t>Line Y-26 North Randolph - Ripon Reconfiguration</t>
  </si>
  <si>
    <t>Brillion Irons Works Distribution Interconnection</t>
  </si>
  <si>
    <t>DYKY21 Line Rebuild</t>
  </si>
  <si>
    <t>Point Beach Substation Relay and Disconnect</t>
  </si>
  <si>
    <t>System Operations Center Equipment Upgrade</t>
  </si>
  <si>
    <t>South Fond du Lac Breaker-Relay Upgrade</t>
  </si>
  <si>
    <t>Creakview Substation 138kV line</t>
  </si>
  <si>
    <t>6853 Butte Des Morts - North Appleton Rebuild</t>
  </si>
  <si>
    <t>Autrain 69kV Line-Re-Insulate-Asset Renewal and Rerate</t>
  </si>
  <si>
    <t>6950-Rerate-69kV (9Mile-Detour)</t>
  </si>
  <si>
    <t>Arnott Substation Transformer T31 Relay</t>
  </si>
  <si>
    <t>Dellwood New Ssubstation Breaker Capacitor Bank Distribution Interconnection</t>
  </si>
  <si>
    <t>Blaney Park Substation Reconfiguration</t>
  </si>
  <si>
    <t>Branch River Project</t>
  </si>
  <si>
    <t>Sunset Point T1 Replacement</t>
  </si>
  <si>
    <t>Beardsley St Substation Rebuild Station</t>
  </si>
  <si>
    <t>Esker View Transmission-Distribution Project</t>
  </si>
  <si>
    <t>Oak Creek - Pennsylvania Uprate</t>
  </si>
  <si>
    <t>6552 Sugar Creek University Uprate</t>
  </si>
  <si>
    <t>Montello Substation Breaker-Capacitor Bank Distribution Interconnection</t>
  </si>
  <si>
    <t>North Lake Geneva Distribution Interconnection</t>
  </si>
  <si>
    <t>Total monthly CWIP</t>
  </si>
  <si>
    <t>Annual network billing $577,832,449 + 2014 over-collection of $1,754,696 - Correction of prior billings of $4,399,578</t>
  </si>
  <si>
    <t>Calculation of Tax on Permanent Items</t>
  </si>
  <si>
    <t>Combined</t>
  </si>
  <si>
    <t>State Only</t>
  </si>
  <si>
    <t>Annual</t>
  </si>
  <si>
    <t>Permanent Items:</t>
  </si>
  <si>
    <t>Equity AFUDC Depr</t>
  </si>
  <si>
    <t>MN Tax</t>
  </si>
  <si>
    <t>Tax Rate</t>
  </si>
  <si>
    <t>Combined Excess</t>
  </si>
  <si>
    <t>Contributed Excess</t>
  </si>
  <si>
    <t>2014 Excess</t>
  </si>
  <si>
    <t>Currently Amortized</t>
  </si>
  <si>
    <t>Excess/(Shortage) Deferred</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</si>
  <si>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</si>
  <si>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</si>
  <si>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</si>
  <si>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</si>
  <si>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</si>
  <si>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</si>
  <si>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</si>
  <si>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</si>
  <si>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</si>
  <si>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</si>
  <si>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</si>
  <si>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</si>
  <si>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</si>
  <si>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</si>
  <si>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</si>
  <si>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</si>
  <si>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</si>
  <si>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</si>
  <si>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</si>
  <si>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</si>
  <si>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</si>
  <si>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</si>
  <si>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</si>
  <si>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</si>
  <si>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Member Income Tax Rates for Attachment O</t>
  </si>
  <si>
    <t>State Rate:</t>
  </si>
  <si>
    <t>Statutory</t>
  </si>
  <si>
    <t>ATC Apportionment Factor</t>
  </si>
  <si>
    <t>Apportioned Rate</t>
  </si>
  <si>
    <t>Wisconsin</t>
  </si>
  <si>
    <t>Minnesota</t>
  </si>
  <si>
    <t>Illinois</t>
  </si>
  <si>
    <t>Michigan</t>
  </si>
  <si>
    <t>North Carolina</t>
  </si>
  <si>
    <t>Apportionment formulas for states are not uniform, resulting in an aggregate apportionment that may not equal 100%</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</si>
  <si>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</si>
  <si>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</si>
  <si>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</si>
  <si>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</si>
  <si>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</si>
  <si>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</si>
  <si>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</si>
  <si>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</si>
  <si>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</si>
  <si>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</si>
  <si>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2016 Actual Results</t>
  </si>
  <si>
    <r>
      <rPr>
        <b/>
        <sz val="10"/>
        <rFont val="Arial"/>
        <family val="2"/>
      </rPr>
      <t>Note:</t>
    </r>
    <r>
      <rPr>
        <sz val="10"/>
        <rFont val="Arial"/>
      </rPr>
      <t xml:space="preserve">  Application of a weighted ROE (as calculated above) to the 2016 13-month average rate base has been vetted with MISO.</t>
    </r>
  </si>
  <si>
    <t>Total Combined</t>
  </si>
  <si>
    <t>2015 Excess</t>
  </si>
  <si>
    <t>Excess</t>
  </si>
  <si>
    <t>2016 Amortization Amount</t>
  </si>
  <si>
    <t>2037</t>
  </si>
  <si>
    <t>ISS Projects</t>
  </si>
  <si>
    <t>MINOR PROJECTS (less than $1M)</t>
  </si>
  <si>
    <t>13-month Avg.</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</si>
</sst>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0.000%"/>
    <numFmt numFmtId="171" formatCode="_(* #,##0_);_(* \(#,##0\);_(* &quot;-&quot;??_);_(@_)"/>
    <numFmt numFmtId="172" formatCode="#,##0.0"/>
    <numFmt numFmtId="173" formatCode="#,##0.0000"/>
    <numFmt numFmtId="174" formatCode="&quot;$&quot;#,##0"/>
    <numFmt numFmtId="175" formatCode="0_);\(0\)"/>
    <numFmt numFmtId="176" formatCode="_(&quot;$&quot;* #,##0_);_(&quot;$&quot;* \(#,##0\);_(&quot;$&quot;* &quot;-&quot;??_);_(@_)"/>
    <numFmt numFmtId="177" formatCode="&quot;$&quot;#,##0;\(&quot;$&quot;#,##0\)"/>
    <numFmt numFmtId="178" formatCode="0.0000%"/>
    <numFmt numFmtId="179" formatCode="[$-409]mmm\-yy;@"/>
    <numFmt numFmtId="180" formatCode="m/d/yy"/>
    <numFmt numFmtId="181" formatCode="0.00000%"/>
    <numFmt numFmtId="182" formatCode="0.000000%"/>
    <numFmt numFmtId="183" formatCode="0.0000000%"/>
    <numFmt numFmtId="184" formatCode="0.0%"/>
    <numFmt numFmtId="185" formatCode="[$-409]mmmm\ d\,\ yyyy;@"/>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12"/>
      <name val="Times New Roman"/>
      <family val="1"/>
    </font>
    <font>
      <b/>
      <i/>
      <sz val="12"/>
      <name val="Times New Roman"/>
      <family val="1"/>
    </font>
    <font>
      <strike/>
      <sz val="12"/>
      <color indexed="10"/>
      <name val="Times New Roman"/>
      <family val="1"/>
    </font>
    <font>
      <b/>
      <sz val="12"/>
      <name val="Times New Roman"/>
      <family val="1"/>
    </font>
    <font>
      <strike/>
      <sz val="12"/>
      <name val="Times New Roman"/>
      <family val="1"/>
    </font>
    <font>
      <sz val="12"/>
      <color indexed="10"/>
      <name val="Times New Roman"/>
      <family val="1"/>
    </font>
    <font>
      <b/>
      <sz val="12"/>
      <color indexed="10"/>
      <name val="Times New Roman"/>
      <family val="1"/>
    </font>
    <font>
      <sz val="12"/>
      <color rgb="FFFF0000"/>
      <name val="Times New Roman"/>
      <family val="1"/>
    </font>
    <font>
      <sz val="11"/>
      <color rgb="FFFF0000"/>
      <name val="Calibri"/>
      <family val="2"/>
      <scheme val="minor"/>
    </font>
    <font>
      <b/>
      <sz val="11"/>
      <color theme="1"/>
      <name val="Calibri"/>
      <family val="2"/>
      <scheme val="minor"/>
    </font>
    <font>
      <sz val="11"/>
      <color theme="0"/>
      <name val="Calibri"/>
      <family val="2"/>
      <scheme val="minor"/>
    </font>
    <font>
      <sz val="12"/>
      <name val="Arial"/>
      <family val="2"/>
    </font>
    <font>
      <sz val="12"/>
      <color indexed="17"/>
      <name val="Arial MT"/>
    </font>
    <font>
      <b/>
      <sz val="12"/>
      <name val="Arial"/>
      <family val="2"/>
    </font>
    <font>
      <b/>
      <sz val="12"/>
      <name val="Arial MT"/>
    </font>
    <font>
      <b/>
      <u/>
      <sz val="12"/>
      <name val="Arial MT"/>
    </font>
    <font>
      <sz val="12"/>
      <color rgb="FFFF0000"/>
      <name val="Arial MT"/>
    </font>
    <font>
      <sz val="11"/>
      <name val="Calibri"/>
      <family val="2"/>
      <scheme val="minor"/>
    </font>
    <font>
      <sz val="12"/>
      <color indexed="10"/>
      <name val="Arial MT"/>
    </font>
    <font>
      <sz val="10"/>
      <name val="Arial MT"/>
    </font>
    <font>
      <sz val="10"/>
      <color rgb="FFFF0000"/>
      <name val="Arial MT"/>
    </font>
    <font>
      <u/>
      <sz val="12"/>
      <name val="Arial"/>
      <family val="2"/>
    </font>
    <font>
      <sz val="12"/>
      <color rgb="FFFF0000"/>
      <name val="Arial"/>
      <family val="2"/>
    </font>
    <font>
      <sz val="12"/>
      <color indexed="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0"/>
      <name val="Arial Narrow"/>
      <family val="2"/>
    </font>
    <font>
      <i/>
      <sz val="10"/>
      <color rgb="FFFF0000"/>
      <name val="Arial"/>
      <family val="2"/>
    </font>
    <font>
      <b/>
      <sz val="10"/>
      <name val="Arial"/>
      <family val="2"/>
    </font>
    <font>
      <b/>
      <sz val="10"/>
      <color indexed="9"/>
      <name val="Arial MT"/>
    </font>
    <font>
      <b/>
      <sz val="10"/>
      <color indexed="9"/>
      <name val="Arial"/>
      <family val="2"/>
    </font>
    <font>
      <sz val="14"/>
      <name val="Arial"/>
      <family val="2"/>
    </font>
    <font>
      <b/>
      <sz val="14"/>
      <name val="Arial"/>
      <family val="2"/>
    </font>
    <font>
      <b/>
      <sz val="10"/>
      <color rgb="FFFF0000"/>
      <name val="Arial"/>
      <family val="2"/>
    </font>
    <font>
      <b/>
      <sz val="11"/>
      <name val="Calibri"/>
      <family val="2"/>
      <scheme val="minor"/>
    </font>
    <font>
      <sz val="10"/>
      <name val="Arial"/>
      <family val="2"/>
    </font>
    <font>
      <sz val="10"/>
      <color theme="1"/>
      <name val="Arial"/>
      <family val="2"/>
    </font>
    <font>
      <sz val="10"/>
      <color rgb="FFFF0000"/>
      <name val="Arial"/>
      <family val="2"/>
    </font>
    <font>
      <sz val="11"/>
      <color theme="1"/>
      <name val="Arial"/>
      <family val="2"/>
    </font>
    <font>
      <sz val="12"/>
      <color theme="1"/>
      <name val="Arial"/>
      <family val="2"/>
    </font>
    <font>
      <b/>
      <u/>
      <sz val="10"/>
      <name val="Arial"/>
      <family val="2"/>
    </font>
    <font>
      <sz val="8"/>
      <name val="Arial"/>
      <family val="2"/>
    </font>
    <font>
      <sz val="9"/>
      <name val="Arial"/>
      <family val="2"/>
    </font>
    <font>
      <u/>
      <sz val="10"/>
      <name val="Arial"/>
      <family val="2"/>
    </font>
    <font>
      <sz val="8"/>
      <color indexed="12"/>
      <name val="Arial"/>
      <family val="2"/>
    </font>
    <font>
      <b/>
      <sz val="10"/>
      <color theme="0"/>
      <name val="Arial MT"/>
    </font>
    <font>
      <b/>
      <vertAlign val="superscript"/>
      <sz val="12"/>
      <name val="Arial MT"/>
    </font>
    <font>
      <vertAlign val="superscript"/>
      <sz val="12"/>
      <name val="Arial"/>
      <family val="2"/>
    </font>
    <font>
      <u/>
      <sz val="1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i/>
      <sz val="10"/>
      <color theme="1"/>
      <name val="Arial"/>
      <family val="2"/>
    </font>
    <font>
      <vertAlign val="superscript"/>
      <sz val="12"/>
      <name val="Arial MT"/>
    </font>
  </fonts>
  <fills count="12">
    <fill>
      <patternFill patternType="none"/>
    </fill>
    <fill>
      <patternFill patternType="gray125"/>
    </fill>
    <fill>
      <patternFill patternType="solid">
        <fgColor indexed="43"/>
        <bgColor indexed="64"/>
      </patternFill>
    </fill>
    <fill>
      <patternFill patternType="solid">
        <fgColor theme="8"/>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theme="0" tint="-0.14999847407452621"/>
        <bgColor indexed="64"/>
      </patternFill>
    </fill>
  </fills>
  <borders count="22">
    <border>
      <left/>
      <right/>
      <top/>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theme="0"/>
      </bottom>
      <diagonal/>
    </border>
    <border>
      <left/>
      <right/>
      <top/>
      <bottom style="thin">
        <color theme="0"/>
      </bottom>
      <diagonal/>
    </border>
    <border>
      <left/>
      <right/>
      <top style="thin">
        <color indexed="64"/>
      </top>
      <bottom style="medium">
        <color indexed="64"/>
      </bottom>
      <diagonal/>
    </border>
    <border>
      <left/>
      <right/>
      <top style="thin">
        <color indexed="64"/>
      </top>
      <bottom style="double">
        <color indexed="64"/>
      </bottom>
      <diagonal/>
    </border>
  </borders>
  <cellStyleXfs count="43">
    <xf numFmtId="0" fontId="0" fillId="0" borderId="0"/>
    <xf numFmtId="43" fontId="5" fillId="0" borderId="0" applyFont="0" applyFill="0" applyBorder="0" applyAlignment="0" applyProtection="0"/>
    <xf numFmtId="164" fontId="6" fillId="0" borderId="0" applyProtection="0"/>
    <xf numFmtId="0" fontId="17" fillId="3" borderId="0" applyNumberFormat="0" applyBorder="0" applyAlignment="0" applyProtection="0"/>
    <xf numFmtId="164" fontId="6" fillId="0" borderId="0" applyProtection="0"/>
    <xf numFmtId="164" fontId="6" fillId="0" borderId="0" applyProtection="0"/>
    <xf numFmtId="9" fontId="5" fillId="0" borderId="0" applyFont="0" applyFill="0" applyBorder="0" applyAlignment="0" applyProtection="0"/>
    <xf numFmtId="164" fontId="6" fillId="0" borderId="0" applyProtection="0"/>
    <xf numFmtId="44" fontId="5" fillId="0" borderId="0" applyFont="0" applyFill="0" applyBorder="0" applyAlignment="0" applyProtection="0"/>
    <xf numFmtId="0" fontId="31" fillId="0" borderId="0"/>
    <xf numFmtId="0" fontId="5" fillId="0" borderId="0"/>
    <xf numFmtId="0" fontId="36" fillId="0" borderId="0">
      <alignment vertical="top"/>
    </xf>
    <xf numFmtId="0" fontId="5" fillId="0" borderId="0"/>
    <xf numFmtId="44" fontId="5" fillId="0" borderId="0" applyFont="0" applyFill="0" applyBorder="0" applyAlignment="0" applyProtection="0"/>
    <xf numFmtId="164" fontId="6" fillId="0" borderId="0" applyProtection="0"/>
    <xf numFmtId="0" fontId="36" fillId="0" borderId="0">
      <alignment vertical="top"/>
    </xf>
    <xf numFmtId="0" fontId="5" fillId="0" borderId="0"/>
    <xf numFmtId="0" fontId="5" fillId="0" borderId="0"/>
    <xf numFmtId="0" fontId="4" fillId="0" borderId="0"/>
    <xf numFmtId="0" fontId="5" fillId="0" borderId="0"/>
    <xf numFmtId="0" fontId="4" fillId="0" borderId="0"/>
    <xf numFmtId="43" fontId="5" fillId="0" borderId="0" applyFont="0" applyFill="0" applyBorder="0" applyAlignment="0" applyProtection="0"/>
    <xf numFmtId="9" fontId="4" fillId="0" borderId="0" applyFont="0" applyFill="0" applyBorder="0" applyAlignment="0" applyProtection="0"/>
    <xf numFmtId="44" fontId="45" fillId="0" borderId="0" applyFont="0" applyFill="0" applyBorder="0" applyAlignment="0" applyProtection="0"/>
    <xf numFmtId="9" fontId="4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 fillId="0" borderId="0"/>
    <xf numFmtId="9" fontId="5" fillId="0" borderId="0" applyFont="0" applyFill="0" applyBorder="0" applyAlignment="0" applyProtection="0"/>
    <xf numFmtId="0" fontId="5" fillId="0" borderId="0"/>
    <xf numFmtId="0" fontId="5" fillId="0" borderId="0"/>
    <xf numFmtId="0" fontId="5" fillId="0" borderId="0"/>
    <xf numFmtId="164" fontId="6" fillId="0" borderId="0" applyProtection="0"/>
    <xf numFmtId="164" fontId="6" fillId="0" borderId="0" applyProtection="0"/>
    <xf numFmtId="0" fontId="3" fillId="0" borderId="0"/>
    <xf numFmtId="0" fontId="3" fillId="0" borderId="0"/>
    <xf numFmtId="0" fontId="3" fillId="0" borderId="0"/>
    <xf numFmtId="41" fontId="5" fillId="0" borderId="0" applyFont="0" applyFill="0" applyBorder="0" applyAlignment="0" applyProtection="0"/>
    <xf numFmtId="0" fontId="5" fillId="0" borderId="0"/>
    <xf numFmtId="0" fontId="5" fillId="0" borderId="0"/>
    <xf numFmtId="0" fontId="5" fillId="0" borderId="0"/>
    <xf numFmtId="0" fontId="1" fillId="0" borderId="0"/>
    <xf numFmtId="43" fontId="1" fillId="0" borderId="0" applyFont="0" applyFill="0" applyBorder="0" applyAlignment="0" applyProtection="0"/>
  </cellStyleXfs>
  <cellXfs count="999">
    <xf numFmtId="0" fontId="0" fillId="0" borderId="0" xfId="0"/>
    <xf numFmtId="0" fontId="7" fillId="0" borderId="0" xfId="2" applyNumberFormat="1" applyFont="1" applyAlignment="1" applyProtection="1">
      <alignment horizontal="center"/>
      <protection locked="0"/>
    </xf>
    <xf numFmtId="0" fontId="7" fillId="0" borderId="0" xfId="2" applyNumberFormat="1" applyFont="1" applyFill="1" applyAlignment="1" applyProtection="1">
      <alignment horizontal="center"/>
      <protection locked="0"/>
    </xf>
    <xf numFmtId="3" fontId="7" fillId="0" borderId="0" xfId="2" applyNumberFormat="1" applyFont="1" applyFill="1" applyAlignment="1">
      <alignment horizontal="center"/>
    </xf>
    <xf numFmtId="0" fontId="7" fillId="0" borderId="0" xfId="0" applyFont="1" applyAlignment="1"/>
    <xf numFmtId="0" fontId="7" fillId="0" borderId="0" xfId="0" applyNumberFormat="1" applyFont="1" applyAlignment="1"/>
    <xf numFmtId="0" fontId="7" fillId="0" borderId="0" xfId="0" applyNumberFormat="1" applyFont="1"/>
    <xf numFmtId="0" fontId="7" fillId="0" borderId="0" xfId="0" applyNumberFormat="1" applyFont="1" applyAlignment="1">
      <alignment horizontal="center"/>
    </xf>
    <xf numFmtId="0" fontId="7" fillId="0" borderId="0" xfId="0" applyFont="1"/>
    <xf numFmtId="0" fontId="7" fillId="0" borderId="0" xfId="0" applyFont="1" applyAlignment="1">
      <alignment horizontal="right"/>
    </xf>
    <xf numFmtId="164" fontId="7" fillId="0" borderId="0" xfId="2" applyFont="1" applyAlignment="1"/>
    <xf numFmtId="0" fontId="7" fillId="0" borderId="0" xfId="2" applyNumberFormat="1" applyFont="1" applyAlignment="1" applyProtection="1">
      <protection locked="0"/>
    </xf>
    <xf numFmtId="0" fontId="7" fillId="0" borderId="0" xfId="2" applyNumberFormat="1" applyFont="1" applyAlignment="1" applyProtection="1">
      <alignment horizontal="left"/>
      <protection locked="0"/>
    </xf>
    <xf numFmtId="0" fontId="7" fillId="0" borderId="0" xfId="2" applyNumberFormat="1" applyFont="1" applyProtection="1">
      <protection locked="0"/>
    </xf>
    <xf numFmtId="0" fontId="7" fillId="2" borderId="0" xfId="2" applyNumberFormat="1" applyFont="1" applyFill="1"/>
    <xf numFmtId="0" fontId="7" fillId="0" borderId="0" xfId="2" applyNumberFormat="1" applyFont="1"/>
    <xf numFmtId="3" fontId="7" fillId="0" borderId="0" xfId="2" applyNumberFormat="1" applyFont="1" applyAlignment="1"/>
    <xf numFmtId="0" fontId="8" fillId="0" borderId="0" xfId="2" applyNumberFormat="1" applyFont="1"/>
    <xf numFmtId="49" fontId="7" fillId="0" borderId="0" xfId="2" applyNumberFormat="1" applyFont="1" applyAlignment="1">
      <alignment horizontal="center"/>
    </xf>
    <xf numFmtId="49" fontId="7" fillId="0" borderId="0" xfId="2" applyNumberFormat="1" applyFont="1"/>
    <xf numFmtId="0" fontId="7" fillId="0" borderId="1" xfId="2" applyNumberFormat="1" applyFont="1" applyBorder="1" applyAlignment="1" applyProtection="1">
      <alignment horizontal="center"/>
      <protection locked="0"/>
    </xf>
    <xf numFmtId="3" fontId="7" fillId="0" borderId="0" xfId="2" applyNumberFormat="1" applyFont="1"/>
    <xf numFmtId="42" fontId="7" fillId="0" borderId="0" xfId="0" applyNumberFormat="1" applyFont="1"/>
    <xf numFmtId="0" fontId="7" fillId="0" borderId="0" xfId="2" applyNumberFormat="1" applyFont="1" applyAlignment="1"/>
    <xf numFmtId="3" fontId="7" fillId="0" borderId="0" xfId="2" applyNumberFormat="1" applyFont="1" applyFill="1" applyAlignment="1"/>
    <xf numFmtId="0" fontId="7" fillId="0" borderId="1" xfId="2" applyNumberFormat="1" applyFont="1" applyBorder="1" applyAlignment="1" applyProtection="1">
      <alignment horizontal="centerContinuous"/>
      <protection locked="0"/>
    </xf>
    <xf numFmtId="165" fontId="7" fillId="0" borderId="0" xfId="0" applyNumberFormat="1" applyFont="1" applyAlignment="1"/>
    <xf numFmtId="3" fontId="7" fillId="0" borderId="0" xfId="0" applyNumberFormat="1" applyFont="1" applyAlignment="1"/>
    <xf numFmtId="3" fontId="7" fillId="0" borderId="0" xfId="2" applyNumberFormat="1" applyFont="1" applyFill="1" applyBorder="1"/>
    <xf numFmtId="3" fontId="7" fillId="2" borderId="0" xfId="2" applyNumberFormat="1" applyFont="1" applyFill="1" applyAlignment="1"/>
    <xf numFmtId="3" fontId="7" fillId="0" borderId="1" xfId="0" applyNumberFormat="1" applyFont="1" applyBorder="1" applyAlignment="1"/>
    <xf numFmtId="3" fontId="7" fillId="0" borderId="0" xfId="2" applyNumberFormat="1" applyFont="1" applyAlignment="1">
      <alignment horizontal="fill"/>
    </xf>
    <xf numFmtId="165" fontId="7" fillId="0" borderId="0" xfId="2" applyNumberFormat="1" applyFont="1" applyAlignment="1"/>
    <xf numFmtId="42" fontId="7" fillId="0" borderId="2" xfId="2" applyNumberFormat="1" applyFont="1" applyBorder="1" applyAlignment="1" applyProtection="1">
      <alignment horizontal="right"/>
      <protection locked="0"/>
    </xf>
    <xf numFmtId="0" fontId="7" fillId="0" borderId="0" xfId="2" applyNumberFormat="1" applyFont="1" applyFill="1" applyProtection="1">
      <protection locked="0"/>
    </xf>
    <xf numFmtId="3" fontId="7" fillId="2" borderId="0" xfId="2" applyNumberFormat="1" applyFont="1" applyFill="1"/>
    <xf numFmtId="3" fontId="7" fillId="2" borderId="0" xfId="2" applyNumberFormat="1" applyFont="1" applyFill="1" applyBorder="1"/>
    <xf numFmtId="3" fontId="7" fillId="2" borderId="1" xfId="2" applyNumberFormat="1" applyFont="1" applyFill="1" applyBorder="1"/>
    <xf numFmtId="166" fontId="7" fillId="0" borderId="0" xfId="0" applyNumberFormat="1" applyFont="1"/>
    <xf numFmtId="166" fontId="7" fillId="0" borderId="0" xfId="2" applyNumberFormat="1" applyFont="1"/>
    <xf numFmtId="166" fontId="7" fillId="0" borderId="0" xfId="2" applyNumberFormat="1" applyFont="1" applyAlignment="1">
      <alignment horizontal="center"/>
    </xf>
    <xf numFmtId="164" fontId="7" fillId="0" borderId="0" xfId="2" applyFont="1" applyAlignment="1">
      <alignment horizontal="center"/>
    </xf>
    <xf numFmtId="0" fontId="7" fillId="0" borderId="0" xfId="2" applyNumberFormat="1" applyFont="1" applyAlignment="1">
      <alignment horizontal="left"/>
    </xf>
    <xf numFmtId="167" fontId="7" fillId="0" borderId="0" xfId="0" applyNumberFormat="1" applyFont="1" applyAlignment="1"/>
    <xf numFmtId="167" fontId="7" fillId="2" borderId="0" xfId="2" applyNumberFormat="1" applyFont="1" applyFill="1" applyProtection="1">
      <protection locked="0"/>
    </xf>
    <xf numFmtId="167" fontId="7" fillId="0" borderId="0" xfId="2" applyNumberFormat="1" applyFont="1" applyProtection="1">
      <protection locked="0"/>
    </xf>
    <xf numFmtId="168" fontId="7" fillId="0" borderId="0" xfId="2" applyNumberFormat="1" applyFont="1"/>
    <xf numFmtId="0" fontId="7" fillId="0" borderId="0" xfId="2" applyNumberFormat="1" applyFont="1" applyAlignment="1">
      <alignment horizontal="right"/>
    </xf>
    <xf numFmtId="3" fontId="7" fillId="0" borderId="0" xfId="2" applyNumberFormat="1" applyFont="1" applyAlignment="1">
      <alignment horizontal="center"/>
    </xf>
    <xf numFmtId="0" fontId="7" fillId="0" borderId="0" xfId="2" applyNumberFormat="1" applyFont="1" applyAlignment="1">
      <alignment horizontal="center"/>
    </xf>
    <xf numFmtId="49" fontId="7" fillId="0" borderId="0" xfId="2" applyNumberFormat="1" applyFont="1" applyAlignment="1">
      <alignment horizontal="left"/>
    </xf>
    <xf numFmtId="3" fontId="10" fillId="0" borderId="0" xfId="2" applyNumberFormat="1" applyFont="1" applyAlignment="1">
      <alignment horizontal="center"/>
    </xf>
    <xf numFmtId="0" fontId="10" fillId="0" borderId="0" xfId="2" applyNumberFormat="1" applyFont="1" applyAlignment="1" applyProtection="1">
      <alignment horizontal="center"/>
      <protection locked="0"/>
    </xf>
    <xf numFmtId="164" fontId="10" fillId="0" borderId="0" xfId="2" applyFont="1" applyAlignment="1">
      <alignment horizontal="center"/>
    </xf>
    <xf numFmtId="3" fontId="10" fillId="0" borderId="0" xfId="2" applyNumberFormat="1" applyFont="1" applyAlignment="1"/>
    <xf numFmtId="0" fontId="10" fillId="0" borderId="0" xfId="2" applyNumberFormat="1" applyFont="1" applyAlignment="1"/>
    <xf numFmtId="169" fontId="7" fillId="0" borderId="0" xfId="2" applyNumberFormat="1" applyFont="1" applyAlignment="1"/>
    <xf numFmtId="169" fontId="7" fillId="0" borderId="0" xfId="0" applyNumberFormat="1" applyFont="1" applyAlignment="1"/>
    <xf numFmtId="3" fontId="7" fillId="2" borderId="1" xfId="2" applyNumberFormat="1" applyFont="1" applyFill="1" applyBorder="1" applyAlignment="1"/>
    <xf numFmtId="170" fontId="7" fillId="0" borderId="0" xfId="0" applyNumberFormat="1" applyFont="1" applyAlignment="1">
      <alignment horizontal="center"/>
    </xf>
    <xf numFmtId="170" fontId="7" fillId="0" borderId="0" xfId="2" applyNumberFormat="1" applyFont="1" applyAlignment="1">
      <alignment horizontal="center"/>
    </xf>
    <xf numFmtId="3" fontId="7" fillId="2" borderId="0" xfId="1" applyNumberFormat="1" applyFont="1" applyFill="1" applyAlignment="1"/>
    <xf numFmtId="3" fontId="7" fillId="0" borderId="0" xfId="1" applyNumberFormat="1" applyFont="1" applyAlignment="1"/>
    <xf numFmtId="0" fontId="7" fillId="0" borderId="0" xfId="2" applyNumberFormat="1" applyFont="1" applyAlignment="1">
      <alignment horizontal="fill"/>
    </xf>
    <xf numFmtId="169" fontId="7" fillId="0" borderId="0" xfId="0" applyNumberFormat="1" applyFont="1" applyFill="1" applyAlignment="1">
      <alignment horizontal="right"/>
    </xf>
    <xf numFmtId="3" fontId="7" fillId="2" borderId="0" xfId="1" applyNumberFormat="1" applyFont="1" applyFill="1" applyBorder="1" applyAlignment="1"/>
    <xf numFmtId="3" fontId="7" fillId="2" borderId="0" xfId="2" applyNumberFormat="1" applyFont="1" applyFill="1" applyBorder="1" applyAlignment="1"/>
    <xf numFmtId="171" fontId="7" fillId="0" borderId="0" xfId="1" applyNumberFormat="1" applyFont="1" applyAlignment="1"/>
    <xf numFmtId="164" fontId="7" fillId="0" borderId="1" xfId="2" applyFont="1" applyBorder="1" applyAlignment="1"/>
    <xf numFmtId="3" fontId="7" fillId="0" borderId="2" xfId="0" applyNumberFormat="1" applyFont="1" applyBorder="1" applyAlignment="1"/>
    <xf numFmtId="3" fontId="7" fillId="0" borderId="0" xfId="0" applyNumberFormat="1" applyFont="1" applyBorder="1" applyAlignment="1"/>
    <xf numFmtId="3" fontId="7" fillId="0" borderId="0" xfId="0" applyNumberFormat="1" applyFont="1" applyFill="1" applyAlignment="1">
      <alignment horizontal="right"/>
    </xf>
    <xf numFmtId="3" fontId="7" fillId="0" borderId="0" xfId="2" applyNumberFormat="1" applyFont="1" applyAlignment="1">
      <alignment horizontal="right"/>
    </xf>
    <xf numFmtId="0" fontId="7" fillId="0" borderId="0" xfId="2" applyNumberFormat="1" applyFont="1" applyFill="1" applyAlignment="1"/>
    <xf numFmtId="172" fontId="7" fillId="0" borderId="0" xfId="2" applyNumberFormat="1" applyFont="1" applyFill="1" applyAlignment="1">
      <alignment horizontal="left"/>
    </xf>
    <xf numFmtId="169" fontId="7" fillId="0" borderId="0" xfId="0" applyNumberFormat="1" applyFont="1" applyFill="1" applyAlignment="1"/>
    <xf numFmtId="165" fontId="7" fillId="0" borderId="0" xfId="0" applyNumberFormat="1" applyFont="1" applyFill="1" applyAlignment="1">
      <alignment horizontal="right"/>
    </xf>
    <xf numFmtId="165" fontId="7" fillId="0" borderId="0" xfId="2" applyNumberFormat="1" applyFont="1" applyAlignment="1">
      <alignment horizontal="center"/>
    </xf>
    <xf numFmtId="170" fontId="7" fillId="0" borderId="0" xfId="2" applyNumberFormat="1" applyFont="1" applyAlignment="1">
      <alignment horizontal="left"/>
    </xf>
    <xf numFmtId="10" fontId="7" fillId="0" borderId="0" xfId="0" applyNumberFormat="1" applyFont="1" applyFill="1" applyAlignment="1">
      <alignment horizontal="right"/>
    </xf>
    <xf numFmtId="168" fontId="7" fillId="0" borderId="0" xfId="0" applyNumberFormat="1" applyFont="1" applyFill="1" applyAlignment="1">
      <alignment horizontal="right"/>
    </xf>
    <xf numFmtId="171" fontId="7" fillId="0" borderId="0" xfId="1" applyNumberFormat="1" applyFont="1" applyBorder="1" applyAlignment="1"/>
    <xf numFmtId="10" fontId="7" fillId="0" borderId="0" xfId="2" applyNumberFormat="1" applyFont="1" applyAlignment="1">
      <alignment horizontal="left"/>
    </xf>
    <xf numFmtId="3" fontId="7" fillId="0" borderId="0" xfId="2" applyNumberFormat="1" applyFont="1" applyAlignment="1">
      <alignment horizontal="left"/>
    </xf>
    <xf numFmtId="170" fontId="7" fillId="0" borderId="0" xfId="2" applyNumberFormat="1" applyFont="1" applyAlignment="1" applyProtection="1">
      <alignment horizontal="left"/>
      <protection locked="0"/>
    </xf>
    <xf numFmtId="173" fontId="7" fillId="0" borderId="0" xfId="2" applyNumberFormat="1" applyFont="1" applyAlignment="1"/>
    <xf numFmtId="165" fontId="7" fillId="0" borderId="0" xfId="0" applyNumberFormat="1" applyFont="1" applyAlignment="1">
      <alignment horizontal="center"/>
    </xf>
    <xf numFmtId="0" fontId="7" fillId="0" borderId="0" xfId="2" applyNumberFormat="1" applyFont="1" applyFill="1" applyAlignment="1" applyProtection="1">
      <protection locked="0"/>
    </xf>
    <xf numFmtId="0" fontId="7" fillId="0" borderId="0" xfId="2" applyNumberFormat="1" applyFont="1" applyFill="1"/>
    <xf numFmtId="164" fontId="7" fillId="0" borderId="0" xfId="2" applyFont="1" applyFill="1" applyAlignment="1"/>
    <xf numFmtId="3" fontId="7" fillId="0" borderId="0" xfId="0" applyNumberFormat="1" applyFont="1" applyFill="1" applyAlignment="1"/>
    <xf numFmtId="0" fontId="7" fillId="0" borderId="1" xfId="2" applyNumberFormat="1" applyFont="1" applyFill="1" applyBorder="1"/>
    <xf numFmtId="49" fontId="7" fillId="0" borderId="0" xfId="2" applyNumberFormat="1" applyFont="1" applyFill="1"/>
    <xf numFmtId="49" fontId="7" fillId="0" borderId="0" xfId="2" applyNumberFormat="1" applyFont="1" applyFill="1" applyAlignment="1"/>
    <xf numFmtId="49" fontId="7" fillId="0" borderId="0" xfId="2" applyNumberFormat="1" applyFont="1" applyFill="1" applyAlignment="1">
      <alignment horizontal="center"/>
    </xf>
    <xf numFmtId="0" fontId="7" fillId="0" borderId="0" xfId="2" applyNumberFormat="1" applyFont="1" applyFill="1" applyAlignment="1">
      <alignment horizontal="center"/>
    </xf>
    <xf numFmtId="169" fontId="7" fillId="0" borderId="0" xfId="0" applyNumberFormat="1" applyFont="1" applyFill="1"/>
    <xf numFmtId="165" fontId="7" fillId="0" borderId="0" xfId="0" applyNumberFormat="1" applyFont="1" applyFill="1"/>
    <xf numFmtId="3" fontId="7" fillId="0" borderId="1" xfId="2" applyNumberFormat="1" applyFont="1" applyBorder="1" applyAlignment="1"/>
    <xf numFmtId="3" fontId="7" fillId="0" borderId="1" xfId="2" applyNumberFormat="1" applyFont="1" applyBorder="1" applyAlignment="1">
      <alignment horizontal="center"/>
    </xf>
    <xf numFmtId="4" fontId="7" fillId="0" borderId="0" xfId="2" applyNumberFormat="1" applyFont="1" applyAlignment="1"/>
    <xf numFmtId="4" fontId="7" fillId="0" borderId="0" xfId="0" applyNumberFormat="1" applyFont="1" applyAlignment="1"/>
    <xf numFmtId="3" fontId="7" fillId="0" borderId="0" xfId="0" applyNumberFormat="1" applyFont="1" applyBorder="1" applyAlignment="1">
      <alignment horizontal="center"/>
    </xf>
    <xf numFmtId="0" fontId="7" fillId="0" borderId="1" xfId="0" applyNumberFormat="1" applyFont="1" applyBorder="1" applyAlignment="1">
      <alignment horizontal="center"/>
    </xf>
    <xf numFmtId="165" fontId="7" fillId="0" borderId="0" xfId="2" applyNumberFormat="1" applyFont="1" applyAlignment="1" applyProtection="1">
      <alignment horizontal="center"/>
      <protection locked="0"/>
    </xf>
    <xf numFmtId="0" fontId="7" fillId="0" borderId="1" xfId="2" applyNumberFormat="1" applyFont="1" applyBorder="1" applyAlignment="1"/>
    <xf numFmtId="174" fontId="7" fillId="2" borderId="0" xfId="2" applyNumberFormat="1" applyFont="1" applyFill="1" applyAlignment="1">
      <alignment horizontal="center"/>
    </xf>
    <xf numFmtId="42" fontId="7" fillId="2" borderId="0" xfId="2" applyNumberFormat="1" applyFont="1" applyFill="1" applyAlignment="1">
      <alignment horizontal="center"/>
    </xf>
    <xf numFmtId="3" fontId="7" fillId="2" borderId="0" xfId="2" applyNumberFormat="1" applyFont="1" applyFill="1" applyAlignment="1">
      <alignment horizontal="center"/>
    </xf>
    <xf numFmtId="3" fontId="7" fillId="0" borderId="0" xfId="2" applyNumberFormat="1" applyFont="1" applyFill="1" applyAlignment="1" applyProtection="1">
      <alignment horizontal="center"/>
      <protection locked="0"/>
    </xf>
    <xf numFmtId="3" fontId="7" fillId="2" borderId="1" xfId="2" applyNumberFormat="1" applyFont="1" applyFill="1" applyBorder="1" applyAlignment="1">
      <alignment horizontal="center"/>
    </xf>
    <xf numFmtId="9" fontId="7" fillId="0" borderId="0" xfId="2" applyNumberFormat="1" applyFont="1" applyAlignment="1"/>
    <xf numFmtId="168" fontId="7" fillId="0" borderId="0" xfId="2" applyNumberFormat="1" applyFont="1" applyAlignment="1"/>
    <xf numFmtId="168" fontId="7" fillId="0" borderId="0" xfId="0" applyNumberFormat="1" applyFont="1" applyAlignment="1"/>
    <xf numFmtId="3" fontId="7" fillId="0" borderId="0" xfId="2" quotePrefix="1" applyNumberFormat="1" applyFont="1" applyAlignment="1"/>
    <xf numFmtId="168" fontId="7" fillId="2" borderId="0" xfId="2" applyNumberFormat="1" applyFont="1" applyFill="1" applyAlignment="1"/>
    <xf numFmtId="168" fontId="7" fillId="0" borderId="1" xfId="2" applyNumberFormat="1" applyFont="1" applyBorder="1" applyAlignment="1"/>
    <xf numFmtId="0" fontId="7" fillId="0" borderId="0" xfId="2" applyNumberFormat="1" applyFont="1" applyBorder="1" applyAlignment="1" applyProtection="1">
      <alignment horizontal="center"/>
      <protection locked="0"/>
    </xf>
    <xf numFmtId="0" fontId="12" fillId="0" borderId="0" xfId="2" applyNumberFormat="1" applyFont="1" applyProtection="1">
      <protection locked="0"/>
    </xf>
    <xf numFmtId="164" fontId="12" fillId="0" borderId="0" xfId="2" applyFont="1" applyAlignment="1"/>
    <xf numFmtId="164" fontId="7" fillId="0" borderId="0" xfId="2" applyFont="1" applyFill="1" applyAlignment="1" applyProtection="1"/>
    <xf numFmtId="38" fontId="7" fillId="2" borderId="0" xfId="2" applyNumberFormat="1" applyFont="1" applyFill="1" applyBorder="1" applyProtection="1">
      <protection locked="0"/>
    </xf>
    <xf numFmtId="38" fontId="7" fillId="0" borderId="0" xfId="2" applyNumberFormat="1" applyFont="1" applyAlignment="1" applyProtection="1"/>
    <xf numFmtId="0" fontId="7" fillId="0" borderId="1" xfId="2" applyNumberFormat="1" applyFont="1" applyBorder="1"/>
    <xf numFmtId="38" fontId="7" fillId="2" borderId="1" xfId="2" applyNumberFormat="1" applyFont="1" applyFill="1" applyBorder="1" applyProtection="1">
      <protection locked="0"/>
    </xf>
    <xf numFmtId="38" fontId="7" fillId="0" borderId="0" xfId="2" applyNumberFormat="1" applyFont="1" applyAlignment="1"/>
    <xf numFmtId="38" fontId="7" fillId="0" borderId="0" xfId="2" applyNumberFormat="1" applyFont="1" applyFill="1" applyBorder="1" applyProtection="1"/>
    <xf numFmtId="174" fontId="7" fillId="0" borderId="0" xfId="2" applyNumberFormat="1" applyFont="1" applyFill="1" applyBorder="1" applyProtection="1"/>
    <xf numFmtId="1" fontId="7" fillId="0" borderId="0" xfId="2" applyNumberFormat="1" applyFont="1" applyFill="1" applyProtection="1"/>
    <xf numFmtId="166" fontId="7" fillId="0" borderId="0" xfId="2" applyNumberFormat="1" applyFont="1" applyProtection="1">
      <protection locked="0"/>
    </xf>
    <xf numFmtId="174" fontId="7" fillId="2" borderId="0" xfId="2" applyNumberFormat="1" applyFont="1" applyFill="1" applyBorder="1" applyProtection="1"/>
    <xf numFmtId="1" fontId="7" fillId="0" borderId="0" xfId="2" applyNumberFormat="1" applyFont="1" applyFill="1" applyAlignment="1" applyProtection="1"/>
    <xf numFmtId="174" fontId="7" fillId="2" borderId="0" xfId="2" applyNumberFormat="1" applyFont="1" applyFill="1" applyBorder="1" applyAlignment="1" applyProtection="1">
      <protection locked="0"/>
    </xf>
    <xf numFmtId="3" fontId="7" fillId="0" borderId="0" xfId="2" applyNumberFormat="1" applyFont="1" applyAlignment="1" applyProtection="1"/>
    <xf numFmtId="3" fontId="7" fillId="0" borderId="0" xfId="2" applyNumberFormat="1" applyFont="1" applyFill="1" applyAlignment="1" applyProtection="1">
      <alignment horizontal="right"/>
      <protection locked="0"/>
    </xf>
    <xf numFmtId="164" fontId="7" fillId="0" borderId="0" xfId="2" applyNumberFormat="1" applyFont="1" applyAlignment="1" applyProtection="1">
      <protection locked="0"/>
    </xf>
    <xf numFmtId="174" fontId="7" fillId="0" borderId="0" xfId="2" applyNumberFormat="1" applyFont="1" applyFill="1" applyBorder="1" applyAlignment="1" applyProtection="1"/>
    <xf numFmtId="3" fontId="7" fillId="0" borderId="0" xfId="2" applyNumberFormat="1" applyFont="1" applyFill="1" applyAlignment="1" applyProtection="1"/>
    <xf numFmtId="174" fontId="7" fillId="0" borderId="0" xfId="2" applyNumberFormat="1" applyFont="1" applyProtection="1">
      <protection locked="0"/>
    </xf>
    <xf numFmtId="0" fontId="7" fillId="0" borderId="0" xfId="0" applyFont="1" applyFill="1"/>
    <xf numFmtId="10" fontId="7" fillId="2" borderId="0" xfId="2" applyNumberFormat="1" applyFont="1" applyFill="1" applyProtection="1">
      <protection locked="0"/>
    </xf>
    <xf numFmtId="10" fontId="11" fillId="0" borderId="0" xfId="2" applyNumberFormat="1" applyFont="1" applyFill="1" applyProtection="1">
      <protection locked="0"/>
    </xf>
    <xf numFmtId="0" fontId="7" fillId="0" borderId="0" xfId="0" applyFont="1" applyAlignment="1">
      <alignment horizontal="center"/>
    </xf>
    <xf numFmtId="0" fontId="7" fillId="0" borderId="0" xfId="0" applyNumberFormat="1" applyFont="1" applyFill="1"/>
    <xf numFmtId="167" fontId="7" fillId="0" borderId="0" xfId="2" applyNumberFormat="1" applyFont="1" applyFill="1" applyProtection="1">
      <protection locked="0"/>
    </xf>
    <xf numFmtId="3" fontId="11" fillId="0" borderId="0" xfId="2" applyNumberFormat="1" applyFont="1" applyFill="1" applyAlignment="1"/>
    <xf numFmtId="174" fontId="7" fillId="0" borderId="0" xfId="2" applyNumberFormat="1" applyFont="1" applyAlignment="1" applyProtection="1">
      <alignment horizontal="right"/>
      <protection locked="0"/>
    </xf>
    <xf numFmtId="164" fontId="7" fillId="0" borderId="0" xfId="2" applyFont="1" applyAlignment="1">
      <alignment horizontal="right"/>
    </xf>
    <xf numFmtId="0" fontId="7" fillId="2" borderId="0" xfId="0" applyNumberFormat="1" applyFont="1" applyFill="1" applyAlignment="1">
      <alignment horizontal="right"/>
    </xf>
    <xf numFmtId="0" fontId="7" fillId="2" borderId="0" xfId="2" applyNumberFormat="1" applyFont="1" applyFill="1" applyAlignment="1" applyProtection="1">
      <protection locked="0"/>
    </xf>
    <xf numFmtId="0" fontId="7" fillId="2" borderId="0" xfId="2" applyNumberFormat="1" applyFont="1" applyFill="1" applyProtection="1">
      <protection locked="0"/>
    </xf>
    <xf numFmtId="0" fontId="7" fillId="2" borderId="0" xfId="0" applyFont="1" applyFill="1"/>
    <xf numFmtId="0" fontId="7" fillId="0" borderId="0" xfId="2" applyNumberFormat="1" applyFont="1" applyAlignment="1" applyProtection="1">
      <alignment horizontal="left" indent="8"/>
      <protection locked="0"/>
    </xf>
    <xf numFmtId="3" fontId="12" fillId="0" borderId="0" xfId="0" applyNumberFormat="1" applyFont="1" applyAlignment="1"/>
    <xf numFmtId="3" fontId="12" fillId="0" borderId="0" xfId="0" applyNumberFormat="1" applyFont="1" applyBorder="1" applyAlignment="1"/>
    <xf numFmtId="0" fontId="12" fillId="0" borderId="0" xfId="0" applyNumberFormat="1" applyFont="1"/>
    <xf numFmtId="0" fontId="12" fillId="0" borderId="0" xfId="0" applyNumberFormat="1" applyFont="1" applyFill="1"/>
    <xf numFmtId="0" fontId="12" fillId="0" borderId="0" xfId="0" applyFont="1" applyAlignment="1"/>
    <xf numFmtId="3" fontId="7" fillId="0" borderId="0" xfId="2" applyNumberFormat="1" applyFont="1" applyFill="1" applyBorder="1" applyAlignment="1"/>
    <xf numFmtId="164" fontId="7" fillId="0" borderId="0" xfId="2" applyFont="1" applyBorder="1" applyAlignment="1"/>
    <xf numFmtId="0" fontId="7" fillId="0" borderId="0" xfId="2" applyNumberFormat="1" applyFont="1" applyBorder="1" applyProtection="1">
      <protection locked="0"/>
    </xf>
    <xf numFmtId="0" fontId="7" fillId="0" borderId="0" xfId="2" applyNumberFormat="1" applyFont="1" applyBorder="1" applyAlignment="1" applyProtection="1">
      <protection locked="0"/>
    </xf>
    <xf numFmtId="3" fontId="12" fillId="0" borderId="0" xfId="0" applyNumberFormat="1" applyFont="1" applyFill="1" applyAlignment="1" applyProtection="1">
      <alignment horizontal="right"/>
      <protection locked="0"/>
    </xf>
    <xf numFmtId="0" fontId="12" fillId="0" borderId="0" xfId="0" applyFont="1" applyAlignment="1">
      <alignment vertical="top" wrapText="1"/>
    </xf>
    <xf numFmtId="0" fontId="12" fillId="0" borderId="0" xfId="0" applyFont="1" applyFill="1" applyAlignment="1">
      <alignment vertical="top" wrapText="1"/>
    </xf>
    <xf numFmtId="0" fontId="7" fillId="0" borderId="0" xfId="2" applyNumberFormat="1" applyFont="1" applyFill="1" applyAlignment="1" applyProtection="1">
      <alignment horizontal="center" vertical="top" wrapText="1"/>
      <protection locked="0"/>
    </xf>
    <xf numFmtId="164" fontId="7" fillId="0" borderId="0" xfId="2" applyFont="1" applyFill="1" applyAlignment="1">
      <alignment horizontal="center" vertical="top" wrapText="1"/>
    </xf>
    <xf numFmtId="0" fontId="7" fillId="0" borderId="0" xfId="0" applyFont="1" applyFill="1" applyAlignment="1">
      <alignment horizontal="center" vertical="top" wrapText="1"/>
    </xf>
    <xf numFmtId="0" fontId="7" fillId="0" borderId="0" xfId="2" applyNumberFormat="1" applyFont="1" applyAlignment="1" applyProtection="1">
      <alignment vertical="top" wrapText="1"/>
      <protection locked="0"/>
    </xf>
    <xf numFmtId="3" fontId="7" fillId="0" borderId="0" xfId="2" applyNumberFormat="1" applyFont="1" applyAlignment="1">
      <alignment vertical="top" wrapText="1"/>
    </xf>
    <xf numFmtId="0" fontId="7" fillId="0" borderId="0" xfId="2" applyNumberFormat="1" applyFont="1" applyAlignment="1" applyProtection="1">
      <alignment horizontal="center" vertical="top" wrapText="1"/>
      <protection locked="0"/>
    </xf>
    <xf numFmtId="0" fontId="7" fillId="0" borderId="0" xfId="0" applyFont="1" applyAlignment="1">
      <alignment vertical="top" wrapText="1"/>
    </xf>
    <xf numFmtId="3" fontId="7" fillId="0" borderId="0" xfId="2" applyNumberFormat="1" applyFont="1" applyFill="1" applyAlignment="1">
      <alignment horizontal="center" vertical="top" wrapText="1"/>
    </xf>
    <xf numFmtId="3" fontId="7" fillId="2" borderId="1" xfId="0" applyNumberFormat="1" applyFont="1" applyFill="1" applyBorder="1" applyAlignment="1"/>
    <xf numFmtId="0" fontId="7" fillId="0" borderId="1" xfId="0" applyNumberFormat="1" applyFont="1" applyBorder="1" applyAlignment="1"/>
    <xf numFmtId="0" fontId="7" fillId="0" borderId="1" xfId="0" applyNumberFormat="1" applyFont="1" applyBorder="1"/>
    <xf numFmtId="0" fontId="7" fillId="0" borderId="0" xfId="0" applyNumberFormat="1" applyFont="1" applyBorder="1"/>
    <xf numFmtId="0" fontId="7" fillId="0" borderId="0" xfId="0" applyFont="1" applyAlignment="1">
      <alignment horizontal="center" vertical="top" wrapText="1"/>
    </xf>
    <xf numFmtId="3" fontId="7" fillId="0" borderId="0" xfId="2" quotePrefix="1" applyNumberFormat="1" applyFont="1" applyAlignment="1">
      <alignment horizontal="left"/>
    </xf>
    <xf numFmtId="0" fontId="7" fillId="0" borderId="0" xfId="2" quotePrefix="1" applyNumberFormat="1" applyFont="1" applyAlignment="1">
      <alignment horizontal="left"/>
    </xf>
    <xf numFmtId="164" fontId="12" fillId="0" borderId="0" xfId="2" applyFont="1" applyFill="1" applyAlignment="1"/>
    <xf numFmtId="0" fontId="7" fillId="0" borderId="1" xfId="2" applyNumberFormat="1" applyFont="1" applyFill="1" applyBorder="1" applyProtection="1">
      <protection locked="0"/>
    </xf>
    <xf numFmtId="3" fontId="7" fillId="2" borderId="0" xfId="0" applyNumberFormat="1" applyFont="1" applyFill="1" applyBorder="1" applyAlignment="1"/>
    <xf numFmtId="0" fontId="7" fillId="0" borderId="0" xfId="0" applyNumberFormat="1" applyFont="1" applyBorder="1" applyAlignment="1"/>
    <xf numFmtId="164" fontId="6" fillId="0" borderId="0" xfId="4" applyFill="1" applyBorder="1" applyAlignment="1"/>
    <xf numFmtId="164" fontId="6" fillId="0" borderId="0" xfId="4" applyFill="1" applyBorder="1" applyAlignment="1">
      <alignment horizontal="right"/>
    </xf>
    <xf numFmtId="164" fontId="6" fillId="0" borderId="0" xfId="4" applyFont="1" applyFill="1" applyBorder="1" applyAlignment="1"/>
    <xf numFmtId="164" fontId="6" fillId="0" borderId="0" xfId="4" applyFont="1" applyFill="1" applyBorder="1" applyAlignment="1">
      <alignment horizontal="right"/>
    </xf>
    <xf numFmtId="0" fontId="18" fillId="0" borderId="0" xfId="4" applyNumberFormat="1" applyFont="1" applyFill="1" applyBorder="1" applyAlignment="1" applyProtection="1">
      <protection locked="0"/>
    </xf>
    <xf numFmtId="0" fontId="18" fillId="0" borderId="0" xfId="4" applyNumberFormat="1" applyFont="1" applyFill="1" applyBorder="1" applyAlignment="1" applyProtection="1">
      <alignment horizontal="left"/>
      <protection locked="0"/>
    </xf>
    <xf numFmtId="0" fontId="18" fillId="0" borderId="0" xfId="4" applyNumberFormat="1" applyFont="1" applyFill="1" applyBorder="1" applyProtection="1">
      <protection locked="0"/>
    </xf>
    <xf numFmtId="164" fontId="6" fillId="4" borderId="0" xfId="4" applyFont="1" applyFill="1" applyBorder="1" applyAlignment="1"/>
    <xf numFmtId="0" fontId="18" fillId="4" borderId="0" xfId="4" applyNumberFormat="1" applyFont="1" applyFill="1" applyBorder="1"/>
    <xf numFmtId="0" fontId="7" fillId="2" borderId="0" xfId="5" applyNumberFormat="1" applyFont="1" applyFill="1" applyAlignment="1">
      <alignment horizontal="right"/>
    </xf>
    <xf numFmtId="0" fontId="6" fillId="0" borderId="0" xfId="4" applyNumberFormat="1" applyFont="1" applyFill="1" applyBorder="1"/>
    <xf numFmtId="0" fontId="19" fillId="0" borderId="0" xfId="4" applyNumberFormat="1" applyFont="1" applyFill="1" applyBorder="1"/>
    <xf numFmtId="3" fontId="18" fillId="0" borderId="0" xfId="4" applyNumberFormat="1" applyFont="1" applyFill="1" applyBorder="1" applyAlignment="1"/>
    <xf numFmtId="0" fontId="18" fillId="0" borderId="0" xfId="4" applyNumberFormat="1" applyFont="1" applyFill="1" applyBorder="1"/>
    <xf numFmtId="0" fontId="19" fillId="0" borderId="0" xfId="4" applyNumberFormat="1" applyFont="1" applyFill="1" applyBorder="1" applyAlignment="1">
      <alignment horizontal="center"/>
    </xf>
    <xf numFmtId="0" fontId="6" fillId="0" borderId="0" xfId="4" applyNumberFormat="1" applyFont="1" applyFill="1" applyBorder="1" applyAlignment="1" applyProtection="1">
      <alignment horizontal="center"/>
      <protection locked="0"/>
    </xf>
    <xf numFmtId="49" fontId="18" fillId="4" borderId="0" xfId="4" applyNumberFormat="1" applyFont="1" applyFill="1" applyBorder="1" applyAlignment="1">
      <alignment horizontal="center"/>
    </xf>
    <xf numFmtId="49" fontId="18" fillId="0" borderId="0" xfId="4" applyNumberFormat="1" applyFont="1" applyFill="1" applyBorder="1"/>
    <xf numFmtId="3" fontId="18" fillId="0" borderId="0" xfId="4" applyNumberFormat="1" applyFont="1" applyFill="1" applyBorder="1"/>
    <xf numFmtId="0" fontId="18" fillId="0" borderId="0" xfId="4" applyNumberFormat="1" applyFont="1" applyFill="1" applyBorder="1" applyAlignment="1">
      <alignment horizontal="center"/>
    </xf>
    <xf numFmtId="49" fontId="18" fillId="0" borderId="0" xfId="4" applyNumberFormat="1" applyFont="1" applyFill="1" applyBorder="1" applyAlignment="1">
      <alignment horizontal="center"/>
    </xf>
    <xf numFmtId="3" fontId="6" fillId="0" borderId="0" xfId="4" applyNumberFormat="1" applyFont="1" applyFill="1" applyBorder="1" applyAlignment="1"/>
    <xf numFmtId="0" fontId="6" fillId="0" borderId="0" xfId="4" applyNumberFormat="1" applyFont="1" applyFill="1" applyBorder="1" applyAlignment="1"/>
    <xf numFmtId="0" fontId="18" fillId="0" borderId="0" xfId="4" applyNumberFormat="1" applyFont="1" applyFill="1" applyBorder="1" applyAlignment="1"/>
    <xf numFmtId="3" fontId="20" fillId="0" borderId="0" xfId="4" applyNumberFormat="1" applyFont="1" applyFill="1" applyBorder="1" applyAlignment="1">
      <alignment horizontal="center"/>
    </xf>
    <xf numFmtId="0" fontId="6" fillId="0" borderId="0" xfId="4" applyNumberFormat="1" applyFont="1" applyFill="1" applyBorder="1" applyAlignment="1">
      <alignment horizontal="center"/>
    </xf>
    <xf numFmtId="164" fontId="20" fillId="0" borderId="0" xfId="4" applyFont="1" applyFill="1" applyBorder="1" applyAlignment="1">
      <alignment horizontal="center"/>
    </xf>
    <xf numFmtId="0" fontId="20" fillId="0" borderId="0" xfId="4" applyNumberFormat="1" applyFont="1" applyFill="1" applyBorder="1" applyAlignment="1" applyProtection="1">
      <alignment horizontal="center"/>
      <protection locked="0"/>
    </xf>
    <xf numFmtId="0" fontId="21" fillId="0" borderId="0" xfId="4" applyNumberFormat="1" applyFont="1" applyFill="1" applyBorder="1" applyAlignment="1">
      <alignment horizontal="center"/>
    </xf>
    <xf numFmtId="0" fontId="20" fillId="0" borderId="0" xfId="4" applyNumberFormat="1" applyFont="1" applyFill="1" applyBorder="1" applyAlignment="1"/>
    <xf numFmtId="0" fontId="22" fillId="0" borderId="0" xfId="4" applyNumberFormat="1" applyFont="1" applyFill="1" applyBorder="1" applyAlignment="1" applyProtection="1">
      <alignment horizontal="center"/>
      <protection locked="0"/>
    </xf>
    <xf numFmtId="3" fontId="6" fillId="0" borderId="0" xfId="4" applyNumberFormat="1" applyFont="1" applyFill="1" applyBorder="1" applyAlignment="1">
      <alignment horizontal="center"/>
    </xf>
    <xf numFmtId="3" fontId="18" fillId="0" borderId="0" xfId="4" applyNumberFormat="1" applyFont="1" applyFill="1" applyBorder="1" applyAlignment="1">
      <alignment horizontal="center"/>
    </xf>
    <xf numFmtId="3" fontId="18" fillId="2" borderId="0" xfId="5" applyNumberFormat="1" applyFont="1" applyFill="1" applyBorder="1" applyAlignment="1"/>
    <xf numFmtId="164" fontId="23" fillId="0" borderId="0" xfId="4" applyFont="1" applyFill="1" applyBorder="1" applyAlignment="1"/>
    <xf numFmtId="3" fontId="18" fillId="4" borderId="0" xfId="4" applyNumberFormat="1" applyFont="1" applyFill="1" applyBorder="1" applyAlignment="1"/>
    <xf numFmtId="3" fontId="18" fillId="0" borderId="4" xfId="5" applyNumberFormat="1" applyFont="1" applyFill="1" applyBorder="1" applyAlignment="1"/>
    <xf numFmtId="10" fontId="18" fillId="0" borderId="0" xfId="4" applyNumberFormat="1" applyFont="1" applyFill="1" applyBorder="1" applyAlignment="1"/>
    <xf numFmtId="10" fontId="24" fillId="0" borderId="0" xfId="6" applyNumberFormat="1" applyFont="1" applyFill="1" applyBorder="1" applyAlignment="1"/>
    <xf numFmtId="10" fontId="20" fillId="0" borderId="0" xfId="4" applyNumberFormat="1" applyFont="1" applyFill="1" applyBorder="1" applyAlignment="1"/>
    <xf numFmtId="3" fontId="21" fillId="0" borderId="0" xfId="4" applyNumberFormat="1" applyFont="1" applyFill="1" applyBorder="1" applyAlignment="1"/>
    <xf numFmtId="169" fontId="20" fillId="0" borderId="0" xfId="4" applyNumberFormat="1" applyFont="1" applyFill="1" applyBorder="1" applyAlignment="1"/>
    <xf numFmtId="49" fontId="6" fillId="0" borderId="0" xfId="4" applyNumberFormat="1" applyFont="1" applyFill="1" applyBorder="1" applyAlignment="1">
      <alignment horizontal="center"/>
    </xf>
    <xf numFmtId="164" fontId="18" fillId="0" borderId="0" xfId="4" applyFont="1" applyFill="1" applyBorder="1" applyAlignment="1">
      <alignment horizontal="center"/>
    </xf>
    <xf numFmtId="0" fontId="20" fillId="0" borderId="0" xfId="4" applyNumberFormat="1" applyFont="1" applyFill="1" applyBorder="1" applyAlignment="1">
      <alignment horizontal="center"/>
    </xf>
    <xf numFmtId="49" fontId="21" fillId="0" borderId="0" xfId="4" applyNumberFormat="1" applyFont="1" applyFill="1" applyBorder="1" applyAlignment="1">
      <alignment horizontal="center"/>
    </xf>
    <xf numFmtId="164" fontId="21" fillId="0" borderId="0" xfId="4" applyFont="1" applyFill="1" applyBorder="1" applyAlignment="1"/>
    <xf numFmtId="3" fontId="20" fillId="0" borderId="0" xfId="4" applyNumberFormat="1" applyFont="1" applyFill="1" applyBorder="1" applyAlignment="1"/>
    <xf numFmtId="10" fontId="20" fillId="0" borderId="0" xfId="6" applyNumberFormat="1" applyFont="1" applyFill="1" applyBorder="1" applyAlignment="1"/>
    <xf numFmtId="0" fontId="6" fillId="0" borderId="0" xfId="4" applyNumberFormat="1" applyFont="1" applyFill="1" applyBorder="1" applyAlignment="1">
      <alignment horizontal="fill"/>
    </xf>
    <xf numFmtId="164" fontId="25" fillId="0" borderId="0" xfId="4" applyFont="1" applyFill="1" applyBorder="1" applyAlignment="1"/>
    <xf numFmtId="170" fontId="18" fillId="0" borderId="0" xfId="4" applyNumberFormat="1" applyFont="1" applyFill="1" applyBorder="1" applyAlignment="1">
      <alignment horizontal="center"/>
    </xf>
    <xf numFmtId="10" fontId="18" fillId="0" borderId="0" xfId="6" applyNumberFormat="1" applyFont="1" applyFill="1" applyBorder="1" applyAlignment="1"/>
    <xf numFmtId="174" fontId="6" fillId="0" borderId="0" xfId="4" applyNumberFormat="1" applyFill="1" applyBorder="1" applyAlignment="1"/>
    <xf numFmtId="164" fontId="18" fillId="0" borderId="0" xfId="4" applyFont="1" applyFill="1" applyBorder="1" applyAlignment="1"/>
    <xf numFmtId="49" fontId="7" fillId="0" borderId="0" xfId="4" applyNumberFormat="1" applyFont="1" applyFill="1" applyBorder="1" applyAlignment="1">
      <alignment horizontal="left"/>
    </xf>
    <xf numFmtId="0" fontId="7" fillId="0" borderId="0" xfId="4" applyNumberFormat="1" applyFont="1" applyFill="1" applyBorder="1" applyAlignment="1">
      <alignment horizontal="right"/>
    </xf>
    <xf numFmtId="0" fontId="6" fillId="0" borderId="0" xfId="4" applyNumberFormat="1" applyFont="1" applyFill="1" applyBorder="1" applyAlignment="1">
      <alignment horizontal="right"/>
    </xf>
    <xf numFmtId="49" fontId="6" fillId="0" borderId="0" xfId="4" applyNumberFormat="1" applyFill="1" applyBorder="1" applyAlignment="1">
      <alignment horizontal="left"/>
    </xf>
    <xf numFmtId="0" fontId="6" fillId="0" borderId="0" xfId="4" applyNumberFormat="1" applyFill="1" applyBorder="1" applyAlignment="1" applyProtection="1">
      <alignment horizontal="center"/>
      <protection locked="0"/>
    </xf>
    <xf numFmtId="164" fontId="18" fillId="0" borderId="0" xfId="4" applyFont="1" applyFill="1" applyBorder="1" applyAlignment="1">
      <alignment horizontal="right"/>
    </xf>
    <xf numFmtId="164" fontId="6" fillId="0" borderId="0" xfId="4" applyFont="1" applyFill="1" applyBorder="1" applyAlignment="1">
      <alignment horizontal="center"/>
    </xf>
    <xf numFmtId="175" fontId="20" fillId="0" borderId="0" xfId="4" applyNumberFormat="1" applyFont="1" applyFill="1" applyBorder="1" applyAlignment="1">
      <alignment horizontal="center"/>
    </xf>
    <xf numFmtId="164" fontId="21" fillId="0" borderId="11" xfId="4" applyFont="1" applyFill="1" applyBorder="1" applyAlignment="1">
      <alignment horizontal="center" wrapText="1"/>
    </xf>
    <xf numFmtId="164" fontId="21" fillId="0" borderId="12" xfId="4" applyFont="1" applyFill="1" applyBorder="1" applyAlignment="1"/>
    <xf numFmtId="164" fontId="21" fillId="0" borderId="12" xfId="4" applyFont="1" applyFill="1" applyBorder="1" applyAlignment="1">
      <alignment horizontal="center" wrapText="1"/>
    </xf>
    <xf numFmtId="0" fontId="20" fillId="0" borderId="12" xfId="4" applyNumberFormat="1" applyFont="1" applyFill="1" applyBorder="1" applyAlignment="1">
      <alignment horizontal="center" wrapText="1"/>
    </xf>
    <xf numFmtId="164" fontId="21" fillId="0" borderId="13" xfId="4" applyFont="1" applyFill="1" applyBorder="1" applyAlignment="1">
      <alignment horizontal="center" wrapText="1"/>
    </xf>
    <xf numFmtId="0" fontId="20" fillId="0" borderId="12" xfId="5" applyNumberFormat="1" applyFont="1" applyFill="1" applyBorder="1" applyAlignment="1">
      <alignment horizontal="center" wrapText="1"/>
    </xf>
    <xf numFmtId="3" fontId="20" fillId="0" borderId="13" xfId="4" applyNumberFormat="1" applyFont="1" applyFill="1" applyBorder="1" applyAlignment="1">
      <alignment horizontal="center" wrapText="1"/>
    </xf>
    <xf numFmtId="3" fontId="20" fillId="0" borderId="12" xfId="4" applyNumberFormat="1" applyFont="1" applyFill="1" applyBorder="1" applyAlignment="1">
      <alignment horizontal="center" wrapText="1"/>
    </xf>
    <xf numFmtId="0" fontId="18" fillId="0" borderId="11" xfId="4" applyNumberFormat="1" applyFont="1" applyFill="1" applyBorder="1"/>
    <xf numFmtId="0" fontId="18" fillId="0" borderId="12" xfId="4" applyNumberFormat="1" applyFont="1" applyFill="1" applyBorder="1"/>
    <xf numFmtId="0" fontId="18" fillId="0" borderId="12" xfId="4" applyNumberFormat="1" applyFont="1" applyFill="1" applyBorder="1" applyAlignment="1">
      <alignment horizontal="center"/>
    </xf>
    <xf numFmtId="0" fontId="18" fillId="0" borderId="13" xfId="4" applyNumberFormat="1" applyFont="1" applyFill="1" applyBorder="1" applyAlignment="1">
      <alignment horizontal="center"/>
    </xf>
    <xf numFmtId="0" fontId="18" fillId="0" borderId="12" xfId="5" applyNumberFormat="1" applyFont="1" applyFill="1" applyBorder="1" applyAlignment="1">
      <alignment horizontal="center" wrapText="1"/>
    </xf>
    <xf numFmtId="0" fontId="18" fillId="0" borderId="13" xfId="4" applyNumberFormat="1" applyFont="1" applyFill="1" applyBorder="1" applyAlignment="1">
      <alignment horizontal="center" wrapText="1"/>
    </xf>
    <xf numFmtId="3" fontId="18" fillId="0" borderId="12" xfId="4" applyNumberFormat="1" applyFont="1" applyFill="1" applyBorder="1" applyAlignment="1">
      <alignment horizontal="center"/>
    </xf>
    <xf numFmtId="3" fontId="18" fillId="0" borderId="13" xfId="4" applyNumberFormat="1" applyFont="1" applyFill="1" applyBorder="1" applyAlignment="1">
      <alignment horizontal="center" wrapText="1"/>
    </xf>
    <xf numFmtId="0" fontId="18" fillId="0" borderId="6" xfId="4" applyNumberFormat="1" applyFont="1" applyFill="1" applyBorder="1"/>
    <xf numFmtId="0" fontId="18" fillId="0" borderId="14" xfId="4" applyNumberFormat="1" applyFont="1" applyFill="1" applyBorder="1"/>
    <xf numFmtId="0" fontId="18" fillId="0" borderId="0" xfId="5" applyNumberFormat="1" applyFont="1" applyFill="1" applyBorder="1"/>
    <xf numFmtId="3" fontId="18" fillId="0" borderId="14" xfId="4" applyNumberFormat="1" applyFont="1" applyFill="1" applyBorder="1" applyAlignment="1"/>
    <xf numFmtId="164" fontId="6" fillId="0" borderId="6" xfId="4" applyFill="1" applyBorder="1" applyAlignment="1">
      <alignment vertical="top"/>
    </xf>
    <xf numFmtId="164" fontId="6" fillId="0" borderId="0" xfId="4" applyFill="1" applyBorder="1" applyAlignment="1">
      <alignment vertical="top"/>
    </xf>
    <xf numFmtId="0" fontId="6" fillId="0" borderId="0" xfId="7" applyNumberFormat="1" applyFont="1" applyFill="1" applyBorder="1" applyAlignment="1">
      <alignment horizontal="left" vertical="top" wrapText="1"/>
    </xf>
    <xf numFmtId="0" fontId="6" fillId="0" borderId="0" xfId="7" applyNumberFormat="1" applyFont="1" applyFill="1" applyBorder="1" applyAlignment="1">
      <alignment horizontal="center" vertical="top"/>
    </xf>
    <xf numFmtId="176" fontId="6" fillId="2" borderId="0" xfId="8" applyNumberFormat="1" applyFont="1" applyFill="1" applyBorder="1" applyAlignment="1">
      <alignment vertical="top"/>
    </xf>
    <xf numFmtId="10" fontId="18" fillId="0" borderId="0" xfId="6" applyNumberFormat="1" applyFont="1" applyFill="1" applyBorder="1" applyAlignment="1">
      <alignment vertical="top"/>
    </xf>
    <xf numFmtId="176" fontId="6" fillId="0" borderId="14" xfId="8" applyNumberFormat="1" applyFont="1" applyFill="1" applyBorder="1" applyAlignment="1">
      <alignment vertical="top"/>
    </xf>
    <xf numFmtId="176" fontId="18" fillId="2" borderId="0" xfId="8" applyNumberFormat="1" applyFont="1" applyFill="1" applyBorder="1" applyAlignment="1">
      <alignment vertical="top"/>
    </xf>
    <xf numFmtId="164" fontId="26" fillId="0" borderId="0" xfId="4" applyFont="1" applyFill="1" applyBorder="1" applyAlignment="1"/>
    <xf numFmtId="0" fontId="26" fillId="0" borderId="0" xfId="5" applyNumberFormat="1" applyFont="1" applyFill="1" applyBorder="1" applyAlignment="1">
      <alignment horizontal="center" vertical="top"/>
    </xf>
    <xf numFmtId="176" fontId="6" fillId="0" borderId="0" xfId="8" applyNumberFormat="1" applyFont="1" applyFill="1" applyBorder="1" applyAlignment="1">
      <alignment vertical="top"/>
    </xf>
    <xf numFmtId="176" fontId="18" fillId="0" borderId="0" xfId="8" applyNumberFormat="1" applyFont="1" applyFill="1" applyBorder="1" applyAlignment="1">
      <alignment vertical="top"/>
    </xf>
    <xf numFmtId="164" fontId="6" fillId="0" borderId="8" xfId="4" applyFill="1" applyBorder="1" applyAlignment="1">
      <alignment vertical="top"/>
    </xf>
    <xf numFmtId="164" fontId="6" fillId="0" borderId="9" xfId="4" applyFill="1" applyBorder="1" applyAlignment="1">
      <alignment vertical="top"/>
    </xf>
    <xf numFmtId="164" fontId="26" fillId="0" borderId="9" xfId="4" applyFont="1" applyFill="1" applyBorder="1" applyAlignment="1">
      <alignment vertical="top"/>
    </xf>
    <xf numFmtId="164" fontId="26" fillId="0" borderId="15" xfId="4" applyFont="1" applyFill="1" applyBorder="1" applyAlignment="1">
      <alignment vertical="top"/>
    </xf>
    <xf numFmtId="174" fontId="18" fillId="0" borderId="0" xfId="4" applyNumberFormat="1" applyFont="1" applyFill="1" applyBorder="1" applyAlignment="1"/>
    <xf numFmtId="177" fontId="18" fillId="0" borderId="0" xfId="4" applyNumberFormat="1" applyFont="1" applyFill="1" applyBorder="1" applyAlignment="1"/>
    <xf numFmtId="164" fontId="5" fillId="0" borderId="0" xfId="4" applyFont="1" applyFill="1" applyBorder="1" applyAlignment="1"/>
    <xf numFmtId="1" fontId="18" fillId="0" borderId="0" xfId="1" applyNumberFormat="1" applyFont="1" applyFill="1" applyBorder="1" applyAlignment="1">
      <alignment horizontal="center"/>
    </xf>
    <xf numFmtId="164" fontId="18" fillId="0" borderId="1" xfId="4" applyFont="1" applyFill="1" applyBorder="1" applyAlignment="1"/>
    <xf numFmtId="164" fontId="6" fillId="0" borderId="0" xfId="4" applyFont="1" applyFill="1" applyBorder="1" applyAlignment="1">
      <alignment horizontal="center" vertical="top"/>
    </xf>
    <xf numFmtId="164" fontId="6" fillId="0" borderId="0" xfId="5" applyFont="1" applyFill="1" applyBorder="1" applyAlignment="1">
      <alignment horizontal="center" vertical="top"/>
    </xf>
    <xf numFmtId="164" fontId="23" fillId="0" borderId="0" xfId="5" applyFont="1" applyFill="1" applyBorder="1" applyAlignment="1"/>
    <xf numFmtId="164" fontId="6" fillId="0" borderId="0" xfId="5" applyFont="1" applyFill="1" applyBorder="1" applyAlignment="1">
      <alignment horizontal="left" vertical="top" wrapText="1"/>
    </xf>
    <xf numFmtId="164" fontId="6" fillId="0" borderId="0" xfId="5" applyFont="1" applyFill="1" applyBorder="1" applyAlignment="1"/>
    <xf numFmtId="164" fontId="27" fillId="0" borderId="0" xfId="5" applyFont="1" applyFill="1" applyBorder="1" applyAlignment="1"/>
    <xf numFmtId="164" fontId="7" fillId="0" borderId="0" xfId="4" applyFont="1" applyFill="1" applyBorder="1" applyAlignment="1"/>
    <xf numFmtId="49" fontId="7" fillId="0" borderId="0" xfId="4" applyNumberFormat="1" applyFont="1" applyFill="1" applyBorder="1" applyAlignment="1">
      <alignment horizontal="center"/>
    </xf>
    <xf numFmtId="0" fontId="18" fillId="5" borderId="0" xfId="4" applyNumberFormat="1" applyFont="1" applyFill="1" applyBorder="1"/>
    <xf numFmtId="0" fontId="18" fillId="5" borderId="0" xfId="4" applyNumberFormat="1" applyFont="1" applyFill="1" applyBorder="1" applyAlignment="1" applyProtection="1">
      <alignment horizontal="right"/>
      <protection locked="0"/>
    </xf>
    <xf numFmtId="49" fontId="18" fillId="0" borderId="0" xfId="4" applyNumberFormat="1" applyFont="1" applyFill="1" applyBorder="1" applyAlignment="1">
      <alignment horizontal="left"/>
    </xf>
    <xf numFmtId="171" fontId="18" fillId="2" borderId="0" xfId="1" applyNumberFormat="1" applyFont="1" applyFill="1" applyBorder="1" applyAlignment="1"/>
    <xf numFmtId="171" fontId="18" fillId="2" borderId="9" xfId="1" applyNumberFormat="1" applyFont="1" applyFill="1" applyBorder="1" applyAlignment="1"/>
    <xf numFmtId="3" fontId="28" fillId="0" borderId="0" xfId="4" applyNumberFormat="1" applyFont="1" applyFill="1" applyBorder="1" applyAlignment="1"/>
    <xf numFmtId="171" fontId="18" fillId="0" borderId="0" xfId="1" applyNumberFormat="1" applyFont="1" applyFill="1" applyBorder="1" applyAlignment="1"/>
    <xf numFmtId="41" fontId="18" fillId="0" borderId="0" xfId="4" applyNumberFormat="1" applyFont="1" applyFill="1" applyBorder="1" applyAlignment="1"/>
    <xf numFmtId="3" fontId="29" fillId="0" borderId="0" xfId="4" applyNumberFormat="1" applyFont="1" applyFill="1" applyBorder="1" applyAlignment="1"/>
    <xf numFmtId="3" fontId="23" fillId="0" borderId="0" xfId="4" applyNumberFormat="1" applyFont="1" applyFill="1" applyBorder="1" applyAlignment="1"/>
    <xf numFmtId="0" fontId="23" fillId="0" borderId="0" xfId="4" applyNumberFormat="1" applyFont="1" applyFill="1" applyBorder="1" applyAlignment="1"/>
    <xf numFmtId="3" fontId="6" fillId="0" borderId="0" xfId="4" applyNumberFormat="1" applyFill="1" applyBorder="1" applyAlignment="1">
      <alignment horizontal="center"/>
    </xf>
    <xf numFmtId="10" fontId="21" fillId="0" borderId="0" xfId="6" applyNumberFormat="1" applyFont="1" applyFill="1" applyBorder="1" applyAlignment="1"/>
    <xf numFmtId="10" fontId="0" fillId="0" borderId="0" xfId="6" applyNumberFormat="1" applyFont="1" applyFill="1" applyBorder="1" applyAlignment="1"/>
    <xf numFmtId="171" fontId="18" fillId="4" borderId="0" xfId="1" applyNumberFormat="1" applyFont="1" applyFill="1" applyBorder="1" applyAlignment="1"/>
    <xf numFmtId="49" fontId="6" fillId="0" borderId="0" xfId="4" applyNumberFormat="1" applyFill="1" applyBorder="1" applyAlignment="1">
      <alignment horizontal="center"/>
    </xf>
    <xf numFmtId="3" fontId="30" fillId="0" borderId="0" xfId="4" applyNumberFormat="1" applyFont="1" applyFill="1" applyBorder="1" applyAlignment="1"/>
    <xf numFmtId="0" fontId="30" fillId="0" borderId="0" xfId="4" applyNumberFormat="1" applyFont="1" applyFill="1" applyBorder="1"/>
    <xf numFmtId="0" fontId="20" fillId="0" borderId="0" xfId="4" applyNumberFormat="1" applyFont="1" applyFill="1" applyBorder="1" applyAlignment="1">
      <alignment horizontal="left"/>
    </xf>
    <xf numFmtId="0" fontId="6" fillId="0" borderId="0" xfId="4" quotePrefix="1" applyNumberFormat="1" applyFill="1" applyBorder="1" applyAlignment="1" applyProtection="1">
      <alignment horizontal="center"/>
      <protection locked="0"/>
    </xf>
    <xf numFmtId="175" fontId="20" fillId="0" borderId="0" xfId="4" quotePrefix="1" applyNumberFormat="1" applyFont="1" applyFill="1" applyBorder="1" applyAlignment="1">
      <alignment horizontal="center"/>
    </xf>
    <xf numFmtId="164" fontId="21" fillId="0" borderId="16" xfId="4" applyFont="1" applyFill="1" applyBorder="1" applyAlignment="1">
      <alignment horizontal="center" wrapText="1"/>
    </xf>
    <xf numFmtId="0" fontId="18" fillId="0" borderId="12" xfId="4" quotePrefix="1" applyNumberFormat="1" applyFont="1" applyFill="1" applyBorder="1" applyAlignment="1">
      <alignment horizontal="center"/>
    </xf>
    <xf numFmtId="0" fontId="18" fillId="0" borderId="13" xfId="4" quotePrefix="1" applyNumberFormat="1" applyFont="1" applyFill="1" applyBorder="1" applyAlignment="1">
      <alignment horizontal="center"/>
    </xf>
    <xf numFmtId="164" fontId="6" fillId="0" borderId="6" xfId="4" applyFill="1" applyBorder="1" applyAlignment="1"/>
    <xf numFmtId="0" fontId="6" fillId="0" borderId="0" xfId="4" applyNumberFormat="1" applyFill="1" applyBorder="1" applyAlignment="1">
      <alignment horizontal="center"/>
    </xf>
    <xf numFmtId="176" fontId="0" fillId="2" borderId="0" xfId="8" applyNumberFormat="1" applyFont="1" applyFill="1" applyBorder="1" applyAlignment="1"/>
    <xf numFmtId="176" fontId="0" fillId="0" borderId="0" xfId="8" applyNumberFormat="1" applyFont="1" applyFill="1" applyBorder="1" applyAlignment="1"/>
    <xf numFmtId="164" fontId="6" fillId="0" borderId="14" xfId="4" applyFill="1" applyBorder="1" applyAlignment="1"/>
    <xf numFmtId="176" fontId="0" fillId="0" borderId="14" xfId="8" applyNumberFormat="1" applyFont="1" applyFill="1" applyBorder="1" applyAlignment="1"/>
    <xf numFmtId="176" fontId="0" fillId="4" borderId="0" xfId="8" applyNumberFormat="1" applyFont="1" applyFill="1" applyBorder="1" applyAlignment="1"/>
    <xf numFmtId="176" fontId="18" fillId="2" borderId="0" xfId="8" applyNumberFormat="1" applyFont="1" applyFill="1" applyBorder="1" applyAlignment="1"/>
    <xf numFmtId="176" fontId="18" fillId="0" borderId="14" xfId="8" applyNumberFormat="1" applyFont="1" applyFill="1" applyBorder="1" applyAlignment="1"/>
    <xf numFmtId="0" fontId="26" fillId="0" borderId="0" xfId="4" applyNumberFormat="1" applyFont="1" applyFill="1" applyBorder="1" applyAlignment="1">
      <alignment horizontal="center"/>
    </xf>
    <xf numFmtId="164" fontId="6" fillId="0" borderId="8" xfId="4" applyFill="1" applyBorder="1" applyAlignment="1"/>
    <xf numFmtId="164" fontId="6" fillId="0" borderId="9" xfId="4" applyFill="1" applyBorder="1" applyAlignment="1"/>
    <xf numFmtId="164" fontId="26" fillId="0" borderId="9" xfId="4" applyFont="1" applyFill="1" applyBorder="1" applyAlignment="1"/>
    <xf numFmtId="164" fontId="26" fillId="0" borderId="15" xfId="4" applyFont="1" applyFill="1" applyBorder="1" applyAlignment="1"/>
    <xf numFmtId="164" fontId="27" fillId="0" borderId="0" xfId="4" applyFont="1" applyFill="1" applyBorder="1" applyAlignment="1"/>
    <xf numFmtId="164" fontId="26" fillId="0" borderId="0" xfId="4" applyFont="1" applyFill="1" applyBorder="1" applyAlignment="1">
      <alignment horizontal="center"/>
    </xf>
    <xf numFmtId="0" fontId="31" fillId="0" borderId="0" xfId="9"/>
    <xf numFmtId="0" fontId="32" fillId="0" borderId="0" xfId="9" applyFont="1"/>
    <xf numFmtId="0" fontId="31" fillId="0" borderId="0" xfId="9" applyAlignment="1">
      <alignment horizontal="center"/>
    </xf>
    <xf numFmtId="0" fontId="31" fillId="0" borderId="0" xfId="9" applyAlignment="1">
      <alignment horizontal="center" vertical="top"/>
    </xf>
    <xf numFmtId="0" fontId="31" fillId="0" borderId="9" xfId="9" applyBorder="1" applyAlignment="1">
      <alignment horizontal="center"/>
    </xf>
    <xf numFmtId="0" fontId="31" fillId="0" borderId="0" xfId="9" applyBorder="1" applyAlignment="1">
      <alignment horizontal="center"/>
    </xf>
    <xf numFmtId="41" fontId="31" fillId="0" borderId="0" xfId="9" applyNumberFormat="1"/>
    <xf numFmtId="41" fontId="31" fillId="0" borderId="4" xfId="9" applyNumberFormat="1" applyBorder="1"/>
    <xf numFmtId="41" fontId="31" fillId="4" borderId="0" xfId="9" applyNumberFormat="1" applyFill="1"/>
    <xf numFmtId="0" fontId="31" fillId="0" borderId="0" xfId="9" applyFill="1"/>
    <xf numFmtId="0" fontId="31" fillId="0" borderId="0" xfId="9" applyFill="1" applyAlignment="1">
      <alignment horizontal="center"/>
    </xf>
    <xf numFmtId="41" fontId="31" fillId="0" borderId="4" xfId="9" applyNumberFormat="1" applyFill="1" applyBorder="1"/>
    <xf numFmtId="0" fontId="33" fillId="0" borderId="0" xfId="9" applyFont="1" applyAlignment="1">
      <alignment horizontal="center"/>
    </xf>
    <xf numFmtId="0" fontId="33" fillId="0" borderId="9" xfId="9" applyFont="1" applyBorder="1" applyAlignment="1">
      <alignment horizontal="center"/>
    </xf>
    <xf numFmtId="0" fontId="33" fillId="0" borderId="0" xfId="9" applyFont="1" applyBorder="1" applyAlignment="1">
      <alignment horizontal="center"/>
    </xf>
    <xf numFmtId="0" fontId="33" fillId="0" borderId="0" xfId="9" quotePrefix="1" applyFont="1" applyAlignment="1">
      <alignment horizontal="center"/>
    </xf>
    <xf numFmtId="0" fontId="33" fillId="0" borderId="0" xfId="9" applyFont="1"/>
    <xf numFmtId="0" fontId="31" fillId="4" borderId="0" xfId="9" applyFill="1" applyAlignment="1">
      <alignment horizontal="center"/>
    </xf>
    <xf numFmtId="0" fontId="31" fillId="4" borderId="0" xfId="9" applyFill="1"/>
    <xf numFmtId="0" fontId="31" fillId="4" borderId="0" xfId="9" applyFill="1" applyAlignment="1"/>
    <xf numFmtId="0" fontId="34" fillId="0" borderId="0" xfId="9" applyFont="1"/>
    <xf numFmtId="0" fontId="31" fillId="0" borderId="0" xfId="9" applyBorder="1"/>
    <xf numFmtId="41" fontId="31" fillId="0" borderId="0" xfId="9" applyNumberFormat="1" applyBorder="1"/>
    <xf numFmtId="0" fontId="31" fillId="0" borderId="0" xfId="9" quotePrefix="1" applyAlignment="1">
      <alignment horizontal="center"/>
    </xf>
    <xf numFmtId="0" fontId="5" fillId="0" borderId="0" xfId="10"/>
    <xf numFmtId="0" fontId="5" fillId="0" borderId="0" xfId="10" applyFont="1"/>
    <xf numFmtId="0" fontId="5" fillId="0" borderId="0" xfId="10" applyFont="1" applyFill="1"/>
    <xf numFmtId="0" fontId="5" fillId="0" borderId="0" xfId="11" applyFont="1" applyAlignment="1">
      <alignment horizontal="center" vertical="top"/>
    </xf>
    <xf numFmtId="171" fontId="37" fillId="0" borderId="0" xfId="1" applyNumberFormat="1" applyFont="1"/>
    <xf numFmtId="0" fontId="37" fillId="0" borderId="0" xfId="10" applyFont="1"/>
    <xf numFmtId="0" fontId="5" fillId="0" borderId="0" xfId="10" applyFont="1" applyBorder="1"/>
    <xf numFmtId="174" fontId="5" fillId="0" borderId="13" xfId="11" applyNumberFormat="1" applyFont="1" applyFill="1" applyBorder="1" applyAlignment="1">
      <alignment horizontal="right" vertical="top"/>
    </xf>
    <xf numFmtId="174" fontId="5" fillId="0" borderId="11" xfId="11" applyNumberFormat="1" applyFont="1" applyFill="1" applyBorder="1" applyAlignment="1">
      <alignment horizontal="right" vertical="top"/>
    </xf>
    <xf numFmtId="0" fontId="38" fillId="6" borderId="0" xfId="12" applyFont="1" applyFill="1" applyAlignment="1">
      <alignment horizontal="right"/>
    </xf>
    <xf numFmtId="0" fontId="38" fillId="6" borderId="0" xfId="11" applyFont="1" applyFill="1">
      <alignment vertical="top"/>
    </xf>
    <xf numFmtId="3" fontId="5" fillId="0" borderId="14" xfId="13" applyNumberFormat="1" applyFont="1" applyFill="1" applyBorder="1" applyAlignment="1">
      <alignment horizontal="right" vertical="top"/>
    </xf>
    <xf numFmtId="3" fontId="5" fillId="7" borderId="6" xfId="13" applyNumberFormat="1" applyFont="1" applyFill="1" applyBorder="1" applyAlignment="1">
      <alignment horizontal="right" vertical="top"/>
    </xf>
    <xf numFmtId="3" fontId="5" fillId="0" borderId="6" xfId="13" applyNumberFormat="1" applyFont="1" applyFill="1" applyBorder="1" applyAlignment="1">
      <alignment horizontal="right" vertical="top"/>
    </xf>
    <xf numFmtId="3" fontId="5" fillId="7" borderId="14" xfId="13" applyNumberFormat="1" applyFont="1" applyFill="1" applyBorder="1" applyAlignment="1">
      <alignment horizontal="right" vertical="top"/>
    </xf>
    <xf numFmtId="0" fontId="5" fillId="0" borderId="15" xfId="11" applyFont="1" applyBorder="1">
      <alignment vertical="top"/>
    </xf>
    <xf numFmtId="0" fontId="38" fillId="8" borderId="15" xfId="11" applyFont="1" applyFill="1" applyBorder="1">
      <alignment vertical="top"/>
    </xf>
    <xf numFmtId="3" fontId="5" fillId="0" borderId="17" xfId="13" applyNumberFormat="1" applyFont="1" applyFill="1" applyBorder="1" applyAlignment="1">
      <alignment horizontal="right" vertical="top"/>
    </xf>
    <xf numFmtId="3" fontId="5" fillId="7" borderId="3" xfId="13" applyNumberFormat="1" applyFont="1" applyFill="1" applyBorder="1" applyAlignment="1">
      <alignment horizontal="right" vertical="top"/>
    </xf>
    <xf numFmtId="3" fontId="5" fillId="0" borderId="3" xfId="13" applyNumberFormat="1" applyFont="1" applyFill="1" applyBorder="1" applyAlignment="1">
      <alignment horizontal="right" vertical="top"/>
    </xf>
    <xf numFmtId="3" fontId="5" fillId="7" borderId="17" xfId="13" applyNumberFormat="1" applyFont="1" applyFill="1" applyBorder="1" applyAlignment="1">
      <alignment horizontal="right" vertical="top"/>
    </xf>
    <xf numFmtId="0" fontId="5" fillId="0" borderId="17" xfId="11" applyFont="1" applyBorder="1">
      <alignment vertical="top"/>
    </xf>
    <xf numFmtId="0" fontId="38" fillId="0" borderId="17" xfId="10" applyFont="1" applyBorder="1"/>
    <xf numFmtId="0" fontId="5" fillId="8" borderId="9" xfId="10" applyFont="1" applyFill="1" applyBorder="1" applyAlignment="1">
      <alignment horizontal="right"/>
    </xf>
    <xf numFmtId="0" fontId="5" fillId="6" borderId="9" xfId="10" applyFont="1" applyFill="1" applyBorder="1" applyAlignment="1">
      <alignment horizontal="right"/>
    </xf>
    <xf numFmtId="0" fontId="5" fillId="6" borderId="9" xfId="10" applyFill="1" applyBorder="1"/>
    <xf numFmtId="0" fontId="5" fillId="8" borderId="0" xfId="10" applyFill="1"/>
    <xf numFmtId="0" fontId="38" fillId="8" borderId="0" xfId="11" applyFont="1" applyFill="1">
      <alignment vertical="top"/>
    </xf>
    <xf numFmtId="0" fontId="5" fillId="8" borderId="0" xfId="11" applyFont="1" applyFill="1" applyBorder="1" applyAlignment="1">
      <alignment horizontal="right" vertical="top"/>
    </xf>
    <xf numFmtId="174" fontId="5" fillId="6" borderId="0" xfId="11" applyNumberFormat="1" applyFont="1" applyFill="1" applyBorder="1" applyAlignment="1">
      <alignment horizontal="right" vertical="top"/>
    </xf>
    <xf numFmtId="0" fontId="5" fillId="6" borderId="0" xfId="11" applyFont="1" applyFill="1" applyBorder="1" applyAlignment="1">
      <alignment horizontal="right" vertical="top"/>
    </xf>
    <xf numFmtId="0" fontId="5" fillId="6" borderId="0" xfId="10" applyFill="1"/>
    <xf numFmtId="174" fontId="5" fillId="8" borderId="0" xfId="11" applyNumberFormat="1" applyFont="1" applyFill="1" applyBorder="1" applyAlignment="1">
      <alignment horizontal="right" vertical="top"/>
    </xf>
    <xf numFmtId="0" fontId="5" fillId="8" borderId="0" xfId="12" applyFont="1" applyFill="1" applyAlignment="1">
      <alignment horizontal="right"/>
    </xf>
    <xf numFmtId="0" fontId="38" fillId="0" borderId="0" xfId="12" applyFont="1" applyAlignment="1">
      <alignment horizontal="right"/>
    </xf>
    <xf numFmtId="0" fontId="38" fillId="0" borderId="0" xfId="11" applyFont="1">
      <alignment vertical="top"/>
    </xf>
    <xf numFmtId="174" fontId="5" fillId="0" borderId="12" xfId="11" applyNumberFormat="1" applyFont="1" applyFill="1" applyBorder="1" applyAlignment="1">
      <alignment horizontal="right" vertical="top"/>
    </xf>
    <xf numFmtId="174" fontId="5" fillId="0" borderId="16" xfId="11" applyNumberFormat="1" applyFont="1" applyFill="1" applyBorder="1" applyAlignment="1">
      <alignment horizontal="right" vertical="top"/>
    </xf>
    <xf numFmtId="0" fontId="38" fillId="0" borderId="4" xfId="12" applyFont="1" applyBorder="1" applyAlignment="1">
      <alignment horizontal="right"/>
    </xf>
    <xf numFmtId="0" fontId="38" fillId="8" borderId="4" xfId="11" applyFont="1" applyFill="1" applyBorder="1">
      <alignment vertical="top"/>
    </xf>
    <xf numFmtId="0" fontId="5" fillId="0" borderId="14" xfId="12" quotePrefix="1" applyFont="1" applyBorder="1" applyAlignment="1">
      <alignment horizontal="left"/>
    </xf>
    <xf numFmtId="0" fontId="38" fillId="8" borderId="14" xfId="11" applyFont="1" applyFill="1" applyBorder="1">
      <alignment vertical="top"/>
    </xf>
    <xf numFmtId="0" fontId="5" fillId="6" borderId="9" xfId="12" applyFont="1" applyFill="1" applyBorder="1" applyAlignment="1">
      <alignment horizontal="right"/>
    </xf>
    <xf numFmtId="3" fontId="5" fillId="6" borderId="9" xfId="12" applyNumberFormat="1" applyFont="1" applyFill="1" applyBorder="1" applyAlignment="1">
      <alignment horizontal="right"/>
    </xf>
    <xf numFmtId="0" fontId="5" fillId="6" borderId="9" xfId="12" applyFont="1" applyFill="1" applyBorder="1"/>
    <xf numFmtId="0" fontId="38" fillId="8" borderId="9" xfId="11" applyFont="1" applyFill="1" applyBorder="1">
      <alignment vertical="top"/>
    </xf>
    <xf numFmtId="37" fontId="5" fillId="6" borderId="0" xfId="12" applyNumberFormat="1" applyFont="1" applyFill="1" applyBorder="1" applyAlignment="1">
      <alignment horizontal="right"/>
    </xf>
    <xf numFmtId="0" fontId="5" fillId="6" borderId="0" xfId="12" applyFont="1" applyFill="1" applyAlignment="1">
      <alignment horizontal="right"/>
    </xf>
    <xf numFmtId="0" fontId="5" fillId="0" borderId="0" xfId="10" applyFill="1"/>
    <xf numFmtId="0" fontId="38" fillId="0" borderId="0" xfId="11" applyFont="1" applyFill="1">
      <alignment vertical="top"/>
    </xf>
    <xf numFmtId="3" fontId="5" fillId="0" borderId="15" xfId="13" applyNumberFormat="1" applyFont="1" applyFill="1" applyBorder="1" applyAlignment="1">
      <alignment horizontal="right" vertical="top"/>
    </xf>
    <xf numFmtId="3" fontId="5" fillId="7" borderId="8" xfId="13" applyNumberFormat="1" applyFont="1" applyFill="1" applyBorder="1" applyAlignment="1">
      <alignment horizontal="right" vertical="top"/>
    </xf>
    <xf numFmtId="3" fontId="5" fillId="0" borderId="8" xfId="13" applyNumberFormat="1" applyFont="1" applyFill="1" applyBorder="1" applyAlignment="1">
      <alignment horizontal="right" vertical="top"/>
    </xf>
    <xf numFmtId="3" fontId="5" fillId="7" borderId="15" xfId="13" applyNumberFormat="1" applyFont="1" applyFill="1" applyBorder="1" applyAlignment="1">
      <alignment horizontal="right" vertical="top"/>
    </xf>
    <xf numFmtId="0" fontId="5" fillId="0" borderId="14" xfId="12" quotePrefix="1" applyFont="1" applyFill="1" applyBorder="1" applyAlignment="1">
      <alignment horizontal="left"/>
    </xf>
    <xf numFmtId="0" fontId="5" fillId="0" borderId="17" xfId="12" quotePrefix="1" applyFont="1" applyFill="1" applyBorder="1" applyAlignment="1">
      <alignment horizontal="left"/>
    </xf>
    <xf numFmtId="0" fontId="38" fillId="8" borderId="17" xfId="11" applyFont="1" applyFill="1" applyBorder="1">
      <alignment vertical="top"/>
    </xf>
    <xf numFmtId="0" fontId="38" fillId="6" borderId="0" xfId="12" applyFont="1" applyFill="1" applyBorder="1" applyAlignment="1">
      <alignment horizontal="right"/>
    </xf>
    <xf numFmtId="0" fontId="5" fillId="6" borderId="0" xfId="10" applyFill="1" applyBorder="1"/>
    <xf numFmtId="0" fontId="38" fillId="0" borderId="0" xfId="12" applyFont="1" applyBorder="1" applyAlignment="1">
      <alignment horizontal="right"/>
    </xf>
    <xf numFmtId="17" fontId="5" fillId="0" borderId="15" xfId="12" quotePrefix="1" applyNumberFormat="1" applyFont="1" applyFill="1" applyBorder="1"/>
    <xf numFmtId="0" fontId="5" fillId="0" borderId="14" xfId="12" applyFont="1" applyFill="1" applyBorder="1"/>
    <xf numFmtId="174" fontId="39" fillId="9" borderId="9" xfId="14" applyNumberFormat="1" applyFont="1" applyFill="1" applyBorder="1" applyAlignment="1">
      <alignment horizontal="center" wrapText="1"/>
    </xf>
    <xf numFmtId="0" fontId="40" fillId="9" borderId="0" xfId="12" applyFont="1" applyFill="1" applyBorder="1" applyAlignment="1"/>
    <xf numFmtId="0" fontId="36" fillId="6" borderId="0" xfId="11" applyFill="1">
      <alignment vertical="top"/>
    </xf>
    <xf numFmtId="3" fontId="5" fillId="6" borderId="0" xfId="11" applyNumberFormat="1" applyFont="1" applyFill="1" applyAlignment="1">
      <alignment horizontal="center" vertical="top"/>
    </xf>
    <xf numFmtId="0" fontId="5" fillId="6" borderId="0" xfId="11" applyFont="1" applyFill="1">
      <alignment vertical="top"/>
    </xf>
    <xf numFmtId="0" fontId="38" fillId="6" borderId="9" xfId="15" applyFont="1" applyFill="1" applyBorder="1">
      <alignment vertical="top"/>
    </xf>
    <xf numFmtId="0" fontId="38" fillId="6" borderId="0" xfId="15" applyFont="1" applyFill="1" applyBorder="1">
      <alignment vertical="top"/>
    </xf>
    <xf numFmtId="0" fontId="5" fillId="6" borderId="9" xfId="10" applyFont="1" applyFill="1" applyBorder="1" applyAlignment="1">
      <alignment horizontal="center"/>
    </xf>
    <xf numFmtId="0" fontId="41" fillId="0" borderId="0" xfId="10" applyFont="1"/>
    <xf numFmtId="0" fontId="41" fillId="6" borderId="0" xfId="10" applyFont="1" applyFill="1"/>
    <xf numFmtId="0" fontId="42" fillId="6" borderId="0" xfId="11" applyFont="1" applyFill="1">
      <alignment vertical="top"/>
    </xf>
    <xf numFmtId="3" fontId="5" fillId="0" borderId="0" xfId="11" applyNumberFormat="1" applyFont="1" applyAlignment="1">
      <alignment horizontal="center" vertical="top"/>
    </xf>
    <xf numFmtId="0" fontId="5" fillId="0" borderId="9" xfId="10" applyBorder="1"/>
    <xf numFmtId="0" fontId="5" fillId="0" borderId="9" xfId="10" applyFont="1" applyFill="1" applyBorder="1" applyAlignment="1">
      <alignment horizontal="right"/>
    </xf>
    <xf numFmtId="174" fontId="5" fillId="0" borderId="0" xfId="11" applyNumberFormat="1" applyFont="1" applyFill="1" applyBorder="1" applyAlignment="1">
      <alignment horizontal="right" vertical="top"/>
    </xf>
    <xf numFmtId="0" fontId="5" fillId="0" borderId="9" xfId="12" applyFont="1" applyFill="1" applyBorder="1" applyAlignment="1">
      <alignment horizontal="right"/>
    </xf>
    <xf numFmtId="0" fontId="5" fillId="8" borderId="9" xfId="12" applyFont="1" applyFill="1" applyBorder="1" applyAlignment="1">
      <alignment horizontal="right"/>
    </xf>
    <xf numFmtId="3" fontId="5" fillId="8" borderId="9" xfId="12" applyNumberFormat="1" applyFont="1" applyFill="1" applyBorder="1" applyAlignment="1">
      <alignment horizontal="right"/>
    </xf>
    <xf numFmtId="0" fontId="5" fillId="8" borderId="9" xfId="12" applyFont="1" applyFill="1" applyBorder="1"/>
    <xf numFmtId="37" fontId="5" fillId="0" borderId="0" xfId="12" applyNumberFormat="1" applyFont="1" applyFill="1" applyBorder="1" applyAlignment="1">
      <alignment horizontal="right"/>
    </xf>
    <xf numFmtId="37" fontId="5" fillId="8" borderId="0" xfId="12" applyNumberFormat="1" applyFont="1" applyFill="1" applyBorder="1" applyAlignment="1">
      <alignment horizontal="right"/>
    </xf>
    <xf numFmtId="0" fontId="5" fillId="0" borderId="0" xfId="11" applyFont="1" applyFill="1" applyBorder="1" applyAlignment="1">
      <alignment horizontal="right" vertical="top"/>
    </xf>
    <xf numFmtId="0" fontId="38" fillId="0" borderId="0" xfId="12" applyFont="1" applyFill="1" applyAlignment="1">
      <alignment horizontal="right"/>
    </xf>
    <xf numFmtId="3" fontId="39" fillId="9" borderId="9" xfId="14" applyNumberFormat="1" applyFont="1" applyFill="1" applyBorder="1" applyAlignment="1">
      <alignment horizontal="center" wrapText="1"/>
    </xf>
    <xf numFmtId="0" fontId="40" fillId="9" borderId="0" xfId="12" applyFont="1" applyFill="1" applyAlignment="1"/>
    <xf numFmtId="0" fontId="36" fillId="0" borderId="0" xfId="11">
      <alignment vertical="top"/>
    </xf>
    <xf numFmtId="174" fontId="39" fillId="9" borderId="0" xfId="14" applyNumberFormat="1" applyFont="1" applyFill="1" applyAlignment="1">
      <alignment horizontal="center" wrapText="1"/>
    </xf>
    <xf numFmtId="1" fontId="39" fillId="9" borderId="0" xfId="14" applyNumberFormat="1" applyFont="1" applyFill="1" applyAlignment="1">
      <alignment horizontal="center" wrapText="1"/>
    </xf>
    <xf numFmtId="0" fontId="5" fillId="0" borderId="0" xfId="11" applyFont="1">
      <alignment vertical="top"/>
    </xf>
    <xf numFmtId="0" fontId="38" fillId="0" borderId="9" xfId="15" applyFont="1" applyFill="1" applyBorder="1">
      <alignment vertical="top"/>
    </xf>
    <xf numFmtId="0" fontId="38" fillId="0" borderId="0" xfId="15" applyFont="1" applyFill="1" applyBorder="1">
      <alignment vertical="top"/>
    </xf>
    <xf numFmtId="0" fontId="5" fillId="0" borderId="9" xfId="10" applyFont="1" applyFill="1" applyBorder="1" applyAlignment="1">
      <alignment horizontal="center"/>
    </xf>
    <xf numFmtId="0" fontId="41" fillId="0" borderId="0" xfId="10" applyFont="1" applyFill="1"/>
    <xf numFmtId="0" fontId="42" fillId="0" borderId="0" xfId="11" applyFont="1">
      <alignment vertical="top"/>
    </xf>
    <xf numFmtId="0" fontId="5" fillId="0" borderId="0" xfId="10" applyFont="1" applyAlignment="1">
      <alignment horizontal="center"/>
    </xf>
    <xf numFmtId="6" fontId="31" fillId="4" borderId="0" xfId="9" applyNumberFormat="1" applyFill="1"/>
    <xf numFmtId="176" fontId="43" fillId="0" borderId="3" xfId="13" applyNumberFormat="1" applyFont="1" applyFill="1" applyBorder="1" applyAlignment="1"/>
    <xf numFmtId="0" fontId="4" fillId="0" borderId="4" xfId="20" applyBorder="1" applyAlignment="1">
      <alignment horizontal="center"/>
    </xf>
    <xf numFmtId="0" fontId="4" fillId="0" borderId="4" xfId="20" applyBorder="1"/>
    <xf numFmtId="0" fontId="4" fillId="0" borderId="5" xfId="20" applyBorder="1"/>
    <xf numFmtId="0" fontId="4" fillId="0" borderId="0" xfId="20"/>
    <xf numFmtId="0" fontId="5" fillId="0" borderId="6" xfId="18" applyFont="1" applyFill="1" applyBorder="1"/>
    <xf numFmtId="0" fontId="4" fillId="0" borderId="0" xfId="20" applyBorder="1" applyAlignment="1">
      <alignment horizontal="center"/>
    </xf>
    <xf numFmtId="0" fontId="4" fillId="0" borderId="0" xfId="20" applyBorder="1"/>
    <xf numFmtId="0" fontId="4" fillId="0" borderId="7" xfId="20" applyBorder="1"/>
    <xf numFmtId="0" fontId="4" fillId="0" borderId="6" xfId="20" applyBorder="1" applyAlignment="1">
      <alignment horizontal="center"/>
    </xf>
    <xf numFmtId="0" fontId="17" fillId="3" borderId="18" xfId="3" applyBorder="1" applyAlignment="1">
      <alignment horizontal="center" vertical="top" wrapText="1"/>
    </xf>
    <xf numFmtId="0" fontId="17" fillId="3" borderId="19" xfId="3" applyBorder="1" applyAlignment="1">
      <alignment horizontal="center" vertical="top" wrapText="1"/>
    </xf>
    <xf numFmtId="0" fontId="4" fillId="0" borderId="6" xfId="20" applyBorder="1"/>
    <xf numFmtId="178" fontId="4" fillId="0" borderId="0" xfId="20" applyNumberFormat="1" applyBorder="1"/>
    <xf numFmtId="179" fontId="4" fillId="0" borderId="6" xfId="20" applyNumberFormat="1" applyBorder="1" applyAlignment="1">
      <alignment horizontal="left" indent="1"/>
    </xf>
    <xf numFmtId="171" fontId="0" fillId="0" borderId="0" xfId="21" applyNumberFormat="1" applyFont="1" applyBorder="1"/>
    <xf numFmtId="178" fontId="0" fillId="0" borderId="0" xfId="22" applyNumberFormat="1" applyFont="1" applyBorder="1"/>
    <xf numFmtId="179" fontId="15" fillId="0" borderId="6" xfId="20" applyNumberFormat="1" applyFont="1" applyBorder="1" applyAlignment="1">
      <alignment horizontal="left" indent="1"/>
    </xf>
    <xf numFmtId="171" fontId="15" fillId="0" borderId="0" xfId="21" applyNumberFormat="1" applyFont="1" applyBorder="1"/>
    <xf numFmtId="178" fontId="15" fillId="0" borderId="0" xfId="22" applyNumberFormat="1" applyFont="1" applyBorder="1"/>
    <xf numFmtId="0" fontId="15" fillId="0" borderId="0" xfId="20" applyFont="1" applyBorder="1"/>
    <xf numFmtId="179" fontId="15" fillId="0" borderId="6" xfId="20" applyNumberFormat="1" applyFont="1" applyBorder="1"/>
    <xf numFmtId="171" fontId="44" fillId="0" borderId="0" xfId="21" applyNumberFormat="1" applyFont="1" applyBorder="1" applyAlignment="1">
      <alignment horizontal="right"/>
    </xf>
    <xf numFmtId="10" fontId="16" fillId="0" borderId="0" xfId="22" applyNumberFormat="1" applyFont="1" applyBorder="1"/>
    <xf numFmtId="6" fontId="4" fillId="0" borderId="0" xfId="20" applyNumberFormat="1" applyBorder="1"/>
    <xf numFmtId="6" fontId="4" fillId="0" borderId="20" xfId="20" applyNumberFormat="1" applyBorder="1"/>
    <xf numFmtId="0" fontId="4" fillId="0" borderId="8" xfId="20" applyBorder="1" applyAlignment="1">
      <alignment horizontal="center"/>
    </xf>
    <xf numFmtId="0" fontId="4" fillId="0" borderId="9" xfId="20" applyBorder="1" applyAlignment="1">
      <alignment horizontal="center"/>
    </xf>
    <xf numFmtId="0" fontId="4" fillId="0" borderId="10" xfId="20" applyBorder="1"/>
    <xf numFmtId="41" fontId="0" fillId="5" borderId="0" xfId="21" applyNumberFormat="1" applyFont="1" applyFill="1" applyBorder="1"/>
    <xf numFmtId="0" fontId="5" fillId="0" borderId="0" xfId="0" applyFont="1"/>
    <xf numFmtId="0" fontId="0" fillId="0" borderId="0" xfId="0" applyFill="1"/>
    <xf numFmtId="164" fontId="20" fillId="0" borderId="0" xfId="5" applyFont="1" applyAlignment="1"/>
    <xf numFmtId="164" fontId="18" fillId="0" borderId="0" xfId="5" applyFont="1" applyAlignment="1"/>
    <xf numFmtId="164" fontId="20" fillId="0" borderId="0" xfId="5" quotePrefix="1" applyFont="1" applyAlignment="1">
      <alignment horizontal="left"/>
    </xf>
    <xf numFmtId="164" fontId="18" fillId="0" borderId="0" xfId="5" quotePrefix="1" applyFont="1" applyAlignment="1">
      <alignment horizontal="left"/>
    </xf>
    <xf numFmtId="176" fontId="18" fillId="0" borderId="0" xfId="26" applyNumberFormat="1" applyFont="1" applyAlignment="1"/>
    <xf numFmtId="164" fontId="18" fillId="0" borderId="0" xfId="5" applyFont="1" applyFill="1" applyAlignment="1"/>
    <xf numFmtId="164" fontId="29" fillId="0" borderId="0" xfId="5" applyFont="1" applyAlignment="1"/>
    <xf numFmtId="176" fontId="18" fillId="0" borderId="21" xfId="26" applyNumberFormat="1" applyFont="1" applyBorder="1" applyAlignment="1"/>
    <xf numFmtId="176" fontId="18" fillId="0" borderId="0" xfId="26" applyNumberFormat="1" applyFont="1" applyBorder="1" applyAlignment="1"/>
    <xf numFmtId="176" fontId="18" fillId="0" borderId="0" xfId="23" applyNumberFormat="1" applyFont="1" applyAlignment="1"/>
    <xf numFmtId="176" fontId="18" fillId="0" borderId="21" xfId="23" applyNumberFormat="1" applyFont="1" applyBorder="1" applyAlignment="1"/>
    <xf numFmtId="164" fontId="28" fillId="0" borderId="0" xfId="5" quotePrefix="1" applyFont="1" applyAlignment="1">
      <alignment horizontal="left"/>
    </xf>
    <xf numFmtId="10" fontId="18" fillId="0" borderId="0" xfId="28" applyNumberFormat="1" applyFont="1" applyFill="1" applyAlignment="1"/>
    <xf numFmtId="164" fontId="18" fillId="0" borderId="9" xfId="5" applyFont="1" applyBorder="1" applyAlignment="1"/>
    <xf numFmtId="10" fontId="18" fillId="0" borderId="0" xfId="28" applyNumberFormat="1" applyFont="1" applyBorder="1" applyAlignment="1"/>
    <xf numFmtId="164" fontId="18" fillId="0" borderId="0" xfId="5" quotePrefix="1" applyFont="1" applyBorder="1" applyAlignment="1">
      <alignment horizontal="left"/>
    </xf>
    <xf numFmtId="164" fontId="18" fillId="0" borderId="0" xfId="5" applyFont="1" applyBorder="1" applyAlignment="1"/>
    <xf numFmtId="10" fontId="18" fillId="0" borderId="0" xfId="28" applyNumberFormat="1" applyFont="1" applyAlignment="1"/>
    <xf numFmtId="10" fontId="18" fillId="0" borderId="9" xfId="28" applyNumberFormat="1" applyFont="1" applyBorder="1" applyAlignment="1"/>
    <xf numFmtId="174" fontId="18" fillId="0" borderId="0" xfId="5" applyNumberFormat="1" applyFont="1" applyBorder="1" applyAlignment="1"/>
    <xf numFmtId="6" fontId="18" fillId="0" borderId="0" xfId="26" applyNumberFormat="1" applyFont="1" applyBorder="1" applyAlignment="1"/>
    <xf numFmtId="0" fontId="48" fillId="0" borderId="0" xfId="27" applyFont="1"/>
    <xf numFmtId="0" fontId="49" fillId="0" borderId="0" xfId="27" applyFont="1"/>
    <xf numFmtId="0" fontId="18" fillId="0" borderId="0" xfId="5" quotePrefix="1" applyNumberFormat="1" applyFont="1" applyBorder="1" applyAlignment="1"/>
    <xf numFmtId="0" fontId="18" fillId="0" borderId="0" xfId="5" applyNumberFormat="1" applyFont="1" applyAlignment="1"/>
    <xf numFmtId="164" fontId="18" fillId="0" borderId="9" xfId="5" quotePrefix="1" applyFont="1" applyBorder="1" applyAlignment="1">
      <alignment horizontal="right"/>
    </xf>
    <xf numFmtId="6" fontId="18" fillId="0" borderId="12" xfId="26" applyNumberFormat="1" applyFont="1" applyBorder="1" applyAlignment="1"/>
    <xf numFmtId="0" fontId="5" fillId="0" borderId="0" xfId="17"/>
    <xf numFmtId="0" fontId="5" fillId="0" borderId="0" xfId="17" applyFill="1"/>
    <xf numFmtId="0" fontId="38" fillId="0" borderId="3" xfId="10" applyFont="1" applyBorder="1"/>
    <xf numFmtId="0" fontId="5" fillId="0" borderId="4" xfId="10" applyBorder="1"/>
    <xf numFmtId="0" fontId="5" fillId="0" borderId="5" xfId="10" applyBorder="1"/>
    <xf numFmtId="0" fontId="5" fillId="0" borderId="0" xfId="29"/>
    <xf numFmtId="0" fontId="5" fillId="0" borderId="0" xfId="29" applyFill="1"/>
    <xf numFmtId="0" fontId="50" fillId="0" borderId="6" xfId="10" quotePrefix="1" applyFont="1" applyBorder="1" applyAlignment="1">
      <alignment horizontal="left"/>
    </xf>
    <xf numFmtId="0" fontId="5" fillId="0" borderId="0" xfId="10" applyBorder="1"/>
    <xf numFmtId="0" fontId="5" fillId="0" borderId="7" xfId="10" applyBorder="1"/>
    <xf numFmtId="175" fontId="5" fillId="0" borderId="6" xfId="1" quotePrefix="1" applyNumberFormat="1" applyBorder="1" applyAlignment="1">
      <alignment horizontal="center"/>
    </xf>
    <xf numFmtId="0" fontId="5" fillId="0" borderId="0" xfId="10" quotePrefix="1" applyFont="1" applyBorder="1" applyAlignment="1">
      <alignment horizontal="left"/>
    </xf>
    <xf numFmtId="176" fontId="0" fillId="0" borderId="0" xfId="13" applyNumberFormat="1" applyFont="1" applyFill="1" applyBorder="1"/>
    <xf numFmtId="0" fontId="38" fillId="0" borderId="0" xfId="10" quotePrefix="1" applyFont="1" applyBorder="1" applyAlignment="1">
      <alignment horizontal="left"/>
    </xf>
    <xf numFmtId="0" fontId="50" fillId="0" borderId="0" xfId="10" applyFont="1" applyBorder="1"/>
    <xf numFmtId="0" fontId="5" fillId="0" borderId="0" xfId="10" applyFill="1" applyBorder="1"/>
    <xf numFmtId="0" fontId="5" fillId="0" borderId="0" xfId="10" quotePrefix="1" applyBorder="1" applyAlignment="1">
      <alignment horizontal="left"/>
    </xf>
    <xf numFmtId="0" fontId="5" fillId="0" borderId="0" xfId="10" quotePrefix="1" applyFill="1" applyBorder="1" applyAlignment="1">
      <alignment horizontal="left"/>
    </xf>
    <xf numFmtId="171" fontId="0" fillId="0" borderId="0" xfId="1" applyNumberFormat="1" applyFont="1" applyFill="1" applyBorder="1"/>
    <xf numFmtId="0" fontId="38" fillId="0" borderId="0" xfId="10" quotePrefix="1" applyFont="1" applyFill="1" applyBorder="1" applyAlignment="1">
      <alignment horizontal="left"/>
    </xf>
    <xf numFmtId="0" fontId="5" fillId="0" borderId="7" xfId="10" applyFill="1" applyBorder="1"/>
    <xf numFmtId="0" fontId="5" fillId="0" borderId="0" xfId="10" quotePrefix="1" applyBorder="1" applyAlignment="1">
      <alignment horizontal="left" indent="1"/>
    </xf>
    <xf numFmtId="0" fontId="43" fillId="0" borderId="0" xfId="29" applyFont="1"/>
    <xf numFmtId="171" fontId="0" fillId="0" borderId="9" xfId="1" applyNumberFormat="1" applyFont="1" applyFill="1" applyBorder="1"/>
    <xf numFmtId="0" fontId="38" fillId="0" borderId="0" xfId="10" applyFont="1" applyBorder="1"/>
    <xf numFmtId="176" fontId="5" fillId="0" borderId="0" xfId="13" applyNumberFormat="1" applyFont="1" applyFill="1" applyBorder="1"/>
    <xf numFmtId="175" fontId="5" fillId="0" borderId="6" xfId="1" quotePrefix="1" applyNumberFormat="1" applyBorder="1" applyAlignment="1">
      <alignment horizontal="center" vertical="center"/>
    </xf>
    <xf numFmtId="0" fontId="5" fillId="0" borderId="0" xfId="10" quotePrefix="1" applyBorder="1" applyAlignment="1">
      <alignment horizontal="left" wrapText="1"/>
    </xf>
    <xf numFmtId="176" fontId="0" fillId="0" borderId="0" xfId="13" applyNumberFormat="1" applyFont="1" applyFill="1" applyBorder="1" applyAlignment="1">
      <alignment vertical="center"/>
    </xf>
    <xf numFmtId="0" fontId="38" fillId="0" borderId="0" xfId="10" applyFont="1" applyBorder="1" applyAlignment="1">
      <alignment vertical="center"/>
    </xf>
    <xf numFmtId="171" fontId="5" fillId="0" borderId="0" xfId="10" applyNumberFormat="1" applyBorder="1"/>
    <xf numFmtId="0" fontId="5" fillId="0" borderId="8" xfId="10" applyBorder="1"/>
    <xf numFmtId="0" fontId="5" fillId="0" borderId="9" xfId="10" applyFont="1" applyBorder="1"/>
    <xf numFmtId="0" fontId="5" fillId="0" borderId="10" xfId="10" applyBorder="1"/>
    <xf numFmtId="0" fontId="5" fillId="0" borderId="3" xfId="10" applyBorder="1"/>
    <xf numFmtId="0" fontId="5" fillId="0" borderId="6" xfId="10" applyBorder="1"/>
    <xf numFmtId="176" fontId="5" fillId="0" borderId="0" xfId="13" applyNumberFormat="1" applyFont="1" applyBorder="1"/>
    <xf numFmtId="176" fontId="5" fillId="0" borderId="21" xfId="13" applyNumberFormat="1" applyFont="1" applyBorder="1"/>
    <xf numFmtId="0" fontId="47" fillId="0" borderId="0" xfId="17" applyFont="1"/>
    <xf numFmtId="0" fontId="5" fillId="0" borderId="0" xfId="17" applyFont="1"/>
    <xf numFmtId="0" fontId="53" fillId="0" borderId="0" xfId="17" applyFont="1"/>
    <xf numFmtId="171" fontId="0" fillId="0" borderId="0" xfId="1" applyNumberFormat="1" applyFont="1"/>
    <xf numFmtId="171" fontId="5" fillId="0" borderId="0" xfId="17" applyNumberFormat="1"/>
    <xf numFmtId="0" fontId="5" fillId="0" borderId="0" xfId="17" applyAlignment="1">
      <alignment horizontal="left"/>
    </xf>
    <xf numFmtId="0" fontId="5" fillId="0" borderId="0" xfId="17" applyAlignment="1">
      <alignment horizontal="center"/>
    </xf>
    <xf numFmtId="0" fontId="38" fillId="0" borderId="0" xfId="30" applyFont="1"/>
    <xf numFmtId="0" fontId="5" fillId="0" borderId="0" xfId="30" applyFont="1"/>
    <xf numFmtId="0" fontId="38" fillId="0" borderId="0" xfId="30" quotePrefix="1" applyFont="1" applyAlignment="1">
      <alignment horizontal="left"/>
    </xf>
    <xf numFmtId="0" fontId="5" fillId="0" borderId="9" xfId="30" applyFont="1" applyBorder="1" applyAlignment="1">
      <alignment horizontal="center" wrapText="1"/>
    </xf>
    <xf numFmtId="0" fontId="5" fillId="0" borderId="9" xfId="30" applyFont="1" applyBorder="1" applyAlignment="1">
      <alignment horizontal="center"/>
    </xf>
    <xf numFmtId="0" fontId="5" fillId="0" borderId="0" xfId="30" applyFont="1" applyBorder="1" applyAlignment="1">
      <alignment horizontal="center" wrapText="1"/>
    </xf>
    <xf numFmtId="180" fontId="5" fillId="0" borderId="0" xfId="30" applyNumberFormat="1" applyFont="1"/>
    <xf numFmtId="37" fontId="5" fillId="0" borderId="0" xfId="30" applyNumberFormat="1" applyFont="1"/>
    <xf numFmtId="38" fontId="5" fillId="0" borderId="0" xfId="30" applyNumberFormat="1" applyFont="1"/>
    <xf numFmtId="171" fontId="5" fillId="0" borderId="0" xfId="30" applyNumberFormat="1" applyFont="1"/>
    <xf numFmtId="37" fontId="5" fillId="0" borderId="21" xfId="30" applyNumberFormat="1" applyFont="1" applyBorder="1"/>
    <xf numFmtId="171" fontId="5" fillId="0" borderId="0" xfId="30" applyNumberFormat="1" applyFont="1" applyBorder="1"/>
    <xf numFmtId="171" fontId="5" fillId="0" borderId="21" xfId="30" applyNumberFormat="1" applyFont="1" applyBorder="1"/>
    <xf numFmtId="171" fontId="38" fillId="0" borderId="21" xfId="30" applyNumberFormat="1" applyFont="1" applyBorder="1"/>
    <xf numFmtId="43" fontId="47" fillId="0" borderId="0" xfId="1" applyFont="1"/>
    <xf numFmtId="0" fontId="53" fillId="0" borderId="0" xfId="30" applyFont="1"/>
    <xf numFmtId="0" fontId="38" fillId="0" borderId="0" xfId="17" applyFont="1"/>
    <xf numFmtId="0" fontId="5" fillId="0" borderId="0" xfId="17" applyBorder="1"/>
    <xf numFmtId="0" fontId="47" fillId="0" borderId="0" xfId="17" applyFont="1" applyBorder="1"/>
    <xf numFmtId="10" fontId="5" fillId="0" borderId="0" xfId="6" applyNumberFormat="1"/>
    <xf numFmtId="171" fontId="5" fillId="0" borderId="0" xfId="1" applyNumberFormat="1"/>
    <xf numFmtId="0" fontId="5" fillId="0" borderId="0" xfId="17" quotePrefix="1" applyAlignment="1">
      <alignment horizontal="left"/>
    </xf>
    <xf numFmtId="171" fontId="5" fillId="0" borderId="0" xfId="1" applyNumberFormat="1" applyFill="1"/>
    <xf numFmtId="10" fontId="5" fillId="0" borderId="9" xfId="6" applyNumberFormat="1" applyBorder="1"/>
    <xf numFmtId="10" fontId="0" fillId="0" borderId="0" xfId="24" applyNumberFormat="1" applyFont="1"/>
    <xf numFmtId="170" fontId="5" fillId="0" borderId="0" xfId="17" applyNumberFormat="1"/>
    <xf numFmtId="0" fontId="38" fillId="0" borderId="0" xfId="17" applyFont="1" applyAlignment="1">
      <alignment horizontal="left"/>
    </xf>
    <xf numFmtId="0" fontId="50" fillId="0" borderId="0" xfId="17" applyFont="1" applyAlignment="1">
      <alignment horizontal="center"/>
    </xf>
    <xf numFmtId="0" fontId="50" fillId="0" borderId="0" xfId="17" quotePrefix="1" applyFont="1" applyAlignment="1">
      <alignment horizontal="center" wrapText="1"/>
    </xf>
    <xf numFmtId="0" fontId="50" fillId="0" borderId="0" xfId="17" applyFont="1" applyAlignment="1">
      <alignment horizontal="center" wrapText="1"/>
    </xf>
    <xf numFmtId="170" fontId="50" fillId="0" borderId="0" xfId="17" applyNumberFormat="1" applyFont="1" applyAlignment="1">
      <alignment horizontal="center" wrapText="1"/>
    </xf>
    <xf numFmtId="184" fontId="0" fillId="0" borderId="0" xfId="6" applyNumberFormat="1" applyFont="1"/>
    <xf numFmtId="170" fontId="0" fillId="0" borderId="0" xfId="6" applyNumberFormat="1" applyFont="1"/>
    <xf numFmtId="10" fontId="0" fillId="0" borderId="0" xfId="6" applyNumberFormat="1" applyFont="1"/>
    <xf numFmtId="178" fontId="54" fillId="0" borderId="0" xfId="6" applyNumberFormat="1" applyFont="1" applyFill="1"/>
    <xf numFmtId="171" fontId="0" fillId="0" borderId="0" xfId="1" applyNumberFormat="1" applyFont="1" applyBorder="1"/>
    <xf numFmtId="0" fontId="5" fillId="0" borderId="0" xfId="17" applyFill="1" applyProtection="1">
      <protection locked="0"/>
    </xf>
    <xf numFmtId="10" fontId="0" fillId="0" borderId="0" xfId="6" applyNumberFormat="1" applyFont="1" applyBorder="1"/>
    <xf numFmtId="178" fontId="0" fillId="0" borderId="0" xfId="6" applyNumberFormat="1" applyFont="1" applyFill="1" applyBorder="1"/>
    <xf numFmtId="10" fontId="0" fillId="0" borderId="0" xfId="6" applyNumberFormat="1" applyFont="1" applyFill="1" applyBorder="1"/>
    <xf numFmtId="178" fontId="5" fillId="0" borderId="0" xfId="17" applyNumberFormat="1"/>
    <xf numFmtId="178" fontId="51" fillId="0" borderId="0" xfId="6" applyNumberFormat="1" applyFont="1" applyFill="1"/>
    <xf numFmtId="178" fontId="5" fillId="0" borderId="0" xfId="6" applyNumberFormat="1" applyFont="1" applyFill="1" applyBorder="1"/>
    <xf numFmtId="0" fontId="5" fillId="0" borderId="0" xfId="31" applyFont="1" applyAlignment="1">
      <alignment horizontal="left"/>
    </xf>
    <xf numFmtId="0" fontId="5" fillId="0" borderId="0" xfId="31" quotePrefix="1" applyFont="1" applyAlignment="1">
      <alignment horizontal="left"/>
    </xf>
    <xf numFmtId="0" fontId="5" fillId="0" borderId="0" xfId="17" applyFont="1" applyFill="1"/>
    <xf numFmtId="171" fontId="5" fillId="0" borderId="0" xfId="1" applyNumberFormat="1" applyFont="1" applyFill="1" applyBorder="1"/>
    <xf numFmtId="0" fontId="5" fillId="0" borderId="0" xfId="17" applyFill="1" applyBorder="1"/>
    <xf numFmtId="171" fontId="0" fillId="0" borderId="0" xfId="1" applyNumberFormat="1" applyFont="1" applyBorder="1" applyProtection="1">
      <protection locked="0"/>
    </xf>
    <xf numFmtId="0" fontId="5" fillId="0" borderId="0" xfId="17" applyBorder="1" applyProtection="1">
      <protection locked="0"/>
    </xf>
    <xf numFmtId="178" fontId="0" fillId="0" borderId="0" xfId="6" applyNumberFormat="1" applyFont="1" applyFill="1" applyBorder="1" applyProtection="1">
      <protection locked="0"/>
    </xf>
    <xf numFmtId="171" fontId="5" fillId="0" borderId="9" xfId="1" applyNumberFormat="1" applyFont="1" applyFill="1" applyBorder="1"/>
    <xf numFmtId="171" fontId="0" fillId="0" borderId="9" xfId="1" applyNumberFormat="1" applyFont="1" applyBorder="1"/>
    <xf numFmtId="10" fontId="0" fillId="0" borderId="9" xfId="6" applyNumberFormat="1" applyFont="1" applyBorder="1"/>
    <xf numFmtId="171" fontId="5" fillId="0" borderId="0" xfId="17" applyNumberFormat="1" applyBorder="1"/>
    <xf numFmtId="170" fontId="5" fillId="0" borderId="0" xfId="17" applyNumberFormat="1" applyFill="1" applyBorder="1"/>
    <xf numFmtId="10" fontId="0" fillId="10" borderId="21" xfId="6" applyNumberFormat="1" applyFont="1" applyFill="1" applyBorder="1"/>
    <xf numFmtId="170" fontId="5" fillId="0" borderId="0" xfId="17" applyNumberFormat="1" applyFill="1"/>
    <xf numFmtId="0" fontId="5" fillId="0" borderId="0" xfId="17" applyFont="1" applyBorder="1" applyAlignment="1">
      <alignment horizontal="center"/>
    </xf>
    <xf numFmtId="183" fontId="5" fillId="0" borderId="0" xfId="17" applyNumberFormat="1" applyFill="1"/>
    <xf numFmtId="174" fontId="7" fillId="0" borderId="0" xfId="2" applyNumberFormat="1" applyFont="1" applyFill="1" applyBorder="1" applyAlignment="1" applyProtection="1">
      <protection locked="0"/>
    </xf>
    <xf numFmtId="174" fontId="7" fillId="0" borderId="1" xfId="0" applyNumberFormat="1" applyFont="1" applyFill="1" applyBorder="1" applyAlignment="1" applyProtection="1">
      <protection locked="0"/>
    </xf>
    <xf numFmtId="1" fontId="55" fillId="9" borderId="0" xfId="14" applyNumberFormat="1" applyFont="1" applyFill="1" applyBorder="1" applyAlignment="1">
      <alignment horizontal="center" wrapText="1"/>
    </xf>
    <xf numFmtId="174" fontId="55" fillId="9" borderId="0" xfId="14" applyNumberFormat="1" applyFont="1" applyFill="1" applyBorder="1" applyAlignment="1">
      <alignment horizontal="center" wrapText="1"/>
    </xf>
    <xf numFmtId="0" fontId="21" fillId="0" borderId="0" xfId="7" applyNumberFormat="1" applyFont="1" applyFill="1" applyBorder="1" applyAlignment="1" applyProtection="1">
      <alignment horizontal="centerContinuous"/>
      <protection locked="0"/>
    </xf>
    <xf numFmtId="0" fontId="18" fillId="0" borderId="0" xfId="32" applyNumberFormat="1" applyFont="1" applyFill="1" applyBorder="1" applyAlignment="1" applyProtection="1">
      <protection locked="0"/>
    </xf>
    <xf numFmtId="0" fontId="18" fillId="0" borderId="0" xfId="32" applyNumberFormat="1" applyFont="1" applyFill="1" applyBorder="1" applyAlignment="1" applyProtection="1">
      <alignment horizontal="center"/>
      <protection locked="0"/>
    </xf>
    <xf numFmtId="164" fontId="18" fillId="0" borderId="0" xfId="7" applyFont="1" applyFill="1" applyBorder="1" applyAlignment="1">
      <alignment horizontal="centerContinuous"/>
    </xf>
    <xf numFmtId="164" fontId="6" fillId="0" borderId="0" xfId="7" applyFont="1" applyFill="1" applyBorder="1" applyAlignment="1">
      <alignment horizontal="centerContinuous"/>
    </xf>
    <xf numFmtId="3" fontId="18" fillId="0" borderId="0" xfId="7" applyNumberFormat="1" applyFont="1" applyFill="1" applyBorder="1" applyAlignment="1">
      <alignment horizontal="centerContinuous"/>
    </xf>
    <xf numFmtId="0" fontId="6" fillId="0" borderId="0" xfId="7" applyNumberFormat="1" applyFont="1" applyFill="1" applyBorder="1" applyAlignment="1">
      <alignment horizontal="centerContinuous"/>
    </xf>
    <xf numFmtId="3" fontId="6" fillId="0" borderId="0" xfId="7" applyNumberFormat="1" applyFont="1" applyFill="1" applyBorder="1" applyAlignment="1">
      <alignment horizontal="centerContinuous"/>
    </xf>
    <xf numFmtId="4" fontId="18" fillId="0" borderId="0" xfId="7" applyNumberFormat="1" applyFont="1" applyFill="1" applyBorder="1" applyAlignment="1">
      <alignment horizontal="centerContinuous"/>
    </xf>
    <xf numFmtId="164" fontId="6" fillId="0" borderId="0" xfId="7" applyFont="1" applyFill="1" applyBorder="1" applyAlignment="1"/>
    <xf numFmtId="3" fontId="6" fillId="11" borderId="0" xfId="7" applyNumberFormat="1" applyFont="1" applyFill="1" applyBorder="1" applyAlignment="1">
      <alignment horizontal="centerContinuous"/>
    </xf>
    <xf numFmtId="164" fontId="26" fillId="0" borderId="0" xfId="7" applyFont="1" applyFill="1" applyBorder="1" applyAlignment="1"/>
    <xf numFmtId="3" fontId="18" fillId="0" borderId="0" xfId="32" applyNumberFormat="1" applyFont="1" applyFill="1" applyBorder="1" applyAlignment="1"/>
    <xf numFmtId="0" fontId="18" fillId="0" borderId="0" xfId="32" applyNumberFormat="1" applyFont="1" applyFill="1" applyBorder="1" applyAlignment="1">
      <alignment horizontal="center"/>
    </xf>
    <xf numFmtId="3" fontId="18" fillId="0" borderId="0" xfId="32" applyNumberFormat="1" applyFont="1" applyFill="1" applyBorder="1" applyAlignment="1">
      <alignment horizontal="center"/>
    </xf>
    <xf numFmtId="0" fontId="18" fillId="0" borderId="0" xfId="7" applyNumberFormat="1" applyFont="1" applyFill="1" applyBorder="1" applyAlignment="1">
      <alignment horizontal="centerContinuous"/>
    </xf>
    <xf numFmtId="0" fontId="18" fillId="0" borderId="0" xfId="33" applyNumberFormat="1" applyFont="1" applyFill="1" applyBorder="1" applyAlignment="1">
      <alignment horizontal="center"/>
    </xf>
    <xf numFmtId="49" fontId="18" fillId="0" borderId="0" xfId="33" applyNumberFormat="1" applyFont="1" applyFill="1" applyBorder="1" applyAlignment="1">
      <alignment horizontal="center"/>
    </xf>
    <xf numFmtId="3" fontId="20" fillId="0" borderId="0" xfId="33" applyNumberFormat="1" applyFont="1" applyFill="1" applyBorder="1" applyAlignment="1">
      <alignment horizontal="center"/>
    </xf>
    <xf numFmtId="3" fontId="18" fillId="0" borderId="0" xfId="33" applyNumberFormat="1" applyFont="1" applyFill="1" applyBorder="1" applyAlignment="1"/>
    <xf numFmtId="164" fontId="6" fillId="0" borderId="0" xfId="33" applyFont="1" applyFill="1" applyBorder="1" applyAlignment="1"/>
    <xf numFmtId="164" fontId="20" fillId="0" borderId="0" xfId="33" applyFont="1" applyFill="1" applyBorder="1" applyAlignment="1">
      <alignment horizontal="center"/>
    </xf>
    <xf numFmtId="0" fontId="20" fillId="0" borderId="0" xfId="33" applyNumberFormat="1" applyFont="1" applyFill="1" applyBorder="1" applyAlignment="1" applyProtection="1">
      <alignment horizontal="center"/>
      <protection locked="0"/>
    </xf>
    <xf numFmtId="3" fontId="6" fillId="0" borderId="0" xfId="33" applyNumberFormat="1" applyFont="1" applyFill="1" applyBorder="1" applyAlignment="1">
      <alignment horizontal="center"/>
    </xf>
    <xf numFmtId="0" fontId="18" fillId="0" borderId="0" xfId="33" applyNumberFormat="1" applyFont="1" applyFill="1" applyBorder="1" applyAlignment="1"/>
    <xf numFmtId="3" fontId="18" fillId="0" borderId="0" xfId="33" applyNumberFormat="1" applyFont="1" applyFill="1" applyBorder="1" applyAlignment="1">
      <alignment horizontal="center"/>
    </xf>
    <xf numFmtId="3" fontId="18" fillId="5" borderId="0" xfId="33" applyNumberFormat="1" applyFont="1" applyFill="1" applyBorder="1" applyAlignment="1"/>
    <xf numFmtId="164" fontId="6" fillId="0" borderId="0" xfId="33" quotePrefix="1" applyFont="1" applyFill="1" applyBorder="1" applyAlignment="1">
      <alignment horizontal="left"/>
    </xf>
    <xf numFmtId="3" fontId="18" fillId="0" borderId="4" xfId="33" applyNumberFormat="1" applyFont="1" applyFill="1" applyBorder="1" applyAlignment="1"/>
    <xf numFmtId="10" fontId="18" fillId="0" borderId="0" xfId="33" applyNumberFormat="1" applyFont="1" applyFill="1" applyBorder="1" applyAlignment="1"/>
    <xf numFmtId="10" fontId="6" fillId="0" borderId="0" xfId="6" applyNumberFormat="1" applyFont="1" applyFill="1" applyBorder="1" applyAlignment="1"/>
    <xf numFmtId="3" fontId="18" fillId="0" borderId="0" xfId="7" applyNumberFormat="1" applyFont="1" applyFill="1" applyBorder="1" applyAlignment="1"/>
    <xf numFmtId="49" fontId="6" fillId="0" borderId="0" xfId="33" applyNumberFormat="1" applyFont="1" applyFill="1" applyBorder="1" applyAlignment="1">
      <alignment horizontal="center"/>
    </xf>
    <xf numFmtId="164" fontId="18" fillId="0" borderId="0" xfId="33" applyFont="1" applyFill="1" applyBorder="1" applyAlignment="1">
      <alignment horizontal="center"/>
    </xf>
    <xf numFmtId="49" fontId="21" fillId="0" borderId="0" xfId="33" applyNumberFormat="1" applyFont="1" applyFill="1" applyBorder="1" applyAlignment="1">
      <alignment horizontal="center"/>
    </xf>
    <xf numFmtId="0" fontId="20" fillId="0" borderId="0" xfId="33" applyNumberFormat="1" applyFont="1" applyFill="1" applyBorder="1" applyAlignment="1"/>
    <xf numFmtId="3" fontId="20" fillId="0" borderId="0" xfId="33" applyNumberFormat="1" applyFont="1" applyFill="1" applyBorder="1" applyAlignment="1"/>
    <xf numFmtId="170" fontId="18" fillId="0" borderId="0" xfId="33" applyNumberFormat="1" applyFont="1" applyFill="1" applyBorder="1" applyAlignment="1">
      <alignment horizontal="center"/>
    </xf>
    <xf numFmtId="0" fontId="18" fillId="0" borderId="0" xfId="7" applyNumberFormat="1" applyFont="1" applyFill="1" applyBorder="1" applyAlignment="1"/>
    <xf numFmtId="4" fontId="18" fillId="0" borderId="0" xfId="7" applyNumberFormat="1" applyFont="1" applyFill="1" applyBorder="1" applyAlignment="1"/>
    <xf numFmtId="0" fontId="6" fillId="0" borderId="0" xfId="7" applyNumberFormat="1" applyFont="1" applyFill="1" applyBorder="1" applyAlignment="1"/>
    <xf numFmtId="0" fontId="6" fillId="0" borderId="0" xfId="7" applyNumberFormat="1" applyFont="1" applyFill="1" applyBorder="1"/>
    <xf numFmtId="176" fontId="6" fillId="0" borderId="0" xfId="13" applyNumberFormat="1" applyFont="1" applyFill="1" applyBorder="1" applyAlignment="1"/>
    <xf numFmtId="164" fontId="20" fillId="0" borderId="12" xfId="7" applyFont="1" applyFill="1" applyBorder="1" applyAlignment="1">
      <alignment horizontal="center"/>
    </xf>
    <xf numFmtId="164" fontId="20" fillId="0" borderId="0" xfId="7" applyFont="1" applyFill="1" applyBorder="1" applyAlignment="1">
      <alignment horizontal="center"/>
    </xf>
    <xf numFmtId="176" fontId="6" fillId="5" borderId="0" xfId="13" applyNumberFormat="1" applyFont="1" applyFill="1" applyBorder="1" applyAlignment="1"/>
    <xf numFmtId="3" fontId="6" fillId="0" borderId="0" xfId="7" applyNumberFormat="1" applyFont="1" applyFill="1" applyBorder="1" applyAlignment="1"/>
    <xf numFmtId="164" fontId="21" fillId="0" borderId="0" xfId="7" applyFont="1" applyFill="1" applyBorder="1" applyAlignment="1">
      <alignment horizontal="center"/>
    </xf>
    <xf numFmtId="3" fontId="21" fillId="0" borderId="0" xfId="7" applyNumberFormat="1" applyFont="1" applyFill="1" applyBorder="1" applyAlignment="1">
      <alignment horizontal="center"/>
    </xf>
    <xf numFmtId="171" fontId="6" fillId="0" borderId="0" xfId="1" applyNumberFormat="1" applyFont="1" applyFill="1" applyBorder="1" applyAlignment="1"/>
    <xf numFmtId="10" fontId="6" fillId="5" borderId="0" xfId="6" applyNumberFormat="1" applyFont="1" applyFill="1" applyBorder="1" applyAlignment="1"/>
    <xf numFmtId="0" fontId="6" fillId="5" borderId="0" xfId="13" applyNumberFormat="1" applyFont="1" applyFill="1" applyBorder="1" applyAlignment="1">
      <alignment horizontal="center"/>
    </xf>
    <xf numFmtId="164" fontId="18" fillId="0" borderId="0" xfId="7" applyFont="1" applyFill="1" applyBorder="1" applyAlignment="1">
      <alignment horizontal="right"/>
    </xf>
    <xf numFmtId="4" fontId="6" fillId="0" borderId="0" xfId="7" applyNumberFormat="1" applyFont="1" applyFill="1" applyBorder="1" applyAlignment="1"/>
    <xf numFmtId="0" fontId="18" fillId="0" borderId="0" xfId="7" applyNumberFormat="1" applyFont="1" applyFill="1" applyBorder="1"/>
    <xf numFmtId="164" fontId="6" fillId="0" borderId="0" xfId="7" applyFont="1" applyFill="1" applyBorder="1" applyAlignment="1">
      <alignment horizontal="right"/>
    </xf>
    <xf numFmtId="176" fontId="6" fillId="0" borderId="4" xfId="13" applyNumberFormat="1" applyFont="1" applyFill="1" applyBorder="1" applyAlignment="1"/>
    <xf numFmtId="175" fontId="18" fillId="0" borderId="0" xfId="7" applyNumberFormat="1" applyFont="1" applyFill="1" applyBorder="1" applyAlignment="1">
      <alignment horizontal="center"/>
    </xf>
    <xf numFmtId="0" fontId="18" fillId="0" borderId="0" xfId="7" quotePrefix="1" applyNumberFormat="1" applyFont="1" applyFill="1" applyBorder="1" applyAlignment="1">
      <alignment horizontal="center"/>
    </xf>
    <xf numFmtId="3" fontId="6" fillId="0" borderId="0" xfId="7" applyNumberFormat="1" applyFont="1" applyFill="1" applyBorder="1" applyAlignment="1">
      <alignment horizontal="center"/>
    </xf>
    <xf numFmtId="0" fontId="6" fillId="0" borderId="0" xfId="7" applyNumberFormat="1" applyFont="1" applyFill="1" applyBorder="1" applyAlignment="1">
      <alignment horizontal="center"/>
    </xf>
    <xf numFmtId="164" fontId="6" fillId="0" borderId="12" xfId="7" applyFont="1" applyFill="1" applyBorder="1" applyAlignment="1">
      <alignment horizontal="center" vertical="top" wrapText="1"/>
    </xf>
    <xf numFmtId="164" fontId="6" fillId="0" borderId="12" xfId="7" applyFont="1" applyFill="1" applyBorder="1" applyAlignment="1">
      <alignment horizontal="center" vertical="top"/>
    </xf>
    <xf numFmtId="0" fontId="18" fillId="0" borderId="12" xfId="7" applyNumberFormat="1" applyFont="1" applyFill="1" applyBorder="1" applyAlignment="1">
      <alignment horizontal="center" vertical="top" wrapText="1"/>
    </xf>
    <xf numFmtId="4" fontId="6" fillId="0" borderId="13" xfId="7" applyNumberFormat="1" applyFont="1" applyFill="1" applyBorder="1" applyAlignment="1">
      <alignment horizontal="center" vertical="top" wrapText="1"/>
    </xf>
    <xf numFmtId="164" fontId="6" fillId="0" borderId="13" xfId="7" applyFont="1" applyFill="1" applyBorder="1" applyAlignment="1">
      <alignment horizontal="center" vertical="top" wrapText="1"/>
    </xf>
    <xf numFmtId="0" fontId="18" fillId="0" borderId="13" xfId="7" applyNumberFormat="1" applyFont="1" applyFill="1" applyBorder="1" applyAlignment="1">
      <alignment horizontal="center" vertical="top" wrapText="1"/>
    </xf>
    <xf numFmtId="3" fontId="18" fillId="0" borderId="13" xfId="7" applyNumberFormat="1" applyFont="1" applyFill="1" applyBorder="1" applyAlignment="1">
      <alignment horizontal="center" vertical="top" wrapText="1"/>
    </xf>
    <xf numFmtId="3" fontId="18" fillId="0" borderId="12" xfId="7" applyNumberFormat="1" applyFont="1" applyFill="1" applyBorder="1" applyAlignment="1">
      <alignment horizontal="center" vertical="top" wrapText="1"/>
    </xf>
    <xf numFmtId="0" fontId="6" fillId="0" borderId="0" xfId="7" applyNumberFormat="1" applyFont="1" applyFill="1" applyBorder="1" applyAlignment="1">
      <alignment vertical="top"/>
    </xf>
    <xf numFmtId="164" fontId="6" fillId="0" borderId="0" xfId="7" applyFont="1" applyFill="1" applyBorder="1" applyAlignment="1">
      <alignment vertical="top"/>
    </xf>
    <xf numFmtId="0" fontId="18" fillId="0" borderId="11" xfId="7" applyNumberFormat="1" applyFont="1" applyFill="1" applyBorder="1" applyAlignment="1">
      <alignment horizontal="center" vertical="top" wrapText="1"/>
    </xf>
    <xf numFmtId="0" fontId="18" fillId="0" borderId="12" xfId="7" applyNumberFormat="1" applyFont="1" applyFill="1" applyBorder="1"/>
    <xf numFmtId="0" fontId="18" fillId="0" borderId="12" xfId="7" applyNumberFormat="1" applyFont="1" applyFill="1" applyBorder="1" applyAlignment="1">
      <alignment horizontal="center"/>
    </xf>
    <xf numFmtId="4" fontId="18" fillId="0" borderId="13" xfId="7" applyNumberFormat="1" applyFont="1" applyFill="1" applyBorder="1" applyAlignment="1">
      <alignment horizontal="center"/>
    </xf>
    <xf numFmtId="0" fontId="18" fillId="0" borderId="13" xfId="7" applyNumberFormat="1" applyFont="1" applyFill="1" applyBorder="1" applyAlignment="1">
      <alignment horizontal="center"/>
    </xf>
    <xf numFmtId="3" fontId="18" fillId="0" borderId="12" xfId="7" applyNumberFormat="1" applyFont="1" applyFill="1" applyBorder="1" applyAlignment="1">
      <alignment horizontal="center"/>
    </xf>
    <xf numFmtId="3" fontId="18" fillId="0" borderId="13" xfId="7" applyNumberFormat="1" applyFont="1" applyFill="1" applyBorder="1" applyAlignment="1">
      <alignment horizontal="center" wrapText="1"/>
    </xf>
    <xf numFmtId="0" fontId="18" fillId="0" borderId="11" xfId="7" applyNumberFormat="1" applyFont="1" applyFill="1" applyBorder="1" applyAlignment="1">
      <alignment horizontal="center"/>
    </xf>
    <xf numFmtId="0" fontId="18" fillId="0" borderId="3" xfId="7" applyNumberFormat="1" applyFont="1" applyFill="1" applyBorder="1"/>
    <xf numFmtId="4" fontId="18" fillId="0" borderId="14" xfId="7" applyNumberFormat="1" applyFont="1" applyFill="1" applyBorder="1"/>
    <xf numFmtId="0" fontId="18" fillId="0" borderId="14" xfId="7" applyNumberFormat="1" applyFont="1" applyFill="1" applyBorder="1"/>
    <xf numFmtId="3" fontId="18" fillId="0" borderId="14" xfId="7" applyNumberFormat="1" applyFont="1" applyFill="1" applyBorder="1" applyAlignment="1"/>
    <xf numFmtId="0" fontId="18" fillId="0" borderId="6" xfId="7" applyNumberFormat="1" applyFont="1" applyFill="1" applyBorder="1"/>
    <xf numFmtId="0" fontId="6" fillId="0" borderId="6" xfId="1" applyNumberFormat="1" applyFont="1" applyFill="1" applyBorder="1" applyAlignment="1">
      <alignment horizontal="center"/>
    </xf>
    <xf numFmtId="4" fontId="6" fillId="0" borderId="14" xfId="7" applyNumberFormat="1" applyFont="1" applyFill="1" applyBorder="1" applyAlignment="1"/>
    <xf numFmtId="174" fontId="6" fillId="0" borderId="14" xfId="7" applyNumberFormat="1" applyFont="1" applyFill="1" applyBorder="1" applyAlignment="1"/>
    <xf numFmtId="176" fontId="6" fillId="5" borderId="14" xfId="13" applyNumberFormat="1" applyFont="1" applyFill="1" applyBorder="1" applyAlignment="1"/>
    <xf numFmtId="176" fontId="18" fillId="0" borderId="14" xfId="13" applyNumberFormat="1" applyFont="1" applyFill="1" applyBorder="1" applyAlignment="1"/>
    <xf numFmtId="10" fontId="6" fillId="0" borderId="14" xfId="6" applyNumberFormat="1" applyFont="1" applyFill="1" applyBorder="1" applyAlignment="1"/>
    <xf numFmtId="176" fontId="6" fillId="5" borderId="6" xfId="13" applyNumberFormat="1" applyFont="1" applyFill="1" applyBorder="1" applyAlignment="1"/>
    <xf numFmtId="3" fontId="6" fillId="0" borderId="14" xfId="7" applyNumberFormat="1" applyFont="1" applyFill="1" applyBorder="1" applyAlignment="1"/>
    <xf numFmtId="164" fontId="26" fillId="0" borderId="8" xfId="7" applyFont="1" applyFill="1" applyBorder="1" applyAlignment="1">
      <alignment horizontal="center"/>
    </xf>
    <xf numFmtId="164" fontId="26" fillId="0" borderId="9" xfId="7" applyFont="1" applyFill="1" applyBorder="1" applyAlignment="1"/>
    <xf numFmtId="4" fontId="26" fillId="0" borderId="15" xfId="7" applyNumberFormat="1" applyFont="1" applyFill="1" applyBorder="1" applyAlignment="1"/>
    <xf numFmtId="164" fontId="26" fillId="0" borderId="15" xfId="7" applyFont="1" applyFill="1" applyBorder="1" applyAlignment="1"/>
    <xf numFmtId="164" fontId="26" fillId="0" borderId="8" xfId="7" applyFont="1" applyFill="1" applyBorder="1" applyAlignment="1"/>
    <xf numFmtId="164" fontId="18" fillId="0" borderId="0" xfId="7" applyFont="1" applyFill="1" applyBorder="1" applyAlignment="1">
      <alignment horizontal="center"/>
    </xf>
    <xf numFmtId="43" fontId="6" fillId="11" borderId="0" xfId="1" applyFont="1" applyFill="1" applyBorder="1" applyAlignment="1"/>
    <xf numFmtId="4" fontId="26" fillId="0" borderId="0" xfId="7" applyNumberFormat="1" applyFont="1" applyFill="1" applyBorder="1" applyAlignment="1"/>
    <xf numFmtId="0" fontId="58" fillId="0" borderId="0" xfId="34" applyFont="1" applyAlignment="1"/>
    <xf numFmtId="164" fontId="18" fillId="0" borderId="0" xfId="7" applyFont="1" applyFill="1" applyBorder="1" applyAlignment="1"/>
    <xf numFmtId="174" fontId="18" fillId="0" borderId="0" xfId="7" applyNumberFormat="1" applyFont="1" applyFill="1" applyBorder="1" applyAlignment="1"/>
    <xf numFmtId="0" fontId="24" fillId="0" borderId="0" xfId="34" applyFont="1" applyAlignment="1"/>
    <xf numFmtId="164" fontId="26" fillId="11" borderId="0" xfId="7" applyFont="1" applyFill="1" applyBorder="1" applyAlignment="1"/>
    <xf numFmtId="164" fontId="6" fillId="0" borderId="0" xfId="7" applyFont="1" applyFill="1" applyBorder="1" applyAlignment="1">
      <alignment vertical="top" wrapText="1"/>
    </xf>
    <xf numFmtId="164" fontId="26" fillId="0" borderId="1" xfId="7" applyFont="1" applyFill="1" applyBorder="1" applyAlignment="1"/>
    <xf numFmtId="4" fontId="26" fillId="0" borderId="1" xfId="7" applyNumberFormat="1" applyFont="1" applyFill="1" applyBorder="1" applyAlignment="1"/>
    <xf numFmtId="164" fontId="6" fillId="0" borderId="1" xfId="7" applyFont="1" applyFill="1" applyBorder="1" applyAlignment="1"/>
    <xf numFmtId="164" fontId="6" fillId="11" borderId="0" xfId="7" applyFont="1" applyFill="1" applyBorder="1" applyAlignment="1"/>
    <xf numFmtId="4" fontId="6" fillId="11" borderId="0" xfId="7" applyNumberFormat="1" applyFont="1" applyFill="1" applyBorder="1" applyAlignment="1"/>
    <xf numFmtId="0" fontId="3" fillId="11" borderId="0" xfId="35" applyFill="1"/>
    <xf numFmtId="0" fontId="59" fillId="0" borderId="0" xfId="35" applyFont="1"/>
    <xf numFmtId="0" fontId="3" fillId="0" borderId="0" xfId="35"/>
    <xf numFmtId="0" fontId="17" fillId="3" borderId="19" xfId="3" applyBorder="1" applyAlignment="1">
      <alignment horizontal="center" vertical="center" wrapText="1"/>
    </xf>
    <xf numFmtId="0" fontId="3" fillId="0" borderId="0" xfId="35" applyAlignment="1">
      <alignment horizontal="left" indent="1"/>
    </xf>
    <xf numFmtId="171" fontId="16" fillId="0" borderId="0" xfId="35" applyNumberFormat="1" applyFont="1"/>
    <xf numFmtId="10" fontId="3" fillId="0" borderId="0" xfId="35" applyNumberFormat="1"/>
    <xf numFmtId="0" fontId="16" fillId="0" borderId="0" xfId="35" applyFont="1" applyAlignment="1">
      <alignment horizontal="left" indent="2"/>
    </xf>
    <xf numFmtId="171" fontId="0" fillId="0" borderId="4" xfId="1" applyNumberFormat="1" applyFont="1" applyBorder="1"/>
    <xf numFmtId="171" fontId="38" fillId="0" borderId="4" xfId="1" applyNumberFormat="1" applyFont="1" applyFill="1" applyBorder="1"/>
    <xf numFmtId="0" fontId="16" fillId="0" borderId="0" xfId="35" applyFont="1" applyAlignment="1">
      <alignment horizontal="right"/>
    </xf>
    <xf numFmtId="10" fontId="16" fillId="0" borderId="0" xfId="6" applyNumberFormat="1" applyFont="1"/>
    <xf numFmtId="43" fontId="60" fillId="0" borderId="0" xfId="1" applyFont="1"/>
    <xf numFmtId="0" fontId="61" fillId="0" borderId="0" xfId="35" applyFont="1" applyAlignment="1">
      <alignment horizontal="left" indent="1"/>
    </xf>
    <xf numFmtId="0" fontId="3" fillId="0" borderId="0" xfId="35" applyFont="1"/>
    <xf numFmtId="171" fontId="24" fillId="0" borderId="0" xfId="1" applyNumberFormat="1" applyFont="1"/>
    <xf numFmtId="0" fontId="3" fillId="0" borderId="0" xfId="35" applyFont="1" applyAlignment="1">
      <alignment horizontal="left" indent="1"/>
    </xf>
    <xf numFmtId="171" fontId="16" fillId="0" borderId="0" xfId="1" applyNumberFormat="1" applyFont="1"/>
    <xf numFmtId="171" fontId="24" fillId="0" borderId="4" xfId="1" applyNumberFormat="1" applyFont="1" applyBorder="1"/>
    <xf numFmtId="171" fontId="44" fillId="0" borderId="4" xfId="1" applyNumberFormat="1" applyFont="1" applyBorder="1"/>
    <xf numFmtId="0" fontId="16" fillId="0" borderId="0" xfId="35" applyFont="1" applyAlignment="1">
      <alignment horizontal="left" indent="1"/>
    </xf>
    <xf numFmtId="43" fontId="62" fillId="0" borderId="0" xfId="1" applyFont="1"/>
    <xf numFmtId="0" fontId="24" fillId="0" borderId="0" xfId="17" applyFont="1"/>
    <xf numFmtId="171" fontId="3" fillId="0" borderId="0" xfId="35" applyNumberFormat="1" applyFont="1"/>
    <xf numFmtId="171" fontId="44" fillId="0" borderId="4" xfId="1" applyNumberFormat="1" applyFont="1" applyFill="1" applyBorder="1"/>
    <xf numFmtId="171" fontId="24" fillId="0" borderId="0" xfId="1" applyNumberFormat="1" applyFont="1" applyBorder="1"/>
    <xf numFmtId="171" fontId="44" fillId="0" borderId="0" xfId="1" applyNumberFormat="1" applyFont="1" applyBorder="1"/>
    <xf numFmtId="0" fontId="17" fillId="0" borderId="0" xfId="3" applyFill="1" applyBorder="1" applyAlignment="1">
      <alignment horizontal="center" vertical="center" wrapText="1"/>
    </xf>
    <xf numFmtId="0" fontId="17" fillId="0" borderId="0" xfId="3" applyFill="1" applyBorder="1" applyAlignment="1">
      <alignment horizontal="center" vertical="top" wrapText="1"/>
    </xf>
    <xf numFmtId="0" fontId="3" fillId="0" borderId="0" xfId="35" applyFill="1"/>
    <xf numFmtId="0" fontId="16" fillId="11" borderId="0" xfId="35" applyFont="1" applyFill="1" applyAlignment="1">
      <alignment horizontal="left" indent="2"/>
    </xf>
    <xf numFmtId="171" fontId="3" fillId="11" borderId="0" xfId="35" applyNumberFormat="1" applyFill="1"/>
    <xf numFmtId="0" fontId="46" fillId="11" borderId="0" xfId="35" applyFont="1" applyFill="1"/>
    <xf numFmtId="171" fontId="46" fillId="11" borderId="0" xfId="35" applyNumberFormat="1" applyFont="1" applyFill="1"/>
    <xf numFmtId="43" fontId="63" fillId="0" borderId="0" xfId="1" applyFont="1" applyFill="1"/>
    <xf numFmtId="0" fontId="46" fillId="0" borderId="0" xfId="35" applyFont="1" applyFill="1"/>
    <xf numFmtId="0" fontId="62" fillId="0" borderId="0" xfId="35" applyFont="1" applyFill="1" applyAlignment="1">
      <alignment horizontal="left" indent="1"/>
    </xf>
    <xf numFmtId="0" fontId="62" fillId="0" borderId="0" xfId="35" applyFont="1" applyFill="1"/>
    <xf numFmtId="171" fontId="37" fillId="0" borderId="0" xfId="21" applyNumberFormat="1" applyFont="1" applyFill="1"/>
    <xf numFmtId="171" fontId="62" fillId="0" borderId="0" xfId="35" applyNumberFormat="1" applyFont="1" applyFill="1"/>
    <xf numFmtId="10" fontId="62" fillId="0" borderId="0" xfId="35" applyNumberFormat="1" applyFont="1" applyFill="1"/>
    <xf numFmtId="0" fontId="62" fillId="0" borderId="0" xfId="35" applyFont="1" applyFill="1" applyAlignment="1">
      <alignment horizontal="left" indent="2"/>
    </xf>
    <xf numFmtId="1" fontId="55" fillId="9" borderId="0" xfId="14" applyNumberFormat="1" applyFont="1" applyFill="1" applyAlignment="1">
      <alignment horizontal="center" wrapText="1"/>
    </xf>
    <xf numFmtId="174" fontId="55" fillId="9" borderId="0" xfId="14" applyNumberFormat="1" applyFont="1" applyFill="1" applyAlignment="1">
      <alignment horizontal="center" wrapText="1"/>
    </xf>
    <xf numFmtId="0" fontId="18" fillId="0" borderId="4" xfId="5" applyNumberFormat="1" applyFont="1" applyFill="1" applyBorder="1" applyAlignment="1" applyProtection="1">
      <protection locked="0"/>
    </xf>
    <xf numFmtId="0" fontId="18" fillId="0" borderId="4" xfId="5" applyNumberFormat="1" applyFont="1" applyFill="1" applyBorder="1" applyAlignment="1" applyProtection="1">
      <alignment horizontal="left"/>
      <protection locked="0"/>
    </xf>
    <xf numFmtId="0" fontId="18" fillId="0" borderId="4" xfId="5" applyNumberFormat="1" applyFont="1" applyFill="1" applyBorder="1" applyProtection="1">
      <protection locked="0"/>
    </xf>
    <xf numFmtId="164" fontId="6" fillId="0" borderId="4" xfId="5" applyFill="1" applyBorder="1" applyAlignment="1"/>
    <xf numFmtId="0" fontId="18" fillId="0" borderId="4" xfId="5" applyNumberFormat="1" applyFont="1" applyFill="1" applyBorder="1"/>
    <xf numFmtId="0" fontId="18" fillId="0" borderId="4" xfId="5" applyNumberFormat="1" applyFont="1" applyFill="1" applyBorder="1" applyAlignment="1" applyProtection="1">
      <alignment horizontal="right"/>
      <protection locked="0"/>
    </xf>
    <xf numFmtId="0" fontId="6" fillId="0" borderId="4" xfId="5" applyNumberFormat="1" applyFont="1" applyFill="1" applyBorder="1"/>
    <xf numFmtId="0" fontId="19" fillId="0" borderId="4" xfId="5" applyNumberFormat="1" applyFont="1" applyFill="1" applyBorder="1"/>
    <xf numFmtId="164" fontId="6" fillId="0" borderId="4" xfId="5" applyFont="1" applyFill="1" applyBorder="1" applyAlignment="1"/>
    <xf numFmtId="164" fontId="6" fillId="0" borderId="0" xfId="5" applyFill="1" applyBorder="1" applyAlignment="1"/>
    <xf numFmtId="164" fontId="6" fillId="11" borderId="0" xfId="5" applyFill="1" applyBorder="1" applyAlignment="1"/>
    <xf numFmtId="0" fontId="18" fillId="0" borderId="0" xfId="5" applyNumberFormat="1" applyFont="1" applyFill="1" applyBorder="1" applyAlignment="1" applyProtection="1">
      <protection locked="0"/>
    </xf>
    <xf numFmtId="3" fontId="18" fillId="0" borderId="0" xfId="5" applyNumberFormat="1" applyFont="1" applyFill="1" applyBorder="1" applyAlignment="1"/>
    <xf numFmtId="0" fontId="18" fillId="0" borderId="0" xfId="5" applyNumberFormat="1" applyFont="1" applyFill="1" applyBorder="1" applyProtection="1">
      <protection locked="0"/>
    </xf>
    <xf numFmtId="0" fontId="6" fillId="0" borderId="0" xfId="5" applyNumberFormat="1" applyFont="1" applyFill="1" applyBorder="1"/>
    <xf numFmtId="0" fontId="19" fillId="0" borderId="0" xfId="5" applyNumberFormat="1" applyFont="1" applyFill="1" applyBorder="1" applyAlignment="1">
      <alignment horizontal="center"/>
    </xf>
    <xf numFmtId="0" fontId="19" fillId="0" borderId="0" xfId="5" applyNumberFormat="1" applyFont="1" applyFill="1" applyBorder="1"/>
    <xf numFmtId="3" fontId="18" fillId="0" borderId="0" xfId="5" applyNumberFormat="1" applyFont="1" applyFill="1" applyBorder="1"/>
    <xf numFmtId="0" fontId="18" fillId="0" borderId="0" xfId="5" applyNumberFormat="1" applyFont="1" applyFill="1" applyBorder="1" applyAlignment="1">
      <alignment horizontal="center"/>
    </xf>
    <xf numFmtId="49" fontId="18" fillId="0" borderId="0" xfId="5" applyNumberFormat="1" applyFont="1" applyFill="1" applyBorder="1" applyAlignment="1">
      <alignment horizontal="center"/>
    </xf>
    <xf numFmtId="3" fontId="6" fillId="0" borderId="0" xfId="5" applyNumberFormat="1" applyFont="1" applyFill="1" applyBorder="1" applyAlignment="1"/>
    <xf numFmtId="0" fontId="18" fillId="0" borderId="0" xfId="5" applyNumberFormat="1" applyFont="1" applyFill="1" applyBorder="1" applyAlignment="1"/>
    <xf numFmtId="3" fontId="20" fillId="0" borderId="0" xfId="5" applyNumberFormat="1" applyFont="1" applyFill="1" applyBorder="1" applyAlignment="1">
      <alignment horizontal="center"/>
    </xf>
    <xf numFmtId="0" fontId="6" fillId="0" borderId="0" xfId="5" applyNumberFormat="1" applyFont="1" applyFill="1" applyBorder="1" applyAlignment="1">
      <alignment horizontal="center"/>
    </xf>
    <xf numFmtId="0" fontId="6" fillId="0" borderId="0" xfId="5" applyNumberFormat="1" applyFill="1" applyBorder="1" applyAlignment="1" applyProtection="1">
      <alignment horizontal="center"/>
      <protection locked="0"/>
    </xf>
    <xf numFmtId="164" fontId="20" fillId="0" borderId="0" xfId="5" applyFont="1" applyFill="1" applyBorder="1" applyAlignment="1">
      <alignment horizontal="center"/>
    </xf>
    <xf numFmtId="0" fontId="20" fillId="0" borderId="0" xfId="5" applyNumberFormat="1" applyFont="1" applyFill="1" applyBorder="1" applyAlignment="1" applyProtection="1">
      <alignment horizontal="center"/>
      <protection locked="0"/>
    </xf>
    <xf numFmtId="0" fontId="21" fillId="0" borderId="0" xfId="5" applyNumberFormat="1" applyFont="1" applyFill="1" applyBorder="1" applyAlignment="1">
      <alignment horizontal="center"/>
    </xf>
    <xf numFmtId="0" fontId="20" fillId="0" borderId="0" xfId="5" applyNumberFormat="1" applyFont="1" applyFill="1" applyBorder="1" applyAlignment="1"/>
    <xf numFmtId="0" fontId="22" fillId="0" borderId="0" xfId="5" applyNumberFormat="1" applyFont="1" applyFill="1" applyBorder="1" applyAlignment="1" applyProtection="1">
      <alignment horizontal="center"/>
      <protection locked="0"/>
    </xf>
    <xf numFmtId="3" fontId="6" fillId="0" borderId="0" xfId="5" applyNumberFormat="1" applyFill="1" applyBorder="1" applyAlignment="1">
      <alignment horizontal="center"/>
    </xf>
    <xf numFmtId="3" fontId="18" fillId="0" borderId="0" xfId="5" applyNumberFormat="1" applyFont="1" applyFill="1" applyBorder="1" applyAlignment="1">
      <alignment horizontal="center"/>
    </xf>
    <xf numFmtId="171" fontId="18" fillId="5" borderId="0" xfId="1" applyNumberFormat="1" applyFont="1" applyFill="1" applyBorder="1" applyAlignment="1"/>
    <xf numFmtId="171" fontId="18" fillId="5" borderId="9" xfId="1" applyNumberFormat="1" applyFont="1" applyFill="1" applyBorder="1" applyAlignment="1"/>
    <xf numFmtId="3" fontId="28" fillId="0" borderId="0" xfId="5" applyNumberFormat="1" applyFont="1" applyFill="1" applyBorder="1" applyAlignment="1"/>
    <xf numFmtId="41" fontId="18" fillId="0" borderId="0" xfId="5" applyNumberFormat="1" applyFont="1" applyFill="1" applyBorder="1" applyAlignment="1"/>
    <xf numFmtId="10" fontId="20" fillId="0" borderId="0" xfId="5" applyNumberFormat="1" applyFont="1" applyFill="1" applyBorder="1" applyAlignment="1"/>
    <xf numFmtId="10" fontId="18" fillId="0" borderId="0" xfId="5" applyNumberFormat="1" applyFont="1" applyFill="1" applyBorder="1" applyAlignment="1"/>
    <xf numFmtId="3" fontId="21" fillId="0" borderId="0" xfId="5" applyNumberFormat="1" applyFont="1" applyFill="1" applyBorder="1" applyAlignment="1"/>
    <xf numFmtId="169" fontId="20" fillId="0" borderId="0" xfId="5" applyNumberFormat="1" applyFont="1" applyFill="1" applyBorder="1" applyAlignment="1"/>
    <xf numFmtId="49" fontId="6" fillId="0" borderId="0" xfId="5" applyNumberFormat="1" applyFont="1" applyFill="1" applyBorder="1" applyAlignment="1">
      <alignment horizontal="center"/>
    </xf>
    <xf numFmtId="164" fontId="18" fillId="0" borderId="0" xfId="5" applyFont="1" applyFill="1" applyBorder="1" applyAlignment="1">
      <alignment horizontal="center"/>
    </xf>
    <xf numFmtId="49" fontId="6" fillId="0" borderId="0" xfId="5" applyNumberFormat="1" applyFill="1" applyBorder="1" applyAlignment="1">
      <alignment horizontal="center"/>
    </xf>
    <xf numFmtId="0" fontId="20" fillId="0" borderId="0" xfId="5" applyNumberFormat="1" applyFont="1" applyFill="1" applyBorder="1" applyAlignment="1">
      <alignment horizontal="center"/>
    </xf>
    <xf numFmtId="3" fontId="6" fillId="0" borderId="0" xfId="5" applyNumberFormat="1" applyFont="1" applyFill="1" applyBorder="1" applyAlignment="1">
      <alignment horizontal="center"/>
    </xf>
    <xf numFmtId="49" fontId="21" fillId="0" borderId="0" xfId="5" applyNumberFormat="1" applyFont="1" applyFill="1" applyBorder="1" applyAlignment="1">
      <alignment horizontal="center"/>
    </xf>
    <xf numFmtId="0" fontId="6" fillId="0" borderId="0" xfId="5" applyNumberFormat="1" applyFont="1" applyFill="1" applyBorder="1" applyAlignment="1">
      <alignment horizontal="fill"/>
    </xf>
    <xf numFmtId="3" fontId="30" fillId="0" borderId="0" xfId="5" applyNumberFormat="1" applyFont="1" applyFill="1" applyBorder="1" applyAlignment="1"/>
    <xf numFmtId="164" fontId="25" fillId="0" borderId="0" xfId="5" applyFont="1" applyFill="1" applyBorder="1" applyAlignment="1"/>
    <xf numFmtId="170" fontId="18" fillId="0" borderId="0" xfId="5" applyNumberFormat="1" applyFont="1" applyFill="1" applyBorder="1" applyAlignment="1">
      <alignment horizontal="center"/>
    </xf>
    <xf numFmtId="174" fontId="6" fillId="0" borderId="0" xfId="5" applyNumberFormat="1" applyFill="1" applyBorder="1" applyAlignment="1"/>
    <xf numFmtId="3" fontId="20" fillId="0" borderId="0" xfId="5" applyNumberFormat="1" applyFont="1" applyFill="1" applyBorder="1" applyAlignment="1"/>
    <xf numFmtId="176" fontId="18" fillId="0" borderId="0" xfId="13" applyNumberFormat="1" applyFont="1" applyFill="1" applyBorder="1" applyAlignment="1"/>
    <xf numFmtId="164" fontId="18" fillId="0" borderId="12" xfId="7" applyFont="1" applyFill="1" applyBorder="1" applyAlignment="1">
      <alignment horizontal="center"/>
    </xf>
    <xf numFmtId="164" fontId="18" fillId="0" borderId="0" xfId="5" applyFont="1" applyFill="1" applyBorder="1" applyAlignment="1"/>
    <xf numFmtId="10" fontId="18" fillId="5" borderId="0" xfId="6" applyNumberFormat="1" applyFont="1" applyFill="1" applyBorder="1" applyAlignment="1">
      <alignment horizontal="center"/>
    </xf>
    <xf numFmtId="176" fontId="6" fillId="0" borderId="0" xfId="1" applyNumberFormat="1" applyFont="1" applyFill="1" applyBorder="1" applyAlignment="1"/>
    <xf numFmtId="175" fontId="18" fillId="0" borderId="0" xfId="5" quotePrefix="1" applyNumberFormat="1" applyFont="1" applyFill="1" applyBorder="1" applyAlignment="1">
      <alignment horizontal="center"/>
    </xf>
    <xf numFmtId="175" fontId="18" fillId="11" borderId="0" xfId="5" quotePrefix="1" applyNumberFormat="1" applyFont="1" applyFill="1" applyBorder="1" applyAlignment="1">
      <alignment horizontal="center"/>
    </xf>
    <xf numFmtId="175" fontId="18" fillId="11" borderId="0" xfId="7" applyNumberFormat="1" applyFont="1" applyFill="1" applyBorder="1" applyAlignment="1">
      <alignment horizontal="center"/>
    </xf>
    <xf numFmtId="164" fontId="6" fillId="0" borderId="12" xfId="5" applyFont="1" applyFill="1" applyBorder="1" applyAlignment="1">
      <alignment horizontal="center" vertical="top" wrapText="1"/>
    </xf>
    <xf numFmtId="0" fontId="18" fillId="0" borderId="12" xfId="5" applyNumberFormat="1" applyFont="1" applyFill="1" applyBorder="1" applyAlignment="1">
      <alignment horizontal="center" vertical="top" wrapText="1"/>
    </xf>
    <xf numFmtId="164" fontId="6" fillId="0" borderId="16" xfId="5" applyFont="1" applyFill="1" applyBorder="1" applyAlignment="1">
      <alignment horizontal="center" vertical="top" wrapText="1"/>
    </xf>
    <xf numFmtId="164" fontId="6" fillId="0" borderId="13" xfId="5" applyFont="1" applyFill="1" applyBorder="1" applyAlignment="1">
      <alignment horizontal="center" vertical="top" wrapText="1"/>
    </xf>
    <xf numFmtId="3" fontId="18" fillId="0" borderId="13" xfId="5" applyNumberFormat="1" applyFont="1" applyFill="1" applyBorder="1" applyAlignment="1">
      <alignment horizontal="center" vertical="top" wrapText="1"/>
    </xf>
    <xf numFmtId="3" fontId="18" fillId="0" borderId="12" xfId="5" applyNumberFormat="1" applyFont="1" applyFill="1" applyBorder="1" applyAlignment="1">
      <alignment horizontal="center" vertical="top" wrapText="1"/>
    </xf>
    <xf numFmtId="3" fontId="6" fillId="0" borderId="0" xfId="5" applyNumberFormat="1" applyFont="1" applyFill="1" applyBorder="1" applyAlignment="1">
      <alignment vertical="top"/>
    </xf>
    <xf numFmtId="0" fontId="18" fillId="0" borderId="12" xfId="5" applyNumberFormat="1" applyFont="1" applyFill="1" applyBorder="1"/>
    <xf numFmtId="0" fontId="18" fillId="0" borderId="12" xfId="5" quotePrefix="1" applyNumberFormat="1" applyFont="1" applyFill="1" applyBorder="1" applyAlignment="1">
      <alignment horizontal="center"/>
    </xf>
    <xf numFmtId="0" fontId="18" fillId="0" borderId="12" xfId="5" applyNumberFormat="1" applyFont="1" applyFill="1" applyBorder="1" applyAlignment="1">
      <alignment horizontal="center"/>
    </xf>
    <xf numFmtId="0" fontId="18" fillId="0" borderId="13" xfId="5" quotePrefix="1" applyNumberFormat="1" applyFont="1" applyFill="1" applyBorder="1" applyAlignment="1">
      <alignment horizontal="center"/>
    </xf>
    <xf numFmtId="0" fontId="18" fillId="0" borderId="13" xfId="5" applyNumberFormat="1" applyFont="1" applyFill="1" applyBorder="1" applyAlignment="1">
      <alignment horizontal="center"/>
    </xf>
    <xf numFmtId="3" fontId="18" fillId="0" borderId="12" xfId="5" applyNumberFormat="1" applyFont="1" applyFill="1" applyBorder="1" applyAlignment="1">
      <alignment horizontal="center"/>
    </xf>
    <xf numFmtId="3" fontId="18" fillId="0" borderId="13" xfId="5" applyNumberFormat="1" applyFont="1" applyFill="1" applyBorder="1" applyAlignment="1">
      <alignment horizontal="center" wrapText="1"/>
    </xf>
    <xf numFmtId="0" fontId="18" fillId="0" borderId="14" xfId="5" applyNumberFormat="1" applyFont="1" applyFill="1" applyBorder="1"/>
    <xf numFmtId="3" fontId="18" fillId="0" borderId="14" xfId="5" applyNumberFormat="1" applyFont="1" applyFill="1" applyBorder="1" applyAlignment="1"/>
    <xf numFmtId="0" fontId="6" fillId="0" borderId="17" xfId="5" applyNumberFormat="1" applyFont="1" applyFill="1" applyBorder="1"/>
    <xf numFmtId="3" fontId="6" fillId="0" borderId="17" xfId="5" applyNumberFormat="1" applyFont="1" applyFill="1" applyBorder="1" applyAlignment="1"/>
    <xf numFmtId="164" fontId="6" fillId="0" borderId="17" xfId="5" applyFont="1" applyFill="1" applyBorder="1" applyAlignment="1"/>
    <xf numFmtId="0" fontId="18" fillId="5" borderId="0" xfId="1" applyNumberFormat="1" applyFont="1" applyFill="1" applyBorder="1" applyAlignment="1"/>
    <xf numFmtId="164" fontId="6" fillId="5" borderId="0" xfId="5" applyFill="1" applyBorder="1" applyAlignment="1"/>
    <xf numFmtId="176" fontId="18" fillId="5" borderId="0" xfId="13" applyNumberFormat="1" applyFont="1" applyFill="1" applyBorder="1" applyAlignment="1"/>
    <xf numFmtId="176" fontId="18" fillId="0" borderId="7" xfId="13" applyNumberFormat="1" applyFont="1" applyFill="1" applyBorder="1" applyAlignment="1"/>
    <xf numFmtId="10" fontId="18" fillId="0" borderId="14" xfId="6" applyNumberFormat="1" applyFont="1" applyFill="1" applyBorder="1" applyAlignment="1"/>
    <xf numFmtId="164" fontId="26" fillId="0" borderId="0" xfId="5" applyFont="1" applyFill="1" applyBorder="1" applyAlignment="1"/>
    <xf numFmtId="44" fontId="18" fillId="0" borderId="14" xfId="13" applyNumberFormat="1" applyFont="1" applyFill="1" applyBorder="1" applyAlignment="1"/>
    <xf numFmtId="164" fontId="6" fillId="5" borderId="0" xfId="5" applyFont="1" applyFill="1" applyBorder="1" applyAlignment="1"/>
    <xf numFmtId="164" fontId="26" fillId="5" borderId="0" xfId="5" applyFont="1" applyFill="1" applyBorder="1" applyAlignment="1"/>
    <xf numFmtId="164" fontId="26" fillId="0" borderId="14" xfId="5" applyFont="1" applyFill="1" applyBorder="1" applyAlignment="1"/>
    <xf numFmtId="164" fontId="6" fillId="0" borderId="14" xfId="5" applyFont="1" applyFill="1" applyBorder="1" applyAlignment="1"/>
    <xf numFmtId="10" fontId="26" fillId="0" borderId="14" xfId="6" applyNumberFormat="1" applyFont="1" applyFill="1" applyBorder="1" applyAlignment="1"/>
    <xf numFmtId="0" fontId="18" fillId="0" borderId="4" xfId="5" applyNumberFormat="1" applyFont="1" applyFill="1" applyBorder="1" applyAlignment="1"/>
    <xf numFmtId="176" fontId="18" fillId="0" borderId="4" xfId="13" applyNumberFormat="1" applyFont="1" applyFill="1" applyBorder="1" applyAlignment="1"/>
    <xf numFmtId="10" fontId="18" fillId="0" borderId="4" xfId="6" applyNumberFormat="1" applyFont="1" applyFill="1" applyBorder="1" applyAlignment="1"/>
    <xf numFmtId="43" fontId="23" fillId="11" borderId="0" xfId="1" applyFont="1" applyFill="1" applyBorder="1" applyAlignment="1"/>
    <xf numFmtId="0" fontId="61" fillId="0" borderId="0" xfId="36" applyFont="1" applyAlignment="1"/>
    <xf numFmtId="0" fontId="3" fillId="0" borderId="0" xfId="36" applyFont="1" applyAlignment="1"/>
    <xf numFmtId="164" fontId="6" fillId="0" borderId="0" xfId="5" applyFill="1" applyBorder="1" applyAlignment="1">
      <alignment vertical="top" wrapText="1"/>
    </xf>
    <xf numFmtId="164" fontId="6" fillId="0" borderId="0" xfId="5" applyFont="1" applyFill="1" applyBorder="1" applyAlignment="1">
      <alignment vertical="top" wrapText="1"/>
    </xf>
    <xf numFmtId="164" fontId="6" fillId="0" borderId="0" xfId="5" applyFill="1" applyBorder="1" applyAlignment="1">
      <alignment horizontal="left" vertical="top" wrapText="1"/>
    </xf>
    <xf numFmtId="184" fontId="6" fillId="0" borderId="0" xfId="6" applyNumberFormat="1" applyFont="1" applyFill="1" applyBorder="1" applyAlignment="1"/>
    <xf numFmtId="164" fontId="6" fillId="0" borderId="0" xfId="5" applyFont="1" applyFill="1" applyBorder="1" applyAlignment="1">
      <alignment wrapText="1"/>
    </xf>
    <xf numFmtId="164" fontId="6" fillId="0" borderId="0" xfId="5" applyFont="1" applyFill="1" applyBorder="1" applyAlignment="1">
      <alignment horizontal="left" wrapText="1"/>
    </xf>
    <xf numFmtId="0" fontId="3" fillId="0" borderId="0" xfId="36" applyAlignment="1"/>
    <xf numFmtId="164" fontId="6" fillId="0" borderId="1" xfId="5" applyFont="1" applyFill="1" applyBorder="1" applyAlignment="1"/>
    <xf numFmtId="164" fontId="6" fillId="0" borderId="1" xfId="5" applyFill="1" applyBorder="1" applyAlignment="1"/>
    <xf numFmtId="164" fontId="26" fillId="0" borderId="1" xfId="5" applyFont="1" applyFill="1" applyBorder="1" applyAlignment="1"/>
    <xf numFmtId="164" fontId="26" fillId="11" borderId="0" xfId="5" applyFont="1" applyFill="1" applyBorder="1" applyAlignment="1"/>
    <xf numFmtId="1" fontId="55" fillId="9" borderId="7" xfId="14" applyNumberFormat="1" applyFont="1" applyFill="1" applyBorder="1" applyAlignment="1">
      <alignment horizontal="center" wrapText="1"/>
    </xf>
    <xf numFmtId="174" fontId="55" fillId="9" borderId="7" xfId="14" applyNumberFormat="1" applyFont="1" applyFill="1" applyBorder="1" applyAlignment="1">
      <alignment horizontal="center" wrapText="1"/>
    </xf>
    <xf numFmtId="174" fontId="39" fillId="9" borderId="10" xfId="14" applyNumberFormat="1" applyFont="1" applyFill="1" applyBorder="1" applyAlignment="1">
      <alignment horizontal="center" wrapText="1"/>
    </xf>
    <xf numFmtId="0" fontId="5" fillId="0" borderId="0" xfId="0" quotePrefix="1" applyFont="1"/>
    <xf numFmtId="9" fontId="0" fillId="0" borderId="0" xfId="0" applyNumberFormat="1"/>
    <xf numFmtId="176" fontId="26" fillId="0" borderId="0" xfId="5" applyNumberFormat="1" applyFont="1" applyFill="1" applyBorder="1" applyAlignment="1">
      <alignment horizontal="center" vertical="top"/>
    </xf>
    <xf numFmtId="176" fontId="5" fillId="0" borderId="7" xfId="10" applyNumberFormat="1" applyFill="1" applyBorder="1"/>
    <xf numFmtId="171" fontId="5" fillId="0" borderId="0" xfId="10" applyNumberFormat="1" applyFill="1" applyBorder="1"/>
    <xf numFmtId="0" fontId="5" fillId="0" borderId="0" xfId="17" applyAlignment="1">
      <alignment horizontal="center" wrapText="1"/>
    </xf>
    <xf numFmtId="0" fontId="50" fillId="0" borderId="0" xfId="17" applyFont="1"/>
    <xf numFmtId="171" fontId="5" fillId="0" borderId="0" xfId="1" applyNumberFormat="1" applyFont="1"/>
    <xf numFmtId="0" fontId="5" fillId="0" borderId="0" xfId="30" quotePrefix="1" applyFont="1" applyBorder="1" applyAlignment="1">
      <alignment horizontal="center" wrapText="1"/>
    </xf>
    <xf numFmtId="185" fontId="5" fillId="0" borderId="0" xfId="17" quotePrefix="1" applyNumberFormat="1" applyAlignment="1">
      <alignment horizontal="left"/>
    </xf>
    <xf numFmtId="171" fontId="5" fillId="0" borderId="0" xfId="1" applyNumberFormat="1" applyFont="1" applyFill="1"/>
    <xf numFmtId="0" fontId="5" fillId="0" borderId="0" xfId="30" applyFont="1" applyFill="1"/>
    <xf numFmtId="171" fontId="5" fillId="5" borderId="0" xfId="30" applyNumberFormat="1" applyFont="1" applyFill="1" applyBorder="1"/>
    <xf numFmtId="0" fontId="53" fillId="0" borderId="0" xfId="17" applyFont="1" applyBorder="1"/>
    <xf numFmtId="14" fontId="53" fillId="0" borderId="0" xfId="17" applyNumberFormat="1" applyFont="1" applyBorder="1" applyAlignment="1">
      <alignment horizontal="center"/>
    </xf>
    <xf numFmtId="0" fontId="52" fillId="0" borderId="0" xfId="17" applyFont="1" applyAlignment="1"/>
    <xf numFmtId="171" fontId="38" fillId="0" borderId="0" xfId="1" applyNumberFormat="1" applyFont="1"/>
    <xf numFmtId="0" fontId="52" fillId="0" borderId="0" xfId="17" applyFont="1" applyFill="1" applyAlignment="1"/>
    <xf numFmtId="0" fontId="47" fillId="0" borderId="0" xfId="17" applyFont="1" applyFill="1"/>
    <xf numFmtId="0" fontId="52" fillId="0" borderId="0" xfId="17" quotePrefix="1" applyFont="1" applyAlignment="1">
      <alignment horizontal="left"/>
    </xf>
    <xf numFmtId="171" fontId="38" fillId="5" borderId="0" xfId="1" applyNumberFormat="1" applyFont="1" applyFill="1"/>
    <xf numFmtId="43" fontId="5" fillId="0" borderId="0" xfId="29" applyNumberFormat="1"/>
    <xf numFmtId="176" fontId="5" fillId="0" borderId="0" xfId="29" applyNumberFormat="1"/>
    <xf numFmtId="0" fontId="14" fillId="0" borderId="0" xfId="0" applyFont="1" applyFill="1" applyBorder="1" applyAlignment="1">
      <alignment horizontal="center" vertical="center" wrapText="1"/>
    </xf>
    <xf numFmtId="0" fontId="43" fillId="0" borderId="0" xfId="17" applyFont="1"/>
    <xf numFmtId="41" fontId="5" fillId="0" borderId="0" xfId="37"/>
    <xf numFmtId="37" fontId="5" fillId="0" borderId="0" xfId="17" applyNumberFormat="1" applyFill="1"/>
    <xf numFmtId="37" fontId="5" fillId="0" borderId="0" xfId="17" applyNumberFormat="1"/>
    <xf numFmtId="5" fontId="5" fillId="0" borderId="0" xfId="17" applyNumberFormat="1" applyFill="1"/>
    <xf numFmtId="37" fontId="5" fillId="0" borderId="4" xfId="17" applyNumberFormat="1" applyBorder="1"/>
    <xf numFmtId="165" fontId="5" fillId="0" borderId="0" xfId="17" applyNumberFormat="1"/>
    <xf numFmtId="37" fontId="5" fillId="10" borderId="0" xfId="17" applyNumberFormat="1" applyFill="1"/>
    <xf numFmtId="0" fontId="5" fillId="0" borderId="0" xfId="38"/>
    <xf numFmtId="0" fontId="5" fillId="0" borderId="0" xfId="38" applyAlignment="1">
      <alignment horizontal="center"/>
    </xf>
    <xf numFmtId="0" fontId="5" fillId="0" borderId="0" xfId="38" applyBorder="1"/>
    <xf numFmtId="0" fontId="38" fillId="0" borderId="0" xfId="38" applyFont="1"/>
    <xf numFmtId="0" fontId="5" fillId="0" borderId="0" xfId="38" applyBorder="1" applyAlignment="1">
      <alignment horizontal="center"/>
    </xf>
    <xf numFmtId="0" fontId="38" fillId="0" borderId="0" xfId="39" quotePrefix="1" applyFont="1" applyAlignment="1">
      <alignment horizontal="left"/>
    </xf>
    <xf numFmtId="170" fontId="5" fillId="0" borderId="0" xfId="6" quotePrefix="1" applyNumberFormat="1" applyFont="1"/>
    <xf numFmtId="0" fontId="50" fillId="0" borderId="0" xfId="38" applyFont="1" applyBorder="1" applyAlignment="1">
      <alignment horizontal="center"/>
    </xf>
    <xf numFmtId="178" fontId="5" fillId="0" borderId="0" xfId="6" applyNumberFormat="1" applyBorder="1"/>
    <xf numFmtId="9" fontId="5" fillId="0" borderId="2" xfId="6" applyBorder="1"/>
    <xf numFmtId="0" fontId="5" fillId="0" borderId="0" xfId="38" applyBorder="1" applyAlignment="1">
      <alignment horizontal="center" wrapText="1"/>
    </xf>
    <xf numFmtId="170" fontId="5" fillId="0" borderId="0" xfId="38" applyNumberFormat="1" applyBorder="1" applyAlignment="1">
      <alignment horizontal="center" wrapText="1"/>
    </xf>
    <xf numFmtId="170" fontId="5" fillId="0" borderId="0" xfId="38" applyNumberFormat="1" applyBorder="1"/>
    <xf numFmtId="10" fontId="5" fillId="0" borderId="0" xfId="38" applyNumberFormat="1" applyBorder="1" applyProtection="1">
      <protection locked="0"/>
    </xf>
    <xf numFmtId="181" fontId="5" fillId="0" borderId="0" xfId="38" applyNumberFormat="1" applyProtection="1">
      <protection locked="0"/>
    </xf>
    <xf numFmtId="181" fontId="5" fillId="0" borderId="0" xfId="6" applyNumberFormat="1" applyProtection="1">
      <protection locked="0"/>
    </xf>
    <xf numFmtId="181" fontId="5" fillId="0" borderId="0" xfId="6" applyNumberFormat="1" applyBorder="1" applyProtection="1">
      <protection locked="0"/>
    </xf>
    <xf numFmtId="0" fontId="5" fillId="0" borderId="0" xfId="38" applyFill="1" applyBorder="1"/>
    <xf numFmtId="10" fontId="5" fillId="0" borderId="0" xfId="38" applyNumberFormat="1" applyFill="1" applyBorder="1" applyProtection="1">
      <protection locked="0"/>
    </xf>
    <xf numFmtId="0" fontId="5" fillId="0" borderId="0" xfId="38" applyFont="1" applyFill="1" applyBorder="1"/>
    <xf numFmtId="0" fontId="5" fillId="0" borderId="0" xfId="38" applyBorder="1" applyAlignment="1">
      <alignment horizontal="right"/>
    </xf>
    <xf numFmtId="181" fontId="5" fillId="0" borderId="21" xfId="6" applyNumberFormat="1" applyBorder="1"/>
    <xf numFmtId="0" fontId="53" fillId="0" borderId="0" xfId="38" applyFont="1" applyBorder="1"/>
    <xf numFmtId="178" fontId="5" fillId="0" borderId="0" xfId="38" applyNumberFormat="1" applyBorder="1"/>
    <xf numFmtId="0" fontId="38" fillId="0" borderId="0" xfId="40" applyFont="1"/>
    <xf numFmtId="0" fontId="5" fillId="0" borderId="0" xfId="40"/>
    <xf numFmtId="0" fontId="38" fillId="0" borderId="0" xfId="40" quotePrefix="1" applyFont="1" applyAlignment="1">
      <alignment horizontal="left"/>
    </xf>
    <xf numFmtId="0" fontId="5" fillId="0" borderId="0" xfId="40" quotePrefix="1" applyFont="1" applyAlignment="1">
      <alignment horizontal="left"/>
    </xf>
    <xf numFmtId="0" fontId="5" fillId="0" borderId="0" xfId="40" applyFont="1"/>
    <xf numFmtId="176" fontId="5" fillId="0" borderId="0" xfId="13" applyNumberFormat="1"/>
    <xf numFmtId="176" fontId="5" fillId="0" borderId="9" xfId="13" applyNumberFormat="1" applyBorder="1"/>
    <xf numFmtId="176" fontId="5" fillId="0" borderId="0" xfId="13" applyNumberFormat="1" applyFont="1"/>
    <xf numFmtId="176" fontId="5" fillId="0" borderId="0" xfId="40" applyNumberFormat="1"/>
    <xf numFmtId="0" fontId="5" fillId="0" borderId="0" xfId="40" quotePrefix="1" applyAlignment="1">
      <alignment horizontal="left"/>
    </xf>
    <xf numFmtId="178" fontId="5" fillId="0" borderId="0" xfId="40" applyNumberFormat="1"/>
    <xf numFmtId="0" fontId="38" fillId="0" borderId="0" xfId="17" quotePrefix="1" applyFont="1" applyAlignment="1">
      <alignment horizontal="left"/>
    </xf>
    <xf numFmtId="165" fontId="0" fillId="0" borderId="0" xfId="0" applyNumberFormat="1"/>
    <xf numFmtId="176" fontId="5" fillId="0" borderId="0" xfId="17" applyNumberFormat="1"/>
    <xf numFmtId="0" fontId="0" fillId="0" borderId="0" xfId="0" quotePrefix="1" applyFont="1" applyAlignment="1">
      <alignment horizontal="left"/>
    </xf>
    <xf numFmtId="178" fontId="5" fillId="5" borderId="21" xfId="6" applyNumberFormat="1" applyFill="1" applyBorder="1"/>
    <xf numFmtId="182" fontId="5" fillId="5" borderId="21" xfId="6" applyNumberFormat="1" applyFill="1" applyBorder="1"/>
    <xf numFmtId="10" fontId="0" fillId="5" borderId="0" xfId="24" applyNumberFormat="1" applyFont="1" applyFill="1"/>
    <xf numFmtId="0" fontId="1" fillId="0" borderId="0" xfId="41"/>
    <xf numFmtId="0" fontId="1" fillId="0" borderId="0" xfId="41" applyAlignment="1">
      <alignment horizontal="center"/>
    </xf>
    <xf numFmtId="49" fontId="1" fillId="0" borderId="0" xfId="41" applyNumberFormat="1" applyAlignment="1">
      <alignment horizontal="center"/>
    </xf>
    <xf numFmtId="171" fontId="0" fillId="0" borderId="0" xfId="42" applyNumberFormat="1" applyFont="1"/>
    <xf numFmtId="171" fontId="1" fillId="0" borderId="0" xfId="41" applyNumberFormat="1"/>
    <xf numFmtId="0" fontId="1" fillId="0" borderId="9" xfId="41" applyBorder="1" applyAlignment="1">
      <alignment horizontal="center"/>
    </xf>
    <xf numFmtId="171" fontId="0" fillId="0" borderId="9" xfId="42" applyNumberFormat="1" applyFont="1" applyBorder="1"/>
    <xf numFmtId="0" fontId="1" fillId="0" borderId="9" xfId="41" applyBorder="1"/>
    <xf numFmtId="0" fontId="1" fillId="0" borderId="0" xfId="41" applyBorder="1"/>
    <xf numFmtId="171" fontId="1" fillId="5" borderId="0" xfId="41" applyNumberFormat="1" applyFill="1"/>
    <xf numFmtId="171" fontId="0" fillId="0" borderId="0" xfId="42" applyNumberFormat="1" applyFont="1" applyBorder="1"/>
    <xf numFmtId="0" fontId="50" fillId="0" borderId="0" xfId="17" quotePrefix="1" applyFont="1" applyBorder="1" applyAlignment="1">
      <alignment horizontal="center"/>
    </xf>
    <xf numFmtId="0" fontId="7" fillId="0" borderId="0" xfId="0" applyNumberFormat="1" applyFont="1" applyFill="1" applyAlignment="1">
      <alignment vertical="top" wrapText="1"/>
    </xf>
    <xf numFmtId="0" fontId="7" fillId="0" borderId="0" xfId="2" applyNumberFormat="1" applyFont="1" applyFill="1" applyAlignment="1" applyProtection="1">
      <alignment vertical="top" wrapText="1"/>
      <protection locked="0"/>
    </xf>
    <xf numFmtId="0" fontId="7" fillId="0" borderId="0" xfId="0" applyNumberFormat="1" applyFont="1" applyAlignment="1">
      <alignment horizontal="left" wrapText="1"/>
    </xf>
    <xf numFmtId="0" fontId="7" fillId="0" borderId="0" xfId="2" applyNumberFormat="1" applyFont="1" applyFill="1" applyAlignment="1">
      <alignment vertical="top" wrapText="1"/>
    </xf>
    <xf numFmtId="49" fontId="7" fillId="0" borderId="0" xfId="2" applyNumberFormat="1" applyFont="1" applyAlignment="1">
      <alignment horizontal="center"/>
    </xf>
    <xf numFmtId="164" fontId="7" fillId="0" borderId="0" xfId="2" applyFont="1" applyAlignment="1">
      <alignment horizontal="center"/>
    </xf>
    <xf numFmtId="49" fontId="7" fillId="0" borderId="0" xfId="2" applyNumberFormat="1" applyFont="1" applyAlignment="1" applyProtection="1">
      <alignment horizontal="center"/>
      <protection locked="0"/>
    </xf>
    <xf numFmtId="0" fontId="7" fillId="0" borderId="0" xfId="2" quotePrefix="1" applyNumberFormat="1" applyFont="1" applyFill="1" applyAlignment="1">
      <alignment horizontal="left" vertical="top" wrapText="1"/>
    </xf>
    <xf numFmtId="0" fontId="9" fillId="0" borderId="0" xfId="2" applyNumberFormat="1" applyFont="1" applyFill="1" applyAlignment="1" applyProtection="1">
      <alignment vertical="top" wrapText="1"/>
      <protection locked="0"/>
    </xf>
    <xf numFmtId="0" fontId="7" fillId="0" borderId="0" xfId="0" quotePrefix="1" applyNumberFormat="1" applyFont="1" applyFill="1" applyAlignment="1">
      <alignment horizontal="left" vertical="top" wrapText="1"/>
    </xf>
    <xf numFmtId="164" fontId="6" fillId="0" borderId="0" xfId="4" applyFont="1" applyFill="1" applyBorder="1" applyAlignment="1">
      <alignment horizontal="left"/>
    </xf>
    <xf numFmtId="164" fontId="6" fillId="0" borderId="0" xfId="5" applyFont="1" applyFill="1" applyBorder="1" applyAlignment="1">
      <alignment horizontal="left" vertical="top" wrapText="1"/>
    </xf>
    <xf numFmtId="164" fontId="6" fillId="0" borderId="0" xfId="4" applyFont="1" applyFill="1" applyBorder="1" applyAlignment="1">
      <alignment horizontal="left" vertical="top" wrapText="1"/>
    </xf>
    <xf numFmtId="164" fontId="6" fillId="0" borderId="0" xfId="4" applyFont="1" applyFill="1" applyBorder="1" applyAlignment="1">
      <alignment horizontal="left" wrapText="1"/>
    </xf>
    <xf numFmtId="0" fontId="31" fillId="0" borderId="0" xfId="9" applyAlignment="1">
      <alignment vertical="top" wrapText="1"/>
    </xf>
    <xf numFmtId="0" fontId="31" fillId="0" borderId="0" xfId="9" applyAlignment="1">
      <alignment horizontal="left" vertical="top" wrapText="1"/>
    </xf>
    <xf numFmtId="164" fontId="20" fillId="0" borderId="12" xfId="7" applyFont="1" applyFill="1" applyBorder="1" applyAlignment="1">
      <alignment horizontal="center"/>
    </xf>
    <xf numFmtId="3" fontId="21" fillId="0" borderId="12" xfId="7" applyNumberFormat="1" applyFont="1" applyFill="1" applyBorder="1" applyAlignment="1">
      <alignment horizontal="center"/>
    </xf>
    <xf numFmtId="164" fontId="21" fillId="0" borderId="12" xfId="7" applyFont="1" applyFill="1" applyBorder="1" applyAlignment="1">
      <alignment horizontal="center"/>
    </xf>
    <xf numFmtId="0" fontId="2" fillId="0" borderId="0" xfId="35" applyFont="1" applyAlignment="1">
      <alignment vertical="top" wrapText="1"/>
    </xf>
    <xf numFmtId="0" fontId="3" fillId="0" borderId="0" xfId="35" applyFont="1" applyAlignment="1">
      <alignment vertical="top" wrapText="1"/>
    </xf>
  </cellXfs>
  <cellStyles count="43">
    <cellStyle name="Accent5" xfId="3" builtinId="45"/>
    <cellStyle name="Comma" xfId="1" builtinId="3"/>
    <cellStyle name="Comma [0] 2" xfId="37"/>
    <cellStyle name="Comma 2" xfId="42"/>
    <cellStyle name="Comma 2 2" xfId="21"/>
    <cellStyle name="Comma 5" xfId="25"/>
    <cellStyle name="Currency" xfId="23" builtinId="4"/>
    <cellStyle name="Currency 10" xfId="13"/>
    <cellStyle name="Currency 2" xfId="8"/>
    <cellStyle name="Currency 4" xfId="26"/>
    <cellStyle name="Normal" xfId="0" builtinId="0"/>
    <cellStyle name="Normal 2" xfId="9"/>
    <cellStyle name="Normal 2 3 2" xfId="38"/>
    <cellStyle name="Normal 20" xfId="4"/>
    <cellStyle name="Normal 23" xfId="17"/>
    <cellStyle name="Normal 27" xfId="16"/>
    <cellStyle name="Normal 27 2" xfId="20"/>
    <cellStyle name="Normal 27 3" xfId="35"/>
    <cellStyle name="Normal 28" xfId="27"/>
    <cellStyle name="Normal 28 2" xfId="39"/>
    <cellStyle name="Normal 29" xfId="19"/>
    <cellStyle name="Normal 3" xfId="10"/>
    <cellStyle name="Normal 4" xfId="41"/>
    <cellStyle name="Normal 6 2 2" xfId="34"/>
    <cellStyle name="Normal 6 2 2 2" xfId="18"/>
    <cellStyle name="Normal 6 3 2" xfId="36"/>
    <cellStyle name="Normal 7" xfId="5"/>
    <cellStyle name="Normal_01_2011 - Revenue True up" xfId="31"/>
    <cellStyle name="Normal_Attachment GG (2)" xfId="14"/>
    <cellStyle name="Normal_Attachment GG Example 8 26 09" xfId="32"/>
    <cellStyle name="Normal_Attachment GG Template ER09-1657" xfId="33"/>
    <cellStyle name="Normal_Attachment GG Template ER11-28 11-18-10" xfId="7"/>
    <cellStyle name="Normal_Attachment O Support - 2004 True-up" xfId="30"/>
    <cellStyle name="Normal_Attachment Os for 2002 True-up" xfId="2"/>
    <cellStyle name="Normal_Schedule O Info for Mike" xfId="12"/>
    <cellStyle name="Normal_Sheet1" xfId="15"/>
    <cellStyle name="Normal_Sheet3" xfId="11"/>
    <cellStyle name="Normal_Solomon Queries - wo Proj. &amp; Task 2" xfId="29"/>
    <cellStyle name="Normal_TE Ownership % - 2008" xfId="40"/>
    <cellStyle name="Percent" xfId="24" builtinId="5"/>
    <cellStyle name="Percent 2" xfId="6"/>
    <cellStyle name="Percent 3" xfId="22"/>
    <cellStyle name="Percent 5"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asis.oati.com/woa/docs/ATC/ATCdocs/ATC_2016_Attach_O_GG_MM-0106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Financial%20Planning%20and%20Capital%20Allocation\2016%20Budget%20Planning\OASIS%20Posting%20(10.01.15)\01.05.16%20Posting\MISO-2016_ATC_Attach_O_GG_MM_Sch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xes\Accruals\2007\Tax%20Accruals_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axes\Accruals\2006\Tax%20Accruals_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3)"/>
      <sheetName val="Sheet1 (2)"/>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 sheetId="11"/>
      <sheetData sheetId="12"/>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62000</v>
          </cell>
          <cell r="E17">
            <v>20425</v>
          </cell>
          <cell r="F17">
            <v>2840402</v>
          </cell>
          <cell r="H17">
            <v>63590</v>
          </cell>
          <cell r="I17">
            <v>817</v>
          </cell>
          <cell r="J17">
            <v>459</v>
          </cell>
          <cell r="K17">
            <v>-41229</v>
          </cell>
          <cell r="L17">
            <v>-12937</v>
          </cell>
          <cell r="N17">
            <v>254</v>
          </cell>
          <cell r="O17">
            <v>650</v>
          </cell>
        </row>
        <row r="18">
          <cell r="A18" t="str">
            <v>October</v>
          </cell>
          <cell r="C18">
            <v>2941</v>
          </cell>
          <cell r="D18">
            <v>62000</v>
          </cell>
          <cell r="E18">
            <v>20425</v>
          </cell>
          <cell r="F18">
            <v>15689638</v>
          </cell>
          <cell r="H18">
            <v>63590</v>
          </cell>
          <cell r="I18">
            <v>817</v>
          </cell>
          <cell r="J18">
            <v>459</v>
          </cell>
          <cell r="K18">
            <v>-41229</v>
          </cell>
          <cell r="L18">
            <v>-12937</v>
          </cell>
          <cell r="N18">
            <v>254</v>
          </cell>
          <cell r="O18">
            <v>650</v>
          </cell>
        </row>
        <row r="19">
          <cell r="A19" t="str">
            <v>November</v>
          </cell>
          <cell r="D19">
            <v>62000</v>
          </cell>
          <cell r="E19">
            <v>20425</v>
          </cell>
          <cell r="F19">
            <v>29254795</v>
          </cell>
          <cell r="H19">
            <v>63590</v>
          </cell>
          <cell r="I19">
            <v>817</v>
          </cell>
          <cell r="J19">
            <v>459</v>
          </cell>
          <cell r="K19">
            <v>-41229</v>
          </cell>
          <cell r="L19">
            <v>-12937</v>
          </cell>
          <cell r="N19">
            <v>254</v>
          </cell>
          <cell r="O19">
            <v>650</v>
          </cell>
        </row>
        <row r="20">
          <cell r="A20" t="str">
            <v>December</v>
          </cell>
          <cell r="C20">
            <v>55642</v>
          </cell>
          <cell r="D20">
            <v>62000</v>
          </cell>
          <cell r="E20">
            <v>20425</v>
          </cell>
          <cell r="F20">
            <v>32095923</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refreshError="1"/>
      <sheetData sheetId="17" refreshError="1"/>
      <sheetData sheetId="18" refreshError="1"/>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3-1181"/>
      <sheetName val="Plant Balances (pg. 2) "/>
      <sheetName val="Expense (pg. 3) "/>
      <sheetName val="Wages &amp; Salaries (pg. 4)"/>
      <sheetName val=" Weighted Cost of Debt (pg. 4)"/>
      <sheetName val="Revenue (pg. 4)"/>
      <sheetName val="SIT (pg. 5)"/>
      <sheetName val="TEP (pg. 5)"/>
      <sheetName val="Precert Exp"/>
      <sheetName val="ATC Attach GG ER13-2297"/>
      <sheetName val="GG Support Data"/>
      <sheetName val="GG True-up Template"/>
      <sheetName val="GG True-up Int"/>
      <sheetName val="352 Correction (Sch 26)"/>
      <sheetName val="GIP Dep Correction (Sch 26)"/>
      <sheetName val="ATC Attach MM ER13-12"/>
      <sheetName val="MM Support Data"/>
      <sheetName val="MM True-up Template"/>
      <sheetName val="MM True-up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row>
        <row r="10">
          <cell r="C10" t="str">
            <v>Reliability</v>
          </cell>
          <cell r="D10" t="str">
            <v>Reliability</v>
          </cell>
          <cell r="E10" t="str">
            <v>Reliability</v>
          </cell>
          <cell r="F10" t="str">
            <v>Reliability</v>
          </cell>
          <cell r="G10" t="str">
            <v>GIP</v>
          </cell>
          <cell r="H10" t="str">
            <v>GIP</v>
          </cell>
          <cell r="I10" t="str">
            <v>GIP</v>
          </cell>
          <cell r="J10" t="str">
            <v>GIP</v>
          </cell>
          <cell r="K10" t="str">
            <v>Reliability</v>
          </cell>
          <cell r="L10" t="str">
            <v>Reliability</v>
          </cell>
          <cell r="M10" t="str">
            <v>Reliability</v>
          </cell>
          <cell r="N10" t="str">
            <v>Reliability</v>
          </cell>
          <cell r="O10" t="str">
            <v>Reliability</v>
          </cell>
          <cell r="P10" t="str">
            <v>Reliability</v>
          </cell>
        </row>
        <row r="11">
          <cell r="C11">
            <v>148505802.68000001</v>
          </cell>
          <cell r="D11">
            <v>8751971.6799999997</v>
          </cell>
          <cell r="E11">
            <v>88220916.11999999</v>
          </cell>
          <cell r="F11">
            <v>141173979.72999996</v>
          </cell>
          <cell r="G11">
            <v>1379725.86</v>
          </cell>
          <cell r="H11">
            <v>2141426.6300000004</v>
          </cell>
          <cell r="I11">
            <v>626602.79500000004</v>
          </cell>
          <cell r="J11">
            <v>405929.96500000003</v>
          </cell>
          <cell r="K11">
            <v>15402302.789999999</v>
          </cell>
          <cell r="L11">
            <v>139585.07999999999</v>
          </cell>
          <cell r="M11">
            <v>124237815.72999999</v>
          </cell>
          <cell r="N11">
            <v>0</v>
          </cell>
          <cell r="O11">
            <v>26412831.860000003</v>
          </cell>
          <cell r="P11">
            <v>71256447.754866093</v>
          </cell>
        </row>
        <row r="12">
          <cell r="C12">
            <v>148505802.68000001</v>
          </cell>
          <cell r="D12">
            <v>8751971.6799999997</v>
          </cell>
          <cell r="E12">
            <v>88220916.11999999</v>
          </cell>
          <cell r="F12">
            <v>141173979.72999996</v>
          </cell>
          <cell r="G12">
            <v>1379725.86</v>
          </cell>
          <cell r="H12">
            <v>2141426.6300000004</v>
          </cell>
          <cell r="I12">
            <v>626602.79500000004</v>
          </cell>
          <cell r="J12">
            <v>405929.96500000003</v>
          </cell>
          <cell r="K12">
            <v>15402302.789999999</v>
          </cell>
          <cell r="L12">
            <v>253131.32</v>
          </cell>
          <cell r="M12">
            <v>124237815.72999999</v>
          </cell>
          <cell r="N12">
            <v>0</v>
          </cell>
          <cell r="O12">
            <v>26432533.040000003</v>
          </cell>
          <cell r="P12">
            <v>74746949.625949591</v>
          </cell>
        </row>
        <row r="13">
          <cell r="C13">
            <v>148505802.68000001</v>
          </cell>
          <cell r="D13">
            <v>8751971.6799999997</v>
          </cell>
          <cell r="E13">
            <v>88220916.11999999</v>
          </cell>
          <cell r="F13">
            <v>141173979.72999996</v>
          </cell>
          <cell r="G13">
            <v>1379725.86</v>
          </cell>
          <cell r="H13">
            <v>2141426.6300000004</v>
          </cell>
          <cell r="I13">
            <v>626602.79500000004</v>
          </cell>
          <cell r="J13">
            <v>405929.96500000003</v>
          </cell>
          <cell r="K13">
            <v>15402302.789999999</v>
          </cell>
          <cell r="L13">
            <v>376283.91</v>
          </cell>
          <cell r="M13">
            <v>124237815.72999999</v>
          </cell>
          <cell r="N13">
            <v>0</v>
          </cell>
          <cell r="O13">
            <v>26454360.780000001</v>
          </cell>
          <cell r="P13">
            <v>78003340.555911258</v>
          </cell>
        </row>
        <row r="14">
          <cell r="C14">
            <v>148505802.68000001</v>
          </cell>
          <cell r="D14">
            <v>8751971.6799999997</v>
          </cell>
          <cell r="E14">
            <v>88220916.11999999</v>
          </cell>
          <cell r="F14">
            <v>141173979.72999996</v>
          </cell>
          <cell r="G14">
            <v>1379725.86</v>
          </cell>
          <cell r="H14">
            <v>2141426.6300000004</v>
          </cell>
          <cell r="I14">
            <v>626602.79500000004</v>
          </cell>
          <cell r="J14">
            <v>405929.96500000003</v>
          </cell>
          <cell r="K14">
            <v>15402302.789999999</v>
          </cell>
          <cell r="L14">
            <v>519983.52999999997</v>
          </cell>
          <cell r="M14">
            <v>124237815.72999999</v>
          </cell>
          <cell r="N14">
            <v>0</v>
          </cell>
          <cell r="O14">
            <v>26461606.859999999</v>
          </cell>
          <cell r="P14">
            <v>81406358.006168902</v>
          </cell>
        </row>
        <row r="15">
          <cell r="C15">
            <v>148505802.68000001</v>
          </cell>
          <cell r="D15">
            <v>8751971.6799999997</v>
          </cell>
          <cell r="E15">
            <v>88220916.11999999</v>
          </cell>
          <cell r="F15">
            <v>141173979.72999996</v>
          </cell>
          <cell r="G15">
            <v>1379725.86</v>
          </cell>
          <cell r="H15">
            <v>2141426.6300000004</v>
          </cell>
          <cell r="I15">
            <v>626602.79500000004</v>
          </cell>
          <cell r="J15">
            <v>405929.96500000003</v>
          </cell>
          <cell r="K15">
            <v>15402302.789999999</v>
          </cell>
          <cell r="L15">
            <v>661746.85</v>
          </cell>
          <cell r="M15">
            <v>124237815.72999999</v>
          </cell>
          <cell r="N15">
            <v>0</v>
          </cell>
          <cell r="O15">
            <v>26461606.859999999</v>
          </cell>
          <cell r="P15">
            <v>84565275.131990001</v>
          </cell>
        </row>
        <row r="16">
          <cell r="C16">
            <v>148505802.68000001</v>
          </cell>
          <cell r="D16">
            <v>8751971.6799999997</v>
          </cell>
          <cell r="E16">
            <v>88220916.11999999</v>
          </cell>
          <cell r="F16">
            <v>141173979.72999996</v>
          </cell>
          <cell r="G16">
            <v>1379725.86</v>
          </cell>
          <cell r="H16">
            <v>2141426.6300000004</v>
          </cell>
          <cell r="I16">
            <v>626602.79500000004</v>
          </cell>
          <cell r="J16">
            <v>405929.96500000003</v>
          </cell>
          <cell r="K16">
            <v>15402302.789999999</v>
          </cell>
          <cell r="L16">
            <v>809997.02</v>
          </cell>
          <cell r="M16">
            <v>124237815.72999999</v>
          </cell>
          <cell r="N16">
            <v>0</v>
          </cell>
          <cell r="O16">
            <v>26461606.859999999</v>
          </cell>
          <cell r="P16">
            <v>88061536.413053334</v>
          </cell>
        </row>
        <row r="17">
          <cell r="C17">
            <v>148505802.68000001</v>
          </cell>
          <cell r="D17">
            <v>8751971.6799999997</v>
          </cell>
          <cell r="E17">
            <v>88220916.11999999</v>
          </cell>
          <cell r="F17">
            <v>141173979.72999996</v>
          </cell>
          <cell r="G17">
            <v>1379725.86</v>
          </cell>
          <cell r="H17">
            <v>2141426.6300000004</v>
          </cell>
          <cell r="I17">
            <v>626602.79500000004</v>
          </cell>
          <cell r="J17">
            <v>405929.96500000003</v>
          </cell>
          <cell r="K17">
            <v>15402302.789999999</v>
          </cell>
          <cell r="L17">
            <v>1307795.23</v>
          </cell>
          <cell r="M17">
            <v>124237815.72999999</v>
          </cell>
          <cell r="N17">
            <v>0</v>
          </cell>
          <cell r="O17">
            <v>26461606.859999999</v>
          </cell>
          <cell r="P17">
            <v>92533465.443882585</v>
          </cell>
        </row>
        <row r="18">
          <cell r="C18">
            <v>148505802.68000001</v>
          </cell>
          <cell r="D18">
            <v>8751971.6799999997</v>
          </cell>
          <cell r="E18">
            <v>88220916.11999999</v>
          </cell>
          <cell r="F18">
            <v>141173979.72999996</v>
          </cell>
          <cell r="G18">
            <v>1379725.86</v>
          </cell>
          <cell r="H18">
            <v>2141426.6300000004</v>
          </cell>
          <cell r="I18">
            <v>626602.79500000004</v>
          </cell>
          <cell r="J18">
            <v>405929.96500000003</v>
          </cell>
          <cell r="K18">
            <v>15402302.789999999</v>
          </cell>
          <cell r="L18">
            <v>1464979.76</v>
          </cell>
          <cell r="M18">
            <v>124237815.72999999</v>
          </cell>
          <cell r="N18">
            <v>0</v>
          </cell>
          <cell r="O18">
            <v>26461606.859999999</v>
          </cell>
          <cell r="P18">
            <v>104230051.44256267</v>
          </cell>
        </row>
        <row r="19">
          <cell r="C19">
            <v>148505802.68000001</v>
          </cell>
          <cell r="D19">
            <v>8751971.6799999997</v>
          </cell>
          <cell r="E19">
            <v>88220916.11999999</v>
          </cell>
          <cell r="F19">
            <v>141173979.72999996</v>
          </cell>
          <cell r="G19">
            <v>1379725.86</v>
          </cell>
          <cell r="H19">
            <v>2141426.6300000004</v>
          </cell>
          <cell r="I19">
            <v>626602.79500000004</v>
          </cell>
          <cell r="J19">
            <v>405929.96500000003</v>
          </cell>
          <cell r="K19">
            <v>15402302.789999999</v>
          </cell>
          <cell r="L19">
            <v>1627389.76</v>
          </cell>
          <cell r="M19">
            <v>124237815.72999999</v>
          </cell>
          <cell r="N19">
            <v>0</v>
          </cell>
          <cell r="O19">
            <v>26461606.859999999</v>
          </cell>
          <cell r="P19">
            <v>114148658.1692242</v>
          </cell>
        </row>
        <row r="20">
          <cell r="C20">
            <v>148505802.68000001</v>
          </cell>
          <cell r="D20">
            <v>8751971.6799999997</v>
          </cell>
          <cell r="E20">
            <v>88220916.11999999</v>
          </cell>
          <cell r="F20">
            <v>141173979.72999996</v>
          </cell>
          <cell r="G20">
            <v>1379725.86</v>
          </cell>
          <cell r="H20">
            <v>2141426.6300000004</v>
          </cell>
          <cell r="I20">
            <v>626602.79500000004</v>
          </cell>
          <cell r="J20">
            <v>405929.96500000003</v>
          </cell>
          <cell r="K20">
            <v>15402302.789999999</v>
          </cell>
          <cell r="L20">
            <v>1786572.29</v>
          </cell>
          <cell r="M20">
            <v>124237815.72999999</v>
          </cell>
          <cell r="N20">
            <v>0</v>
          </cell>
          <cell r="O20">
            <v>26461606.859999999</v>
          </cell>
          <cell r="P20">
            <v>120459563.33155644</v>
          </cell>
        </row>
        <row r="21">
          <cell r="C21">
            <v>148505802.68000001</v>
          </cell>
          <cell r="D21">
            <v>8751971.6799999997</v>
          </cell>
          <cell r="E21">
            <v>88220916.11999999</v>
          </cell>
          <cell r="F21">
            <v>141173979.72999996</v>
          </cell>
          <cell r="G21">
            <v>1379725.86</v>
          </cell>
          <cell r="H21">
            <v>2141426.6300000004</v>
          </cell>
          <cell r="I21">
            <v>626602.79500000004</v>
          </cell>
          <cell r="J21">
            <v>405929.96500000003</v>
          </cell>
          <cell r="K21">
            <v>15402302.789999999</v>
          </cell>
          <cell r="L21">
            <v>1933748.1</v>
          </cell>
          <cell r="M21">
            <v>124237815.72999999</v>
          </cell>
          <cell r="N21">
            <v>0</v>
          </cell>
          <cell r="O21">
            <v>26461606.859999999</v>
          </cell>
          <cell r="P21">
            <v>128612477.79526778</v>
          </cell>
        </row>
        <row r="22">
          <cell r="C22">
            <v>148505802.68000001</v>
          </cell>
          <cell r="D22">
            <v>8751971.6799999997</v>
          </cell>
          <cell r="E22">
            <v>88220916.11999999</v>
          </cell>
          <cell r="F22">
            <v>141173979.72999996</v>
          </cell>
          <cell r="G22">
            <v>1379725.86</v>
          </cell>
          <cell r="H22">
            <v>2141426.6300000004</v>
          </cell>
          <cell r="I22">
            <v>626602.79500000004</v>
          </cell>
          <cell r="J22">
            <v>405929.96500000003</v>
          </cell>
          <cell r="K22">
            <v>15402302.789999999</v>
          </cell>
          <cell r="L22">
            <v>2122968.02</v>
          </cell>
          <cell r="M22">
            <v>124237815.72999999</v>
          </cell>
          <cell r="N22">
            <v>0</v>
          </cell>
          <cell r="O22">
            <v>26461606.859999999</v>
          </cell>
          <cell r="P22">
            <v>135117681.21079439</v>
          </cell>
        </row>
        <row r="23">
          <cell r="C23">
            <v>148505802.68000001</v>
          </cell>
          <cell r="D23">
            <v>8751971.6799999997</v>
          </cell>
          <cell r="E23">
            <v>88220916.11999999</v>
          </cell>
          <cell r="F23">
            <v>141173979.72999996</v>
          </cell>
          <cell r="G23">
            <v>1379725.86</v>
          </cell>
          <cell r="H23">
            <v>2141426.6300000004</v>
          </cell>
          <cell r="I23">
            <v>626602.79500000004</v>
          </cell>
          <cell r="J23">
            <v>405929.96500000003</v>
          </cell>
          <cell r="K23">
            <v>15402302.789999999</v>
          </cell>
          <cell r="L23">
            <v>2241636.5700000003</v>
          </cell>
          <cell r="M23">
            <v>124237815.72999999</v>
          </cell>
          <cell r="N23">
            <v>0</v>
          </cell>
          <cell r="O23">
            <v>26461606.859999999</v>
          </cell>
          <cell r="P23">
            <v>139439012.27032095</v>
          </cell>
        </row>
        <row r="24">
          <cell r="C24">
            <v>148505802.68000004</v>
          </cell>
          <cell r="D24">
            <v>8751971.6800000034</v>
          </cell>
          <cell r="E24">
            <v>88220916.11999999</v>
          </cell>
          <cell r="F24">
            <v>141173979.72999999</v>
          </cell>
          <cell r="G24">
            <v>1379725.8599999999</v>
          </cell>
          <cell r="H24">
            <v>2141426.63</v>
          </cell>
          <cell r="I24">
            <v>626602.79500000004</v>
          </cell>
          <cell r="J24">
            <v>405929.96499999991</v>
          </cell>
          <cell r="K24">
            <v>15402302.789999994</v>
          </cell>
          <cell r="L24">
            <v>1172755.1876923076</v>
          </cell>
          <cell r="M24">
            <v>124237815.73</v>
          </cell>
          <cell r="N24">
            <v>0</v>
          </cell>
          <cell r="O24">
            <v>26455061.098461546</v>
          </cell>
          <cell r="P24">
            <v>100967755.16550371</v>
          </cell>
        </row>
        <row r="27">
          <cell r="C27">
            <v>26422628.42611897</v>
          </cell>
          <cell r="D27">
            <v>1817222.4830000028</v>
          </cell>
          <cell r="E27">
            <v>15108599.996250212</v>
          </cell>
          <cell r="F27">
            <v>10305712.141462758</v>
          </cell>
          <cell r="G27">
            <v>275629.9299999997</v>
          </cell>
          <cell r="H27">
            <v>223215.21499999985</v>
          </cell>
          <cell r="I27">
            <v>71348.604999999981</v>
          </cell>
          <cell r="J27">
            <v>58834.484999999928</v>
          </cell>
          <cell r="K27">
            <v>2027813.9499999993</v>
          </cell>
          <cell r="L27">
            <v>0</v>
          </cell>
          <cell r="M27">
            <v>5184276.3435170352</v>
          </cell>
          <cell r="N27">
            <v>0</v>
          </cell>
          <cell r="O27">
            <v>116486.15304302052</v>
          </cell>
          <cell r="P27">
            <v>1484.4992622286081</v>
          </cell>
        </row>
        <row r="28">
          <cell r="C28">
            <v>26743168.772138804</v>
          </cell>
          <cell r="D28">
            <v>1838188.8230000027</v>
          </cell>
          <cell r="E28">
            <v>15297806.238958582</v>
          </cell>
          <cell r="F28">
            <v>10587982.270039871</v>
          </cell>
          <cell r="G28">
            <v>278808.78999999957</v>
          </cell>
          <cell r="H28">
            <v>228162.29999999981</v>
          </cell>
          <cell r="I28">
            <v>72871.849999999977</v>
          </cell>
          <cell r="J28">
            <v>60309.364999999932</v>
          </cell>
          <cell r="K28">
            <v>2065824.1600000001</v>
          </cell>
          <cell r="L28">
            <v>0</v>
          </cell>
          <cell r="M28">
            <v>5463974.5945741981</v>
          </cell>
          <cell r="N28">
            <v>0</v>
          </cell>
          <cell r="O28">
            <v>175949.71295016259</v>
          </cell>
          <cell r="P28">
            <v>2507.8800474107265</v>
          </cell>
        </row>
        <row r="29">
          <cell r="C29">
            <v>27063709.118158624</v>
          </cell>
          <cell r="D29">
            <v>1859155.1630000025</v>
          </cell>
          <cell r="E29">
            <v>15487012.481666952</v>
          </cell>
          <cell r="F29">
            <v>10870252.398616999</v>
          </cell>
          <cell r="G29">
            <v>281987.64999999967</v>
          </cell>
          <cell r="H29">
            <v>233109.38499999978</v>
          </cell>
          <cell r="I29">
            <v>74395.094999999972</v>
          </cell>
          <cell r="J29">
            <v>61784.244999999937</v>
          </cell>
          <cell r="K29">
            <v>2103834.3699999992</v>
          </cell>
          <cell r="L29">
            <v>0</v>
          </cell>
          <cell r="M29">
            <v>5743672.845631361</v>
          </cell>
          <cell r="N29">
            <v>0</v>
          </cell>
          <cell r="O29">
            <v>235457.62638651952</v>
          </cell>
          <cell r="P29">
            <v>3531.260832592845</v>
          </cell>
        </row>
        <row r="30">
          <cell r="C30">
            <v>27384249.464178443</v>
          </cell>
          <cell r="D30">
            <v>1880121.5030000024</v>
          </cell>
          <cell r="E30">
            <v>15676218.724375308</v>
          </cell>
          <cell r="F30">
            <v>11152522.527194127</v>
          </cell>
          <cell r="G30">
            <v>285166.50999999978</v>
          </cell>
          <cell r="H30">
            <v>238056.46999999974</v>
          </cell>
          <cell r="I30">
            <v>75918.339999999967</v>
          </cell>
          <cell r="J30">
            <v>63259.124999999942</v>
          </cell>
          <cell r="K30">
            <v>2141844.58</v>
          </cell>
          <cell r="L30">
            <v>0</v>
          </cell>
          <cell r="M30">
            <v>6023371.096688509</v>
          </cell>
          <cell r="N30">
            <v>0</v>
          </cell>
          <cell r="O30">
            <v>295014.68090497702</v>
          </cell>
          <cell r="P30">
            <v>4554.6416177451611</v>
          </cell>
        </row>
        <row r="31">
          <cell r="C31">
            <v>27704789.810198277</v>
          </cell>
          <cell r="D31">
            <v>1901087.8430000022</v>
          </cell>
          <cell r="E31">
            <v>15865424.967083678</v>
          </cell>
          <cell r="F31">
            <v>11434792.655771241</v>
          </cell>
          <cell r="G31">
            <v>288345.36999999965</v>
          </cell>
          <cell r="H31">
            <v>243003.5549999997</v>
          </cell>
          <cell r="I31">
            <v>77441.584999999963</v>
          </cell>
          <cell r="J31">
            <v>64734.004999999946</v>
          </cell>
          <cell r="K31">
            <v>2179854.7899999991</v>
          </cell>
          <cell r="L31">
            <v>0</v>
          </cell>
          <cell r="M31">
            <v>6303069.3477456719</v>
          </cell>
          <cell r="N31">
            <v>0</v>
          </cell>
          <cell r="O31">
            <v>354588.04861995205</v>
          </cell>
          <cell r="P31">
            <v>5578.0224029421806</v>
          </cell>
        </row>
        <row r="32">
          <cell r="C32">
            <v>28025330.156218112</v>
          </cell>
          <cell r="D32">
            <v>1922054.183000003</v>
          </cell>
          <cell r="E32">
            <v>16054631.209792048</v>
          </cell>
          <cell r="F32">
            <v>11717062.784348369</v>
          </cell>
          <cell r="G32">
            <v>291524.22999999952</v>
          </cell>
          <cell r="H32">
            <v>247950.63999999966</v>
          </cell>
          <cell r="I32">
            <v>78964.829999999958</v>
          </cell>
          <cell r="J32">
            <v>66208.884999999951</v>
          </cell>
          <cell r="K32">
            <v>2217865</v>
          </cell>
          <cell r="L32">
            <v>0</v>
          </cell>
          <cell r="M32">
            <v>6582767.5988028347</v>
          </cell>
          <cell r="N32">
            <v>0</v>
          </cell>
          <cell r="O32">
            <v>414161.41633492708</v>
          </cell>
          <cell r="P32">
            <v>6601.4031881392002</v>
          </cell>
        </row>
        <row r="33">
          <cell r="C33">
            <v>28345870.502237931</v>
          </cell>
          <cell r="D33">
            <v>1943020.5230000028</v>
          </cell>
          <cell r="E33">
            <v>16243837.452500403</v>
          </cell>
          <cell r="F33">
            <v>11999332.912925497</v>
          </cell>
          <cell r="G33">
            <v>294703.08999999962</v>
          </cell>
          <cell r="H33">
            <v>252897.72499999986</v>
          </cell>
          <cell r="I33">
            <v>80488.074999999953</v>
          </cell>
          <cell r="J33">
            <v>67683.764999999956</v>
          </cell>
          <cell r="K33">
            <v>2255875.209999999</v>
          </cell>
          <cell r="L33">
            <v>0</v>
          </cell>
          <cell r="M33">
            <v>6862465.8498599976</v>
          </cell>
          <cell r="N33">
            <v>0</v>
          </cell>
          <cell r="O33">
            <v>473734.78404990211</v>
          </cell>
          <cell r="P33">
            <v>8212.7687519788742</v>
          </cell>
        </row>
        <row r="34">
          <cell r="C34">
            <v>28666410.84825775</v>
          </cell>
          <cell r="D34">
            <v>1963986.8630000027</v>
          </cell>
          <cell r="E34">
            <v>16433043.695208773</v>
          </cell>
          <cell r="F34">
            <v>12281603.041502625</v>
          </cell>
          <cell r="G34">
            <v>297881.94999999972</v>
          </cell>
          <cell r="H34">
            <v>257844.80999999982</v>
          </cell>
          <cell r="I34">
            <v>82011.319999999949</v>
          </cell>
          <cell r="J34">
            <v>69158.64499999996</v>
          </cell>
          <cell r="K34">
            <v>2293885.42</v>
          </cell>
          <cell r="L34">
            <v>0</v>
          </cell>
          <cell r="M34">
            <v>7142164.1009171456</v>
          </cell>
          <cell r="N34">
            <v>0</v>
          </cell>
          <cell r="O34">
            <v>533308.15176487714</v>
          </cell>
          <cell r="P34">
            <v>9824.1343158483505</v>
          </cell>
        </row>
        <row r="35">
          <cell r="C35">
            <v>28986951.194277585</v>
          </cell>
          <cell r="D35">
            <v>1984953.2030000035</v>
          </cell>
          <cell r="E35">
            <v>16622249.937917143</v>
          </cell>
          <cell r="F35">
            <v>12563873.170079753</v>
          </cell>
          <cell r="G35">
            <v>301060.80999999959</v>
          </cell>
          <cell r="H35">
            <v>262791.89499999979</v>
          </cell>
          <cell r="I35">
            <v>83534.564999999944</v>
          </cell>
          <cell r="J35">
            <v>70633.524999999965</v>
          </cell>
          <cell r="K35">
            <v>2331895.629999999</v>
          </cell>
          <cell r="L35">
            <v>0</v>
          </cell>
          <cell r="M35">
            <v>7421862.3519743085</v>
          </cell>
          <cell r="N35">
            <v>0</v>
          </cell>
          <cell r="O35">
            <v>592881.51947985217</v>
          </cell>
          <cell r="P35">
            <v>11435.499879717827</v>
          </cell>
        </row>
        <row r="36">
          <cell r="C36">
            <v>29307491.540297419</v>
          </cell>
          <cell r="D36">
            <v>2005919.5430000033</v>
          </cell>
          <cell r="E36">
            <v>16811456.180625513</v>
          </cell>
          <cell r="F36">
            <v>12846143.298656866</v>
          </cell>
          <cell r="G36">
            <v>304239.66999999946</v>
          </cell>
          <cell r="H36">
            <v>267738.97999999975</v>
          </cell>
          <cell r="I36">
            <v>85057.809999999939</v>
          </cell>
          <cell r="J36">
            <v>72108.40499999997</v>
          </cell>
          <cell r="K36">
            <v>2369905.84</v>
          </cell>
          <cell r="L36">
            <v>0</v>
          </cell>
          <cell r="M36">
            <v>7701560.6030314714</v>
          </cell>
          <cell r="N36">
            <v>0</v>
          </cell>
          <cell r="O36">
            <v>652454.8871948272</v>
          </cell>
          <cell r="P36">
            <v>201630.08885234594</v>
          </cell>
        </row>
        <row r="37">
          <cell r="C37">
            <v>29628031.886317238</v>
          </cell>
          <cell r="D37">
            <v>2026885.8830000032</v>
          </cell>
          <cell r="E37">
            <v>17000662.423333883</v>
          </cell>
          <cell r="F37">
            <v>13128413.427233994</v>
          </cell>
          <cell r="G37">
            <v>307418.52999999956</v>
          </cell>
          <cell r="H37">
            <v>272686.06499999971</v>
          </cell>
          <cell r="I37">
            <v>86581.054999999935</v>
          </cell>
          <cell r="J37">
            <v>73583.284999999974</v>
          </cell>
          <cell r="K37">
            <v>2407916.0499999989</v>
          </cell>
          <cell r="L37">
            <v>0</v>
          </cell>
          <cell r="M37">
            <v>7981258.8540886343</v>
          </cell>
          <cell r="N37">
            <v>0</v>
          </cell>
          <cell r="O37">
            <v>712028.25490980223</v>
          </cell>
          <cell r="P37">
            <v>394940.40936553478</v>
          </cell>
        </row>
        <row r="38">
          <cell r="C38">
            <v>29948572.232337058</v>
          </cell>
          <cell r="D38">
            <v>2047852.223000003</v>
          </cell>
          <cell r="E38">
            <v>17189868.666042238</v>
          </cell>
          <cell r="F38">
            <v>13410683.555811122</v>
          </cell>
          <cell r="G38">
            <v>310597.38999999966</v>
          </cell>
          <cell r="H38">
            <v>277633.14999999991</v>
          </cell>
          <cell r="I38">
            <v>88104.29999999993</v>
          </cell>
          <cell r="J38">
            <v>75058.164999999979</v>
          </cell>
          <cell r="K38">
            <v>2445926.2599999998</v>
          </cell>
          <cell r="L38">
            <v>0</v>
          </cell>
          <cell r="M38">
            <v>8260957.1051457822</v>
          </cell>
          <cell r="N38">
            <v>0</v>
          </cell>
          <cell r="O38">
            <v>771601.6232551448</v>
          </cell>
          <cell r="P38">
            <v>590033.39325895905</v>
          </cell>
        </row>
        <row r="39">
          <cell r="C39">
            <v>30269112.578356892</v>
          </cell>
          <cell r="D39">
            <v>2068818.5630000029</v>
          </cell>
          <cell r="E39">
            <v>17379074.908750609</v>
          </cell>
          <cell r="F39">
            <v>13692953.684388235</v>
          </cell>
          <cell r="G39">
            <v>313776.24999999953</v>
          </cell>
          <cell r="H39">
            <v>282580.23499999987</v>
          </cell>
          <cell r="I39">
            <v>89627.544999999925</v>
          </cell>
          <cell r="J39">
            <v>76533.044999999984</v>
          </cell>
          <cell r="K39">
            <v>2483936.4699999988</v>
          </cell>
          <cell r="L39">
            <v>0</v>
          </cell>
          <cell r="M39">
            <v>8540655.3562029451</v>
          </cell>
          <cell r="N39">
            <v>0</v>
          </cell>
          <cell r="O39">
            <v>831174.99160048738</v>
          </cell>
          <cell r="P39">
            <v>785349.86295574903</v>
          </cell>
        </row>
        <row r="40">
          <cell r="C40">
            <v>28345870.502237935</v>
          </cell>
          <cell r="D40">
            <v>1943020.5230000024</v>
          </cell>
          <cell r="E40">
            <v>16243837.452500412</v>
          </cell>
          <cell r="F40">
            <v>11999332.912925495</v>
          </cell>
          <cell r="G40">
            <v>294703.08999999962</v>
          </cell>
          <cell r="H40">
            <v>252897.72499999977</v>
          </cell>
          <cell r="I40">
            <v>80488.074999999953</v>
          </cell>
          <cell r="J40">
            <v>67683.764999999956</v>
          </cell>
          <cell r="K40">
            <v>2255875.209999999</v>
          </cell>
          <cell r="L40">
            <v>0</v>
          </cell>
          <cell r="M40">
            <v>6862465.849859992</v>
          </cell>
          <cell r="N40">
            <v>0</v>
          </cell>
          <cell r="O40">
            <v>473757.06542265014</v>
          </cell>
          <cell r="P40">
            <v>155821.83574855328</v>
          </cell>
        </row>
        <row r="44">
          <cell r="C44">
            <v>122083174.25388104</v>
          </cell>
          <cell r="D44">
            <v>6934749.1969999969</v>
          </cell>
          <cell r="E44">
            <v>73112316.123749778</v>
          </cell>
          <cell r="F44">
            <v>130868267.5885372</v>
          </cell>
          <cell r="G44">
            <v>1104095.9300000004</v>
          </cell>
          <cell r="H44">
            <v>1918211.4150000005</v>
          </cell>
          <cell r="I44">
            <v>555254.19000000006</v>
          </cell>
          <cell r="J44">
            <v>347095.4800000001</v>
          </cell>
          <cell r="K44">
            <v>13374488.84</v>
          </cell>
          <cell r="L44">
            <v>139585.07999999999</v>
          </cell>
          <cell r="M44">
            <v>119053539.38648295</v>
          </cell>
          <cell r="N44">
            <v>0</v>
          </cell>
          <cell r="O44">
            <v>26296345.706956983</v>
          </cell>
          <cell r="P44">
            <v>71254963.255603865</v>
          </cell>
        </row>
        <row r="45">
          <cell r="C45">
            <v>121762633.9078612</v>
          </cell>
          <cell r="D45">
            <v>6913782.856999997</v>
          </cell>
          <cell r="E45">
            <v>72923109.881041408</v>
          </cell>
          <cell r="F45">
            <v>130585997.45996009</v>
          </cell>
          <cell r="G45">
            <v>1100917.0700000005</v>
          </cell>
          <cell r="H45">
            <v>1913264.3300000005</v>
          </cell>
          <cell r="I45">
            <v>553730.94500000007</v>
          </cell>
          <cell r="J45">
            <v>345620.60000000009</v>
          </cell>
          <cell r="K45">
            <v>13336478.629999999</v>
          </cell>
          <cell r="L45">
            <v>253131.32</v>
          </cell>
          <cell r="M45">
            <v>118773841.13542579</v>
          </cell>
          <cell r="N45">
            <v>0</v>
          </cell>
          <cell r="O45">
            <v>26256583.32704984</v>
          </cell>
          <cell r="P45">
            <v>74744441.745902181</v>
          </cell>
        </row>
        <row r="46">
          <cell r="C46">
            <v>121442093.56184138</v>
          </cell>
          <cell r="D46">
            <v>6892816.5169999972</v>
          </cell>
          <cell r="E46">
            <v>72733903.638333037</v>
          </cell>
          <cell r="F46">
            <v>130303727.33138296</v>
          </cell>
          <cell r="G46">
            <v>1097738.2100000004</v>
          </cell>
          <cell r="H46">
            <v>1908317.2450000006</v>
          </cell>
          <cell r="I46">
            <v>552207.70000000007</v>
          </cell>
          <cell r="J46">
            <v>344145.72000000009</v>
          </cell>
          <cell r="K46">
            <v>13298468.42</v>
          </cell>
          <cell r="L46">
            <v>376283.91</v>
          </cell>
          <cell r="M46">
            <v>118494142.88436863</v>
          </cell>
          <cell r="N46">
            <v>0</v>
          </cell>
          <cell r="O46">
            <v>26218903.153613482</v>
          </cell>
          <cell r="P46">
            <v>77999809.295078665</v>
          </cell>
        </row>
        <row r="47">
          <cell r="C47">
            <v>121121553.21582156</v>
          </cell>
          <cell r="D47">
            <v>6871850.1769999973</v>
          </cell>
          <cell r="E47">
            <v>72544697.395624682</v>
          </cell>
          <cell r="F47">
            <v>130021457.20280583</v>
          </cell>
          <cell r="G47">
            <v>1094559.3500000003</v>
          </cell>
          <cell r="H47">
            <v>1903370.1600000006</v>
          </cell>
          <cell r="I47">
            <v>550684.45500000007</v>
          </cell>
          <cell r="J47">
            <v>342670.84000000008</v>
          </cell>
          <cell r="K47">
            <v>13260458.209999999</v>
          </cell>
          <cell r="L47">
            <v>519983.52999999997</v>
          </cell>
          <cell r="M47">
            <v>118214444.63331148</v>
          </cell>
          <cell r="N47">
            <v>0</v>
          </cell>
          <cell r="O47">
            <v>26166592.179095022</v>
          </cell>
          <cell r="P47">
            <v>81401803.364551157</v>
          </cell>
        </row>
        <row r="48">
          <cell r="C48">
            <v>120801012.86980173</v>
          </cell>
          <cell r="D48">
            <v>6850883.8369999975</v>
          </cell>
          <cell r="E48">
            <v>72355491.152916312</v>
          </cell>
          <cell r="F48">
            <v>129739187.07422872</v>
          </cell>
          <cell r="G48">
            <v>1091380.4900000005</v>
          </cell>
          <cell r="H48">
            <v>1898423.0750000007</v>
          </cell>
          <cell r="I48">
            <v>549161.21000000008</v>
          </cell>
          <cell r="J48">
            <v>341195.96000000008</v>
          </cell>
          <cell r="K48">
            <v>13222448</v>
          </cell>
          <cell r="L48">
            <v>661746.85</v>
          </cell>
          <cell r="M48">
            <v>117934746.38225432</v>
          </cell>
          <cell r="N48">
            <v>0</v>
          </cell>
          <cell r="O48">
            <v>26107018.811380047</v>
          </cell>
          <cell r="P48">
            <v>84559697.109587058</v>
          </cell>
        </row>
        <row r="49">
          <cell r="C49">
            <v>120480472.5237819</v>
          </cell>
          <cell r="D49">
            <v>6829917.4969999967</v>
          </cell>
          <cell r="E49">
            <v>72166284.910207942</v>
          </cell>
          <cell r="F49">
            <v>129456916.94565159</v>
          </cell>
          <cell r="G49">
            <v>1088201.6300000006</v>
          </cell>
          <cell r="H49">
            <v>1893475.9900000007</v>
          </cell>
          <cell r="I49">
            <v>547637.96500000008</v>
          </cell>
          <cell r="J49">
            <v>339721.08000000007</v>
          </cell>
          <cell r="K49">
            <v>13184437.789999999</v>
          </cell>
          <cell r="L49">
            <v>809997.02</v>
          </cell>
          <cell r="M49">
            <v>117655048.13119715</v>
          </cell>
          <cell r="N49">
            <v>0</v>
          </cell>
          <cell r="O49">
            <v>26047445.443665072</v>
          </cell>
          <cell r="P49">
            <v>88054935.009865195</v>
          </cell>
        </row>
        <row r="50">
          <cell r="C50">
            <v>120159932.17776208</v>
          </cell>
          <cell r="D50">
            <v>6808951.1569999969</v>
          </cell>
          <cell r="E50">
            <v>71977078.667499587</v>
          </cell>
          <cell r="F50">
            <v>129174646.81707446</v>
          </cell>
          <cell r="G50">
            <v>1085022.7700000005</v>
          </cell>
          <cell r="H50">
            <v>1888528.9050000005</v>
          </cell>
          <cell r="I50">
            <v>546114.72000000009</v>
          </cell>
          <cell r="J50">
            <v>338246.20000000007</v>
          </cell>
          <cell r="K50">
            <v>13146427.58</v>
          </cell>
          <cell r="L50">
            <v>1307795.23</v>
          </cell>
          <cell r="M50">
            <v>117375349.88013999</v>
          </cell>
          <cell r="N50">
            <v>0</v>
          </cell>
          <cell r="O50">
            <v>25987872.075950097</v>
          </cell>
          <cell r="P50">
            <v>92525252.675130606</v>
          </cell>
        </row>
        <row r="51">
          <cell r="C51">
            <v>119839391.83174226</v>
          </cell>
          <cell r="D51">
            <v>6787984.816999997</v>
          </cell>
          <cell r="E51">
            <v>71787872.424791217</v>
          </cell>
          <cell r="F51">
            <v>128892376.68849733</v>
          </cell>
          <cell r="G51">
            <v>1081843.9100000004</v>
          </cell>
          <cell r="H51">
            <v>1883581.8200000005</v>
          </cell>
          <cell r="I51">
            <v>544591.47500000009</v>
          </cell>
          <cell r="J51">
            <v>336771.32000000007</v>
          </cell>
          <cell r="K51">
            <v>13108417.369999999</v>
          </cell>
          <cell r="L51">
            <v>1464979.76</v>
          </cell>
          <cell r="M51">
            <v>117095651.62908284</v>
          </cell>
          <cell r="N51">
            <v>0</v>
          </cell>
          <cell r="O51">
            <v>25928298.708235122</v>
          </cell>
          <cell r="P51">
            <v>104220227.30824682</v>
          </cell>
        </row>
        <row r="52">
          <cell r="C52">
            <v>119518851.48572242</v>
          </cell>
          <cell r="D52">
            <v>6767018.4769999962</v>
          </cell>
          <cell r="E52">
            <v>71598666.182082847</v>
          </cell>
          <cell r="F52">
            <v>128610106.55992021</v>
          </cell>
          <cell r="G52">
            <v>1078665.0500000005</v>
          </cell>
          <cell r="H52">
            <v>1878634.7350000006</v>
          </cell>
          <cell r="I52">
            <v>543068.2300000001</v>
          </cell>
          <cell r="J52">
            <v>335296.44000000006</v>
          </cell>
          <cell r="K52">
            <v>13070407.16</v>
          </cell>
          <cell r="L52">
            <v>1627389.76</v>
          </cell>
          <cell r="M52">
            <v>116815953.37802568</v>
          </cell>
          <cell r="N52">
            <v>0</v>
          </cell>
          <cell r="O52">
            <v>25868725.340520147</v>
          </cell>
          <cell r="P52">
            <v>114137222.66934448</v>
          </cell>
        </row>
        <row r="53">
          <cell r="C53">
            <v>119198311.13970259</v>
          </cell>
          <cell r="D53">
            <v>6746052.1369999964</v>
          </cell>
          <cell r="E53">
            <v>71409459.939374477</v>
          </cell>
          <cell r="F53">
            <v>128327836.43134309</v>
          </cell>
          <cell r="G53">
            <v>1075486.1900000006</v>
          </cell>
          <cell r="H53">
            <v>1873687.6500000006</v>
          </cell>
          <cell r="I53">
            <v>541544.9850000001</v>
          </cell>
          <cell r="J53">
            <v>333821.56000000006</v>
          </cell>
          <cell r="K53">
            <v>13032396.949999999</v>
          </cell>
          <cell r="L53">
            <v>1786572.29</v>
          </cell>
          <cell r="M53">
            <v>116536255.12696852</v>
          </cell>
          <cell r="N53">
            <v>0</v>
          </cell>
          <cell r="O53">
            <v>25809151.972805172</v>
          </cell>
          <cell r="P53">
            <v>120257933.24270409</v>
          </cell>
        </row>
        <row r="54">
          <cell r="C54">
            <v>118877770.79368277</v>
          </cell>
          <cell r="D54">
            <v>6725085.7969999965</v>
          </cell>
          <cell r="E54">
            <v>71220253.696666107</v>
          </cell>
          <cell r="F54">
            <v>128045566.30276597</v>
          </cell>
          <cell r="G54">
            <v>1072307.3300000005</v>
          </cell>
          <cell r="H54">
            <v>1868740.5650000006</v>
          </cell>
          <cell r="I54">
            <v>540021.74000000011</v>
          </cell>
          <cell r="J54">
            <v>332346.68000000005</v>
          </cell>
          <cell r="K54">
            <v>12994386.74</v>
          </cell>
          <cell r="L54">
            <v>1933748.1</v>
          </cell>
          <cell r="M54">
            <v>116256556.87591136</v>
          </cell>
          <cell r="N54">
            <v>0</v>
          </cell>
          <cell r="O54">
            <v>25749578.605090197</v>
          </cell>
          <cell r="P54">
            <v>128217537.38590224</v>
          </cell>
        </row>
        <row r="55">
          <cell r="C55">
            <v>118557230.44766295</v>
          </cell>
          <cell r="D55">
            <v>6704119.4569999967</v>
          </cell>
          <cell r="E55">
            <v>71031047.453957751</v>
          </cell>
          <cell r="F55">
            <v>127763296.17418884</v>
          </cell>
          <cell r="G55">
            <v>1069128.4700000004</v>
          </cell>
          <cell r="H55">
            <v>1863793.4800000004</v>
          </cell>
          <cell r="I55">
            <v>538498.49500000011</v>
          </cell>
          <cell r="J55">
            <v>330871.80000000005</v>
          </cell>
          <cell r="K55">
            <v>12956376.529999999</v>
          </cell>
          <cell r="L55">
            <v>2122968.02</v>
          </cell>
          <cell r="M55">
            <v>115976858.62485421</v>
          </cell>
          <cell r="N55">
            <v>0</v>
          </cell>
          <cell r="O55">
            <v>25690005.236744855</v>
          </cell>
          <cell r="P55">
            <v>134527647.81753543</v>
          </cell>
        </row>
        <row r="56">
          <cell r="C56">
            <v>118236690.10164312</v>
          </cell>
          <cell r="D56">
            <v>6683153.1169999968</v>
          </cell>
          <cell r="E56">
            <v>70841841.211249381</v>
          </cell>
          <cell r="F56">
            <v>127481026.04561172</v>
          </cell>
          <cell r="G56">
            <v>1065949.6100000006</v>
          </cell>
          <cell r="H56">
            <v>1858846.3950000005</v>
          </cell>
          <cell r="I56">
            <v>536975.25000000012</v>
          </cell>
          <cell r="J56">
            <v>329396.92000000004</v>
          </cell>
          <cell r="K56">
            <v>12918366.32</v>
          </cell>
          <cell r="L56">
            <v>2241636.5700000003</v>
          </cell>
          <cell r="M56">
            <v>115697160.37379704</v>
          </cell>
          <cell r="N56">
            <v>0</v>
          </cell>
          <cell r="O56">
            <v>25630431.868399512</v>
          </cell>
          <cell r="P56">
            <v>138653662.4073652</v>
          </cell>
        </row>
        <row r="57">
          <cell r="C57">
            <v>120159932.17776206</v>
          </cell>
          <cell r="D57">
            <v>6808951.1569999969</v>
          </cell>
          <cell r="E57">
            <v>71977078.667499587</v>
          </cell>
          <cell r="F57">
            <v>129174646.81707445</v>
          </cell>
          <cell r="G57">
            <v>1085022.7700000005</v>
          </cell>
          <cell r="H57">
            <v>1888528.9050000007</v>
          </cell>
          <cell r="I57">
            <v>546114.7200000002</v>
          </cell>
          <cell r="J57">
            <v>338246.20000000013</v>
          </cell>
          <cell r="K57">
            <v>13146427.58</v>
          </cell>
          <cell r="L57">
            <v>1172755.1876923076</v>
          </cell>
          <cell r="M57">
            <v>117375349.88013998</v>
          </cell>
          <cell r="N57">
            <v>0</v>
          </cell>
          <cell r="O57">
            <v>25981304.033038888</v>
          </cell>
          <cell r="P57">
            <v>100811933.32975516</v>
          </cell>
        </row>
        <row r="60">
          <cell r="C60">
            <v>3846484.1522379345</v>
          </cell>
          <cell r="D60">
            <v>251596.08</v>
          </cell>
          <cell r="E60">
            <v>2270474.9125003875</v>
          </cell>
          <cell r="F60">
            <v>3387241.542925498</v>
          </cell>
          <cell r="G60">
            <v>38146.32</v>
          </cell>
          <cell r="H60">
            <v>59365.02</v>
          </cell>
          <cell r="I60">
            <v>18278.939999999995</v>
          </cell>
          <cell r="J60">
            <v>17698.560000000005</v>
          </cell>
          <cell r="K60">
            <v>456122.52000000008</v>
          </cell>
          <cell r="L60">
            <v>0</v>
          </cell>
          <cell r="M60">
            <v>3356379.0126859043</v>
          </cell>
          <cell r="N60">
            <v>0</v>
          </cell>
          <cell r="O60">
            <v>714688.83855746745</v>
          </cell>
          <cell r="P60">
            <v>783865.36369351344</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row>
        <row r="62">
          <cell r="C62">
            <v>3846484.1522379345</v>
          </cell>
          <cell r="D62">
            <v>251596.08</v>
          </cell>
          <cell r="E62">
            <v>2270474.9125003875</v>
          </cell>
          <cell r="F62">
            <v>3387241.542925498</v>
          </cell>
          <cell r="G62">
            <v>38146.32</v>
          </cell>
          <cell r="H62">
            <v>59365.02</v>
          </cell>
          <cell r="I62">
            <v>18278.939999999995</v>
          </cell>
          <cell r="J62">
            <v>17698.560000000005</v>
          </cell>
          <cell r="K62">
            <v>456122.52000000008</v>
          </cell>
          <cell r="L62">
            <v>0</v>
          </cell>
          <cell r="M62">
            <v>3356379.0126859043</v>
          </cell>
          <cell r="N62">
            <v>0</v>
          </cell>
          <cell r="O62">
            <v>714688.83855746745</v>
          </cell>
          <cell r="P62">
            <v>783865.36369351344</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C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3-1181"/>
      <sheetName val="Plant Balances (pg. 2) "/>
      <sheetName val="Expense (pg. 3) "/>
      <sheetName val="Wages &amp; Salaries (pg. 4)"/>
      <sheetName val=" Weighted Cost of Debt (pg. 4)"/>
      <sheetName val="Revenue (pg. 4)"/>
      <sheetName val="SIT (pg. 5)"/>
      <sheetName val="TEP (pg. 5)"/>
      <sheetName val="Precert Exp"/>
      <sheetName val="ATC Attach GG ER13-2297"/>
      <sheetName val="GG Support Data"/>
      <sheetName val="GG Plant Balances"/>
      <sheetName val="GG Project Descriptions"/>
      <sheetName val="GG True-up Template"/>
      <sheetName val="GG True-up Int"/>
      <sheetName val="352 Correction (Sch 26)"/>
      <sheetName val="GIP Dep Correction (Sch 26)"/>
      <sheetName val="ATC Attach MM ER13-12"/>
      <sheetName val="MM Support Data"/>
      <sheetName val="MM Plant Balances"/>
      <sheetName val="MM Project Descriptions"/>
      <sheetName val="MM True-up Template"/>
      <sheetName val="MM True-up Int"/>
      <sheetName val="Schedule 9"/>
      <sheetName val="Schedule 8 - Non-Firm"/>
      <sheetName val="Schedule 7 - Firm"/>
      <sheetName val="Network TU-TU Int"/>
      <sheetName val="352 Correction (Sch 9)"/>
      <sheetName val="GIP Dep Correction (Sch 9)"/>
      <sheetName val="Network True-up Int"/>
      <sheetName val="Schedule 1"/>
      <sheetName val="Schedule 1 - True up"/>
      <sheetName val="Sch 1 True-up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row>
        <row r="10">
          <cell r="C10" t="str">
            <v>Reliability</v>
          </cell>
          <cell r="D10" t="str">
            <v>Reliability</v>
          </cell>
          <cell r="E10" t="str">
            <v>Reliability</v>
          </cell>
          <cell r="F10" t="str">
            <v>Reliability</v>
          </cell>
          <cell r="G10" t="str">
            <v>GIP</v>
          </cell>
          <cell r="H10" t="str">
            <v>GIP</v>
          </cell>
          <cell r="I10" t="str">
            <v>GIP</v>
          </cell>
          <cell r="J10" t="str">
            <v>GIP</v>
          </cell>
          <cell r="K10" t="str">
            <v>Reliability</v>
          </cell>
          <cell r="L10" t="str">
            <v>Reliability</v>
          </cell>
          <cell r="M10" t="str">
            <v>Reliability</v>
          </cell>
          <cell r="N10" t="str">
            <v>Reliability</v>
          </cell>
          <cell r="O10" t="str">
            <v>Reliability</v>
          </cell>
          <cell r="P10" t="str">
            <v>Reliability</v>
          </cell>
        </row>
        <row r="11">
          <cell r="C11">
            <v>148505802.68000001</v>
          </cell>
          <cell r="D11">
            <v>8751971.6799999997</v>
          </cell>
          <cell r="E11">
            <v>88220916.11999999</v>
          </cell>
          <cell r="F11">
            <v>141173979.72999996</v>
          </cell>
          <cell r="G11">
            <v>1379725.86</v>
          </cell>
          <cell r="H11">
            <v>2141426.6300000004</v>
          </cell>
          <cell r="I11">
            <v>626602.79500000004</v>
          </cell>
          <cell r="J11">
            <v>405929.96500000003</v>
          </cell>
          <cell r="K11">
            <v>15402302.789999999</v>
          </cell>
          <cell r="L11">
            <v>139585.07999999999</v>
          </cell>
          <cell r="M11">
            <v>124237815.72999999</v>
          </cell>
          <cell r="N11">
            <v>0</v>
          </cell>
          <cell r="O11">
            <v>26412831.860000003</v>
          </cell>
          <cell r="P11">
            <v>71256447.754866093</v>
          </cell>
        </row>
        <row r="12">
          <cell r="C12">
            <v>148505802.68000001</v>
          </cell>
          <cell r="D12">
            <v>8751971.6799999997</v>
          </cell>
          <cell r="E12">
            <v>88220916.11999999</v>
          </cell>
          <cell r="F12">
            <v>141173979.72999996</v>
          </cell>
          <cell r="G12">
            <v>1379725.86</v>
          </cell>
          <cell r="H12">
            <v>2141426.6300000004</v>
          </cell>
          <cell r="I12">
            <v>626602.79500000004</v>
          </cell>
          <cell r="J12">
            <v>405929.96500000003</v>
          </cell>
          <cell r="K12">
            <v>15402302.789999999</v>
          </cell>
          <cell r="L12">
            <v>253131.32</v>
          </cell>
          <cell r="M12">
            <v>124237815.72999999</v>
          </cell>
          <cell r="N12">
            <v>0</v>
          </cell>
          <cell r="O12">
            <v>26432533.040000003</v>
          </cell>
          <cell r="P12">
            <v>74746949.625949591</v>
          </cell>
        </row>
        <row r="13">
          <cell r="C13">
            <v>148505802.68000001</v>
          </cell>
          <cell r="D13">
            <v>8751971.6799999997</v>
          </cell>
          <cell r="E13">
            <v>88220916.11999999</v>
          </cell>
          <cell r="F13">
            <v>141173979.72999996</v>
          </cell>
          <cell r="G13">
            <v>1379725.86</v>
          </cell>
          <cell r="H13">
            <v>2141426.6300000004</v>
          </cell>
          <cell r="I13">
            <v>626602.79500000004</v>
          </cell>
          <cell r="J13">
            <v>405929.96500000003</v>
          </cell>
          <cell r="K13">
            <v>15402302.789999999</v>
          </cell>
          <cell r="L13">
            <v>376283.91</v>
          </cell>
          <cell r="M13">
            <v>124237815.72999999</v>
          </cell>
          <cell r="N13">
            <v>0</v>
          </cell>
          <cell r="O13">
            <v>26454360.780000001</v>
          </cell>
          <cell r="P13">
            <v>78003340.555911258</v>
          </cell>
        </row>
        <row r="14">
          <cell r="C14">
            <v>148505802.68000001</v>
          </cell>
          <cell r="D14">
            <v>8751971.6799999997</v>
          </cell>
          <cell r="E14">
            <v>88220916.11999999</v>
          </cell>
          <cell r="F14">
            <v>141173979.72999996</v>
          </cell>
          <cell r="G14">
            <v>1379725.86</v>
          </cell>
          <cell r="H14">
            <v>2141426.6300000004</v>
          </cell>
          <cell r="I14">
            <v>626602.79500000004</v>
          </cell>
          <cell r="J14">
            <v>405929.96500000003</v>
          </cell>
          <cell r="K14">
            <v>15402302.789999999</v>
          </cell>
          <cell r="L14">
            <v>519983.52999999997</v>
          </cell>
          <cell r="M14">
            <v>124237815.72999999</v>
          </cell>
          <cell r="N14">
            <v>0</v>
          </cell>
          <cell r="O14">
            <v>26461606.859999999</v>
          </cell>
          <cell r="P14">
            <v>81406358.006168902</v>
          </cell>
        </row>
        <row r="15">
          <cell r="C15">
            <v>148505802.68000001</v>
          </cell>
          <cell r="D15">
            <v>8751971.6799999997</v>
          </cell>
          <cell r="E15">
            <v>88220916.11999999</v>
          </cell>
          <cell r="F15">
            <v>141173979.72999996</v>
          </cell>
          <cell r="G15">
            <v>1379725.86</v>
          </cell>
          <cell r="H15">
            <v>2141426.6300000004</v>
          </cell>
          <cell r="I15">
            <v>626602.79500000004</v>
          </cell>
          <cell r="J15">
            <v>405929.96500000003</v>
          </cell>
          <cell r="K15">
            <v>15402302.789999999</v>
          </cell>
          <cell r="L15">
            <v>661746.85</v>
          </cell>
          <cell r="M15">
            <v>124237815.72999999</v>
          </cell>
          <cell r="N15">
            <v>0</v>
          </cell>
          <cell r="O15">
            <v>26461606.859999999</v>
          </cell>
          <cell r="P15">
            <v>84565275.131990001</v>
          </cell>
        </row>
        <row r="16">
          <cell r="C16">
            <v>148505802.68000001</v>
          </cell>
          <cell r="D16">
            <v>8751971.6799999997</v>
          </cell>
          <cell r="E16">
            <v>88220916.11999999</v>
          </cell>
          <cell r="F16">
            <v>141173979.72999996</v>
          </cell>
          <cell r="G16">
            <v>1379725.86</v>
          </cell>
          <cell r="H16">
            <v>2141426.6300000004</v>
          </cell>
          <cell r="I16">
            <v>626602.79500000004</v>
          </cell>
          <cell r="J16">
            <v>405929.96500000003</v>
          </cell>
          <cell r="K16">
            <v>15402302.789999999</v>
          </cell>
          <cell r="L16">
            <v>809997.02</v>
          </cell>
          <cell r="M16">
            <v>124237815.72999999</v>
          </cell>
          <cell r="N16">
            <v>0</v>
          </cell>
          <cell r="O16">
            <v>26461606.859999999</v>
          </cell>
          <cell r="P16">
            <v>88061536.413053334</v>
          </cell>
        </row>
        <row r="17">
          <cell r="C17">
            <v>148505802.68000001</v>
          </cell>
          <cell r="D17">
            <v>8751971.6799999997</v>
          </cell>
          <cell r="E17">
            <v>88220916.11999999</v>
          </cell>
          <cell r="F17">
            <v>141173979.72999996</v>
          </cell>
          <cell r="G17">
            <v>1379725.86</v>
          </cell>
          <cell r="H17">
            <v>2141426.6300000004</v>
          </cell>
          <cell r="I17">
            <v>626602.79500000004</v>
          </cell>
          <cell r="J17">
            <v>405929.96500000003</v>
          </cell>
          <cell r="K17">
            <v>15402302.789999999</v>
          </cell>
          <cell r="L17">
            <v>1307795.23</v>
          </cell>
          <cell r="M17">
            <v>124237815.72999999</v>
          </cell>
          <cell r="N17">
            <v>0</v>
          </cell>
          <cell r="O17">
            <v>26461606.859999999</v>
          </cell>
          <cell r="P17">
            <v>92533465.443882585</v>
          </cell>
        </row>
        <row r="18">
          <cell r="C18">
            <v>148505802.68000001</v>
          </cell>
          <cell r="D18">
            <v>8751971.6799999997</v>
          </cell>
          <cell r="E18">
            <v>88220916.11999999</v>
          </cell>
          <cell r="F18">
            <v>141173979.72999996</v>
          </cell>
          <cell r="G18">
            <v>1379725.86</v>
          </cell>
          <cell r="H18">
            <v>2141426.6300000004</v>
          </cell>
          <cell r="I18">
            <v>626602.79500000004</v>
          </cell>
          <cell r="J18">
            <v>405929.96500000003</v>
          </cell>
          <cell r="K18">
            <v>15402302.789999999</v>
          </cell>
          <cell r="L18">
            <v>1464979.76</v>
          </cell>
          <cell r="M18">
            <v>124237815.72999999</v>
          </cell>
          <cell r="N18">
            <v>0</v>
          </cell>
          <cell r="O18">
            <v>26461606.859999999</v>
          </cell>
          <cell r="P18">
            <v>104230051.44256267</v>
          </cell>
        </row>
        <row r="19">
          <cell r="C19">
            <v>148505802.68000001</v>
          </cell>
          <cell r="D19">
            <v>8751971.6799999997</v>
          </cell>
          <cell r="E19">
            <v>88220916.11999999</v>
          </cell>
          <cell r="F19">
            <v>141173979.72999996</v>
          </cell>
          <cell r="G19">
            <v>1379725.86</v>
          </cell>
          <cell r="H19">
            <v>2141426.6300000004</v>
          </cell>
          <cell r="I19">
            <v>626602.79500000004</v>
          </cell>
          <cell r="J19">
            <v>405929.96500000003</v>
          </cell>
          <cell r="K19">
            <v>15402302.789999999</v>
          </cell>
          <cell r="L19">
            <v>1627389.76</v>
          </cell>
          <cell r="M19">
            <v>124237815.72999999</v>
          </cell>
          <cell r="N19">
            <v>0</v>
          </cell>
          <cell r="O19">
            <v>26461606.859999999</v>
          </cell>
          <cell r="P19">
            <v>114148658.1692242</v>
          </cell>
        </row>
        <row r="20">
          <cell r="C20">
            <v>148505802.68000001</v>
          </cell>
          <cell r="D20">
            <v>8751971.6799999997</v>
          </cell>
          <cell r="E20">
            <v>88220916.11999999</v>
          </cell>
          <cell r="F20">
            <v>141173979.72999996</v>
          </cell>
          <cell r="G20">
            <v>1379725.86</v>
          </cell>
          <cell r="H20">
            <v>2141426.6300000004</v>
          </cell>
          <cell r="I20">
            <v>626602.79500000004</v>
          </cell>
          <cell r="J20">
            <v>405929.96500000003</v>
          </cell>
          <cell r="K20">
            <v>15402302.789999999</v>
          </cell>
          <cell r="L20">
            <v>1786572.29</v>
          </cell>
          <cell r="M20">
            <v>124237815.72999999</v>
          </cell>
          <cell r="N20">
            <v>0</v>
          </cell>
          <cell r="O20">
            <v>26461606.859999999</v>
          </cell>
          <cell r="P20">
            <v>120459563.33155644</v>
          </cell>
        </row>
        <row r="21">
          <cell r="C21">
            <v>148505802.68000001</v>
          </cell>
          <cell r="D21">
            <v>8751971.6799999997</v>
          </cell>
          <cell r="E21">
            <v>88220916.11999999</v>
          </cell>
          <cell r="F21">
            <v>141173979.72999996</v>
          </cell>
          <cell r="G21">
            <v>1379725.86</v>
          </cell>
          <cell r="H21">
            <v>2141426.6300000004</v>
          </cell>
          <cell r="I21">
            <v>626602.79500000004</v>
          </cell>
          <cell r="J21">
            <v>405929.96500000003</v>
          </cell>
          <cell r="K21">
            <v>15402302.789999999</v>
          </cell>
          <cell r="L21">
            <v>1933748.1</v>
          </cell>
          <cell r="M21">
            <v>124237815.72999999</v>
          </cell>
          <cell r="N21">
            <v>0</v>
          </cell>
          <cell r="O21">
            <v>26461606.859999999</v>
          </cell>
          <cell r="P21">
            <v>128612477.79526778</v>
          </cell>
        </row>
        <row r="22">
          <cell r="C22">
            <v>148505802.68000001</v>
          </cell>
          <cell r="D22">
            <v>8751971.6799999997</v>
          </cell>
          <cell r="E22">
            <v>88220916.11999999</v>
          </cell>
          <cell r="F22">
            <v>141173979.72999996</v>
          </cell>
          <cell r="G22">
            <v>1379725.86</v>
          </cell>
          <cell r="H22">
            <v>2141426.6300000004</v>
          </cell>
          <cell r="I22">
            <v>626602.79500000004</v>
          </cell>
          <cell r="J22">
            <v>405929.96500000003</v>
          </cell>
          <cell r="K22">
            <v>15402302.789999999</v>
          </cell>
          <cell r="L22">
            <v>2122968.02</v>
          </cell>
          <cell r="M22">
            <v>124237815.72999999</v>
          </cell>
          <cell r="N22">
            <v>0</v>
          </cell>
          <cell r="O22">
            <v>26461606.859999999</v>
          </cell>
          <cell r="P22">
            <v>135117681.21079439</v>
          </cell>
        </row>
        <row r="23">
          <cell r="C23">
            <v>148505802.68000001</v>
          </cell>
          <cell r="D23">
            <v>8751971.6799999997</v>
          </cell>
          <cell r="E23">
            <v>88220916.11999999</v>
          </cell>
          <cell r="F23">
            <v>141173979.72999996</v>
          </cell>
          <cell r="G23">
            <v>1379725.86</v>
          </cell>
          <cell r="H23">
            <v>2141426.6300000004</v>
          </cell>
          <cell r="I23">
            <v>626602.79500000004</v>
          </cell>
          <cell r="J23">
            <v>405929.96500000003</v>
          </cell>
          <cell r="K23">
            <v>15402302.789999999</v>
          </cell>
          <cell r="L23">
            <v>2241636.5700000003</v>
          </cell>
          <cell r="M23">
            <v>124237815.72999999</v>
          </cell>
          <cell r="N23">
            <v>0</v>
          </cell>
          <cell r="O23">
            <v>26461606.859999999</v>
          </cell>
          <cell r="P23">
            <v>139439012.27032095</v>
          </cell>
        </row>
        <row r="24">
          <cell r="C24">
            <v>148505802.68000004</v>
          </cell>
          <cell r="D24">
            <v>8751971.6800000034</v>
          </cell>
          <cell r="E24">
            <v>88220916.11999999</v>
          </cell>
          <cell r="F24">
            <v>141173979.72999999</v>
          </cell>
          <cell r="G24">
            <v>1379725.8599999999</v>
          </cell>
          <cell r="H24">
            <v>2141426.63</v>
          </cell>
          <cell r="I24">
            <v>626602.79500000004</v>
          </cell>
          <cell r="J24">
            <v>405929.96499999991</v>
          </cell>
          <cell r="K24">
            <v>15402302.789999994</v>
          </cell>
          <cell r="L24">
            <v>1172755.1876923076</v>
          </cell>
          <cell r="M24">
            <v>124237815.73</v>
          </cell>
          <cell r="N24">
            <v>0</v>
          </cell>
          <cell r="O24">
            <v>26455061.098461546</v>
          </cell>
          <cell r="P24">
            <v>100967755.16550371</v>
          </cell>
        </row>
        <row r="27">
          <cell r="C27">
            <v>26422628.42611897</v>
          </cell>
          <cell r="D27">
            <v>1817222.4830000028</v>
          </cell>
          <cell r="E27">
            <v>15108599.996250212</v>
          </cell>
          <cell r="F27">
            <v>10305712.141462758</v>
          </cell>
          <cell r="G27">
            <v>275629.9299999997</v>
          </cell>
          <cell r="H27">
            <v>223215.21499999985</v>
          </cell>
          <cell r="I27">
            <v>71348.604999999981</v>
          </cell>
          <cell r="J27">
            <v>58834.484999999928</v>
          </cell>
          <cell r="K27">
            <v>2027813.9499999993</v>
          </cell>
          <cell r="L27">
            <v>0</v>
          </cell>
          <cell r="M27">
            <v>5184276.3435170352</v>
          </cell>
          <cell r="N27">
            <v>0</v>
          </cell>
          <cell r="O27">
            <v>116486.15304302052</v>
          </cell>
          <cell r="P27">
            <v>1484.4992622286081</v>
          </cell>
        </row>
        <row r="28">
          <cell r="C28">
            <v>26743168.772138804</v>
          </cell>
          <cell r="D28">
            <v>1838188.8230000027</v>
          </cell>
          <cell r="E28">
            <v>15297806.238958582</v>
          </cell>
          <cell r="F28">
            <v>10587982.270039871</v>
          </cell>
          <cell r="G28">
            <v>278808.78999999957</v>
          </cell>
          <cell r="H28">
            <v>228162.29999999981</v>
          </cell>
          <cell r="I28">
            <v>72871.849999999977</v>
          </cell>
          <cell r="J28">
            <v>60309.364999999932</v>
          </cell>
          <cell r="K28">
            <v>2065824.1600000001</v>
          </cell>
          <cell r="L28">
            <v>0</v>
          </cell>
          <cell r="M28">
            <v>5463974.5945741981</v>
          </cell>
          <cell r="N28">
            <v>0</v>
          </cell>
          <cell r="O28">
            <v>175949.71295016259</v>
          </cell>
          <cell r="P28">
            <v>2507.8800474107265</v>
          </cell>
        </row>
        <row r="29">
          <cell r="C29">
            <v>27063709.118158624</v>
          </cell>
          <cell r="D29">
            <v>1859155.1630000025</v>
          </cell>
          <cell r="E29">
            <v>15487012.481666952</v>
          </cell>
          <cell r="F29">
            <v>10870252.398616999</v>
          </cell>
          <cell r="G29">
            <v>281987.64999999967</v>
          </cell>
          <cell r="H29">
            <v>233109.38499999978</v>
          </cell>
          <cell r="I29">
            <v>74395.094999999972</v>
          </cell>
          <cell r="J29">
            <v>61784.244999999937</v>
          </cell>
          <cell r="K29">
            <v>2103834.3699999992</v>
          </cell>
          <cell r="L29">
            <v>0</v>
          </cell>
          <cell r="M29">
            <v>5743672.845631361</v>
          </cell>
          <cell r="N29">
            <v>0</v>
          </cell>
          <cell r="O29">
            <v>235457.62638651952</v>
          </cell>
          <cell r="P29">
            <v>3531.260832592845</v>
          </cell>
        </row>
        <row r="30">
          <cell r="C30">
            <v>27384249.464178443</v>
          </cell>
          <cell r="D30">
            <v>1880121.5030000024</v>
          </cell>
          <cell r="E30">
            <v>15676218.724375308</v>
          </cell>
          <cell r="F30">
            <v>11152522.527194127</v>
          </cell>
          <cell r="G30">
            <v>285166.50999999978</v>
          </cell>
          <cell r="H30">
            <v>238056.46999999974</v>
          </cell>
          <cell r="I30">
            <v>75918.339999999967</v>
          </cell>
          <cell r="J30">
            <v>63259.124999999942</v>
          </cell>
          <cell r="K30">
            <v>2141844.58</v>
          </cell>
          <cell r="L30">
            <v>0</v>
          </cell>
          <cell r="M30">
            <v>6023371.096688509</v>
          </cell>
          <cell r="N30">
            <v>0</v>
          </cell>
          <cell r="O30">
            <v>295014.68090497702</v>
          </cell>
          <cell r="P30">
            <v>4554.6416177451611</v>
          </cell>
        </row>
        <row r="31">
          <cell r="C31">
            <v>27704789.810198277</v>
          </cell>
          <cell r="D31">
            <v>1901087.8430000022</v>
          </cell>
          <cell r="E31">
            <v>15865424.967083678</v>
          </cell>
          <cell r="F31">
            <v>11434792.655771241</v>
          </cell>
          <cell r="G31">
            <v>288345.36999999965</v>
          </cell>
          <cell r="H31">
            <v>243003.5549999997</v>
          </cell>
          <cell r="I31">
            <v>77441.584999999963</v>
          </cell>
          <cell r="J31">
            <v>64734.004999999946</v>
          </cell>
          <cell r="K31">
            <v>2179854.7899999991</v>
          </cell>
          <cell r="L31">
            <v>0</v>
          </cell>
          <cell r="M31">
            <v>6303069.3477456719</v>
          </cell>
          <cell r="N31">
            <v>0</v>
          </cell>
          <cell r="O31">
            <v>354588.04861995205</v>
          </cell>
          <cell r="P31">
            <v>5578.0224029421806</v>
          </cell>
        </row>
        <row r="32">
          <cell r="C32">
            <v>28025330.156218112</v>
          </cell>
          <cell r="D32">
            <v>1922054.183000003</v>
          </cell>
          <cell r="E32">
            <v>16054631.209792048</v>
          </cell>
          <cell r="F32">
            <v>11717062.784348369</v>
          </cell>
          <cell r="G32">
            <v>291524.22999999952</v>
          </cell>
          <cell r="H32">
            <v>247950.63999999966</v>
          </cell>
          <cell r="I32">
            <v>78964.829999999958</v>
          </cell>
          <cell r="J32">
            <v>66208.884999999951</v>
          </cell>
          <cell r="K32">
            <v>2217865</v>
          </cell>
          <cell r="L32">
            <v>0</v>
          </cell>
          <cell r="M32">
            <v>6582767.5988028347</v>
          </cell>
          <cell r="N32">
            <v>0</v>
          </cell>
          <cell r="O32">
            <v>414161.41633492708</v>
          </cell>
          <cell r="P32">
            <v>6601.4031881392002</v>
          </cell>
        </row>
        <row r="33">
          <cell r="C33">
            <v>28345870.502237931</v>
          </cell>
          <cell r="D33">
            <v>1943020.5230000028</v>
          </cell>
          <cell r="E33">
            <v>16243837.452500403</v>
          </cell>
          <cell r="F33">
            <v>11999332.912925497</v>
          </cell>
          <cell r="G33">
            <v>294703.08999999962</v>
          </cell>
          <cell r="H33">
            <v>252897.72499999986</v>
          </cell>
          <cell r="I33">
            <v>80488.074999999953</v>
          </cell>
          <cell r="J33">
            <v>67683.764999999956</v>
          </cell>
          <cell r="K33">
            <v>2255875.209999999</v>
          </cell>
          <cell r="L33">
            <v>0</v>
          </cell>
          <cell r="M33">
            <v>6862465.8498599976</v>
          </cell>
          <cell r="N33">
            <v>0</v>
          </cell>
          <cell r="O33">
            <v>473734.78404990211</v>
          </cell>
          <cell r="P33">
            <v>8212.7687519788742</v>
          </cell>
        </row>
        <row r="34">
          <cell r="C34">
            <v>28666410.84825775</v>
          </cell>
          <cell r="D34">
            <v>1963986.8630000027</v>
          </cell>
          <cell r="E34">
            <v>16433043.695208773</v>
          </cell>
          <cell r="F34">
            <v>12281603.041502625</v>
          </cell>
          <cell r="G34">
            <v>297881.94999999972</v>
          </cell>
          <cell r="H34">
            <v>257844.80999999982</v>
          </cell>
          <cell r="I34">
            <v>82011.319999999949</v>
          </cell>
          <cell r="J34">
            <v>69158.64499999996</v>
          </cell>
          <cell r="K34">
            <v>2293885.42</v>
          </cell>
          <cell r="L34">
            <v>0</v>
          </cell>
          <cell r="M34">
            <v>7142164.1009171456</v>
          </cell>
          <cell r="N34">
            <v>0</v>
          </cell>
          <cell r="O34">
            <v>533308.15176487714</v>
          </cell>
          <cell r="P34">
            <v>9824.1343158483505</v>
          </cell>
        </row>
        <row r="35">
          <cell r="C35">
            <v>28986951.194277585</v>
          </cell>
          <cell r="D35">
            <v>1984953.2030000035</v>
          </cell>
          <cell r="E35">
            <v>16622249.937917143</v>
          </cell>
          <cell r="F35">
            <v>12563873.170079753</v>
          </cell>
          <cell r="G35">
            <v>301060.80999999959</v>
          </cell>
          <cell r="H35">
            <v>262791.89499999979</v>
          </cell>
          <cell r="I35">
            <v>83534.564999999944</v>
          </cell>
          <cell r="J35">
            <v>70633.524999999965</v>
          </cell>
          <cell r="K35">
            <v>2331895.629999999</v>
          </cell>
          <cell r="L35">
            <v>0</v>
          </cell>
          <cell r="M35">
            <v>7421862.3519743085</v>
          </cell>
          <cell r="N35">
            <v>0</v>
          </cell>
          <cell r="O35">
            <v>592881.51947985217</v>
          </cell>
          <cell r="P35">
            <v>11435.499879717827</v>
          </cell>
        </row>
        <row r="36">
          <cell r="C36">
            <v>29307491.540297419</v>
          </cell>
          <cell r="D36">
            <v>2005919.5430000033</v>
          </cell>
          <cell r="E36">
            <v>16811456.180625513</v>
          </cell>
          <cell r="F36">
            <v>12846143.298656866</v>
          </cell>
          <cell r="G36">
            <v>304239.66999999946</v>
          </cell>
          <cell r="H36">
            <v>267738.97999999975</v>
          </cell>
          <cell r="I36">
            <v>85057.809999999939</v>
          </cell>
          <cell r="J36">
            <v>72108.40499999997</v>
          </cell>
          <cell r="K36">
            <v>2369905.84</v>
          </cell>
          <cell r="L36">
            <v>0</v>
          </cell>
          <cell r="M36">
            <v>7701560.6030314714</v>
          </cell>
          <cell r="N36">
            <v>0</v>
          </cell>
          <cell r="O36">
            <v>652454.8871948272</v>
          </cell>
          <cell r="P36">
            <v>201630.08885234594</v>
          </cell>
        </row>
        <row r="37">
          <cell r="C37">
            <v>29628031.886317238</v>
          </cell>
          <cell r="D37">
            <v>2026885.8830000032</v>
          </cell>
          <cell r="E37">
            <v>17000662.423333883</v>
          </cell>
          <cell r="F37">
            <v>13128413.427233994</v>
          </cell>
          <cell r="G37">
            <v>307418.52999999956</v>
          </cell>
          <cell r="H37">
            <v>272686.06499999971</v>
          </cell>
          <cell r="I37">
            <v>86581.054999999935</v>
          </cell>
          <cell r="J37">
            <v>73583.284999999974</v>
          </cell>
          <cell r="K37">
            <v>2407916.0499999989</v>
          </cell>
          <cell r="L37">
            <v>0</v>
          </cell>
          <cell r="M37">
            <v>7981258.8540886343</v>
          </cell>
          <cell r="N37">
            <v>0</v>
          </cell>
          <cell r="O37">
            <v>712028.25490980223</v>
          </cell>
          <cell r="P37">
            <v>394940.40936553478</v>
          </cell>
        </row>
        <row r="38">
          <cell r="C38">
            <v>29948572.232337058</v>
          </cell>
          <cell r="D38">
            <v>2047852.223000003</v>
          </cell>
          <cell r="E38">
            <v>17189868.666042238</v>
          </cell>
          <cell r="F38">
            <v>13410683.555811122</v>
          </cell>
          <cell r="G38">
            <v>310597.38999999966</v>
          </cell>
          <cell r="H38">
            <v>277633.14999999991</v>
          </cell>
          <cell r="I38">
            <v>88104.29999999993</v>
          </cell>
          <cell r="J38">
            <v>75058.164999999979</v>
          </cell>
          <cell r="K38">
            <v>2445926.2599999998</v>
          </cell>
          <cell r="L38">
            <v>0</v>
          </cell>
          <cell r="M38">
            <v>8260957.1051457822</v>
          </cell>
          <cell r="N38">
            <v>0</v>
          </cell>
          <cell r="O38">
            <v>771601.6232551448</v>
          </cell>
          <cell r="P38">
            <v>590033.39325895905</v>
          </cell>
        </row>
        <row r="39">
          <cell r="C39">
            <v>30269112.578356892</v>
          </cell>
          <cell r="D39">
            <v>2068818.5630000029</v>
          </cell>
          <cell r="E39">
            <v>17379074.908750609</v>
          </cell>
          <cell r="F39">
            <v>13692953.684388235</v>
          </cell>
          <cell r="G39">
            <v>313776.24999999953</v>
          </cell>
          <cell r="H39">
            <v>282580.23499999987</v>
          </cell>
          <cell r="I39">
            <v>89627.544999999925</v>
          </cell>
          <cell r="J39">
            <v>76533.044999999984</v>
          </cell>
          <cell r="K39">
            <v>2483936.4699999988</v>
          </cell>
          <cell r="L39">
            <v>0</v>
          </cell>
          <cell r="M39">
            <v>8540655.3562029451</v>
          </cell>
          <cell r="N39">
            <v>0</v>
          </cell>
          <cell r="O39">
            <v>831174.99160048738</v>
          </cell>
          <cell r="P39">
            <v>785349.86295574903</v>
          </cell>
        </row>
        <row r="40">
          <cell r="C40">
            <v>28345870.502237935</v>
          </cell>
          <cell r="D40">
            <v>1943020.5230000024</v>
          </cell>
          <cell r="E40">
            <v>16243837.452500412</v>
          </cell>
          <cell r="F40">
            <v>11999332.912925495</v>
          </cell>
          <cell r="G40">
            <v>294703.08999999962</v>
          </cell>
          <cell r="H40">
            <v>252897.72499999977</v>
          </cell>
          <cell r="I40">
            <v>80488.074999999953</v>
          </cell>
          <cell r="J40">
            <v>67683.764999999956</v>
          </cell>
          <cell r="K40">
            <v>2255875.209999999</v>
          </cell>
          <cell r="L40">
            <v>0</v>
          </cell>
          <cell r="M40">
            <v>6862465.849859992</v>
          </cell>
          <cell r="N40">
            <v>0</v>
          </cell>
          <cell r="O40">
            <v>473757.06542265014</v>
          </cell>
          <cell r="P40">
            <v>155821.83574855328</v>
          </cell>
        </row>
        <row r="44">
          <cell r="C44">
            <v>122083174.25388104</v>
          </cell>
          <cell r="D44">
            <v>6934749.1969999969</v>
          </cell>
          <cell r="E44">
            <v>73112316.123749778</v>
          </cell>
          <cell r="F44">
            <v>130868267.5885372</v>
          </cell>
          <cell r="G44">
            <v>1104095.9300000004</v>
          </cell>
          <cell r="H44">
            <v>1918211.4150000005</v>
          </cell>
          <cell r="I44">
            <v>555254.19000000006</v>
          </cell>
          <cell r="J44">
            <v>347095.4800000001</v>
          </cell>
          <cell r="K44">
            <v>13374488.84</v>
          </cell>
          <cell r="L44">
            <v>139585.07999999999</v>
          </cell>
          <cell r="M44">
            <v>119053539.38648295</v>
          </cell>
          <cell r="N44">
            <v>0</v>
          </cell>
          <cell r="O44">
            <v>26296345.706956983</v>
          </cell>
          <cell r="P44">
            <v>71254963.255603865</v>
          </cell>
        </row>
        <row r="45">
          <cell r="C45">
            <v>121762633.9078612</v>
          </cell>
          <cell r="D45">
            <v>6913782.856999997</v>
          </cell>
          <cell r="E45">
            <v>72923109.881041408</v>
          </cell>
          <cell r="F45">
            <v>130585997.45996009</v>
          </cell>
          <cell r="G45">
            <v>1100917.0700000005</v>
          </cell>
          <cell r="H45">
            <v>1913264.3300000005</v>
          </cell>
          <cell r="I45">
            <v>553730.94500000007</v>
          </cell>
          <cell r="J45">
            <v>345620.60000000009</v>
          </cell>
          <cell r="K45">
            <v>13336478.629999999</v>
          </cell>
          <cell r="L45">
            <v>253131.32</v>
          </cell>
          <cell r="M45">
            <v>118773841.13542579</v>
          </cell>
          <cell r="N45">
            <v>0</v>
          </cell>
          <cell r="O45">
            <v>26256583.32704984</v>
          </cell>
          <cell r="P45">
            <v>74744441.745902181</v>
          </cell>
        </row>
        <row r="46">
          <cell r="C46">
            <v>121442093.56184138</v>
          </cell>
          <cell r="D46">
            <v>6892816.5169999972</v>
          </cell>
          <cell r="E46">
            <v>72733903.638333037</v>
          </cell>
          <cell r="F46">
            <v>130303727.33138296</v>
          </cell>
          <cell r="G46">
            <v>1097738.2100000004</v>
          </cell>
          <cell r="H46">
            <v>1908317.2450000006</v>
          </cell>
          <cell r="I46">
            <v>552207.70000000007</v>
          </cell>
          <cell r="J46">
            <v>344145.72000000009</v>
          </cell>
          <cell r="K46">
            <v>13298468.42</v>
          </cell>
          <cell r="L46">
            <v>376283.91</v>
          </cell>
          <cell r="M46">
            <v>118494142.88436863</v>
          </cell>
          <cell r="N46">
            <v>0</v>
          </cell>
          <cell r="O46">
            <v>26218903.153613482</v>
          </cell>
          <cell r="P46">
            <v>77999809.295078665</v>
          </cell>
        </row>
        <row r="47">
          <cell r="C47">
            <v>121121553.21582156</v>
          </cell>
          <cell r="D47">
            <v>6871850.1769999973</v>
          </cell>
          <cell r="E47">
            <v>72544697.395624682</v>
          </cell>
          <cell r="F47">
            <v>130021457.20280583</v>
          </cell>
          <cell r="G47">
            <v>1094559.3500000003</v>
          </cell>
          <cell r="H47">
            <v>1903370.1600000006</v>
          </cell>
          <cell r="I47">
            <v>550684.45500000007</v>
          </cell>
          <cell r="J47">
            <v>342670.84000000008</v>
          </cell>
          <cell r="K47">
            <v>13260458.209999999</v>
          </cell>
          <cell r="L47">
            <v>519983.52999999997</v>
          </cell>
          <cell r="M47">
            <v>118214444.63331148</v>
          </cell>
          <cell r="N47">
            <v>0</v>
          </cell>
          <cell r="O47">
            <v>26166592.179095022</v>
          </cell>
          <cell r="P47">
            <v>81401803.364551157</v>
          </cell>
        </row>
        <row r="48">
          <cell r="C48">
            <v>120801012.86980173</v>
          </cell>
          <cell r="D48">
            <v>6850883.8369999975</v>
          </cell>
          <cell r="E48">
            <v>72355491.152916312</v>
          </cell>
          <cell r="F48">
            <v>129739187.07422872</v>
          </cell>
          <cell r="G48">
            <v>1091380.4900000005</v>
          </cell>
          <cell r="H48">
            <v>1898423.0750000007</v>
          </cell>
          <cell r="I48">
            <v>549161.21000000008</v>
          </cell>
          <cell r="J48">
            <v>341195.96000000008</v>
          </cell>
          <cell r="K48">
            <v>13222448</v>
          </cell>
          <cell r="L48">
            <v>661746.85</v>
          </cell>
          <cell r="M48">
            <v>117934746.38225432</v>
          </cell>
          <cell r="N48">
            <v>0</v>
          </cell>
          <cell r="O48">
            <v>26107018.811380047</v>
          </cell>
          <cell r="P48">
            <v>84559697.109587058</v>
          </cell>
        </row>
        <row r="49">
          <cell r="C49">
            <v>120480472.5237819</v>
          </cell>
          <cell r="D49">
            <v>6829917.4969999967</v>
          </cell>
          <cell r="E49">
            <v>72166284.910207942</v>
          </cell>
          <cell r="F49">
            <v>129456916.94565159</v>
          </cell>
          <cell r="G49">
            <v>1088201.6300000006</v>
          </cell>
          <cell r="H49">
            <v>1893475.9900000007</v>
          </cell>
          <cell r="I49">
            <v>547637.96500000008</v>
          </cell>
          <cell r="J49">
            <v>339721.08000000007</v>
          </cell>
          <cell r="K49">
            <v>13184437.789999999</v>
          </cell>
          <cell r="L49">
            <v>809997.02</v>
          </cell>
          <cell r="M49">
            <v>117655048.13119715</v>
          </cell>
          <cell r="N49">
            <v>0</v>
          </cell>
          <cell r="O49">
            <v>26047445.443665072</v>
          </cell>
          <cell r="P49">
            <v>88054935.009865195</v>
          </cell>
        </row>
        <row r="50">
          <cell r="C50">
            <v>120159932.17776208</v>
          </cell>
          <cell r="D50">
            <v>6808951.1569999969</v>
          </cell>
          <cell r="E50">
            <v>71977078.667499587</v>
          </cell>
          <cell r="F50">
            <v>129174646.81707446</v>
          </cell>
          <cell r="G50">
            <v>1085022.7700000005</v>
          </cell>
          <cell r="H50">
            <v>1888528.9050000005</v>
          </cell>
          <cell r="I50">
            <v>546114.72000000009</v>
          </cell>
          <cell r="J50">
            <v>338246.20000000007</v>
          </cell>
          <cell r="K50">
            <v>13146427.58</v>
          </cell>
          <cell r="L50">
            <v>1307795.23</v>
          </cell>
          <cell r="M50">
            <v>117375349.88013999</v>
          </cell>
          <cell r="N50">
            <v>0</v>
          </cell>
          <cell r="O50">
            <v>25987872.075950097</v>
          </cell>
          <cell r="P50">
            <v>92525252.675130606</v>
          </cell>
        </row>
        <row r="51">
          <cell r="C51">
            <v>119839391.83174226</v>
          </cell>
          <cell r="D51">
            <v>6787984.816999997</v>
          </cell>
          <cell r="E51">
            <v>71787872.424791217</v>
          </cell>
          <cell r="F51">
            <v>128892376.68849733</v>
          </cell>
          <cell r="G51">
            <v>1081843.9100000004</v>
          </cell>
          <cell r="H51">
            <v>1883581.8200000005</v>
          </cell>
          <cell r="I51">
            <v>544591.47500000009</v>
          </cell>
          <cell r="J51">
            <v>336771.32000000007</v>
          </cell>
          <cell r="K51">
            <v>13108417.369999999</v>
          </cell>
          <cell r="L51">
            <v>1464979.76</v>
          </cell>
          <cell r="M51">
            <v>117095651.62908284</v>
          </cell>
          <cell r="N51">
            <v>0</v>
          </cell>
          <cell r="O51">
            <v>25928298.708235122</v>
          </cell>
          <cell r="P51">
            <v>104220227.30824682</v>
          </cell>
        </row>
        <row r="52">
          <cell r="C52">
            <v>119518851.48572242</v>
          </cell>
          <cell r="D52">
            <v>6767018.4769999962</v>
          </cell>
          <cell r="E52">
            <v>71598666.182082847</v>
          </cell>
          <cell r="F52">
            <v>128610106.55992021</v>
          </cell>
          <cell r="G52">
            <v>1078665.0500000005</v>
          </cell>
          <cell r="H52">
            <v>1878634.7350000006</v>
          </cell>
          <cell r="I52">
            <v>543068.2300000001</v>
          </cell>
          <cell r="J52">
            <v>335296.44000000006</v>
          </cell>
          <cell r="K52">
            <v>13070407.16</v>
          </cell>
          <cell r="L52">
            <v>1627389.76</v>
          </cell>
          <cell r="M52">
            <v>116815953.37802568</v>
          </cell>
          <cell r="N52">
            <v>0</v>
          </cell>
          <cell r="O52">
            <v>25868725.340520147</v>
          </cell>
          <cell r="P52">
            <v>114137222.66934448</v>
          </cell>
        </row>
        <row r="53">
          <cell r="C53">
            <v>119198311.13970259</v>
          </cell>
          <cell r="D53">
            <v>6746052.1369999964</v>
          </cell>
          <cell r="E53">
            <v>71409459.939374477</v>
          </cell>
          <cell r="F53">
            <v>128327836.43134309</v>
          </cell>
          <cell r="G53">
            <v>1075486.1900000006</v>
          </cell>
          <cell r="H53">
            <v>1873687.6500000006</v>
          </cell>
          <cell r="I53">
            <v>541544.9850000001</v>
          </cell>
          <cell r="J53">
            <v>333821.56000000006</v>
          </cell>
          <cell r="K53">
            <v>13032396.949999999</v>
          </cell>
          <cell r="L53">
            <v>1786572.29</v>
          </cell>
          <cell r="M53">
            <v>116536255.12696852</v>
          </cell>
          <cell r="N53">
            <v>0</v>
          </cell>
          <cell r="O53">
            <v>25809151.972805172</v>
          </cell>
          <cell r="P53">
            <v>120257933.24270409</v>
          </cell>
        </row>
        <row r="54">
          <cell r="C54">
            <v>118877770.79368277</v>
          </cell>
          <cell r="D54">
            <v>6725085.7969999965</v>
          </cell>
          <cell r="E54">
            <v>71220253.696666107</v>
          </cell>
          <cell r="F54">
            <v>128045566.30276597</v>
          </cell>
          <cell r="G54">
            <v>1072307.3300000005</v>
          </cell>
          <cell r="H54">
            <v>1868740.5650000006</v>
          </cell>
          <cell r="I54">
            <v>540021.74000000011</v>
          </cell>
          <cell r="J54">
            <v>332346.68000000005</v>
          </cell>
          <cell r="K54">
            <v>12994386.74</v>
          </cell>
          <cell r="L54">
            <v>1933748.1</v>
          </cell>
          <cell r="M54">
            <v>116256556.87591136</v>
          </cell>
          <cell r="N54">
            <v>0</v>
          </cell>
          <cell r="O54">
            <v>25749578.605090197</v>
          </cell>
          <cell r="P54">
            <v>128217537.38590224</v>
          </cell>
        </row>
        <row r="55">
          <cell r="C55">
            <v>118557230.44766295</v>
          </cell>
          <cell r="D55">
            <v>6704119.4569999967</v>
          </cell>
          <cell r="E55">
            <v>71031047.453957751</v>
          </cell>
          <cell r="F55">
            <v>127763296.17418884</v>
          </cell>
          <cell r="G55">
            <v>1069128.4700000004</v>
          </cell>
          <cell r="H55">
            <v>1863793.4800000004</v>
          </cell>
          <cell r="I55">
            <v>538498.49500000011</v>
          </cell>
          <cell r="J55">
            <v>330871.80000000005</v>
          </cell>
          <cell r="K55">
            <v>12956376.529999999</v>
          </cell>
          <cell r="L55">
            <v>2122968.02</v>
          </cell>
          <cell r="M55">
            <v>115976858.62485421</v>
          </cell>
          <cell r="N55">
            <v>0</v>
          </cell>
          <cell r="O55">
            <v>25690005.236744855</v>
          </cell>
          <cell r="P55">
            <v>134527647.81753543</v>
          </cell>
        </row>
        <row r="56">
          <cell r="C56">
            <v>118236690.10164312</v>
          </cell>
          <cell r="D56">
            <v>6683153.1169999968</v>
          </cell>
          <cell r="E56">
            <v>70841841.211249381</v>
          </cell>
          <cell r="F56">
            <v>127481026.04561172</v>
          </cell>
          <cell r="G56">
            <v>1065949.6100000006</v>
          </cell>
          <cell r="H56">
            <v>1858846.3950000005</v>
          </cell>
          <cell r="I56">
            <v>536975.25000000012</v>
          </cell>
          <cell r="J56">
            <v>329396.92000000004</v>
          </cell>
          <cell r="K56">
            <v>12918366.32</v>
          </cell>
          <cell r="L56">
            <v>2241636.5700000003</v>
          </cell>
          <cell r="M56">
            <v>115697160.37379704</v>
          </cell>
          <cell r="N56">
            <v>0</v>
          </cell>
          <cell r="O56">
            <v>25630431.868399512</v>
          </cell>
          <cell r="P56">
            <v>138653662.4073652</v>
          </cell>
        </row>
        <row r="57">
          <cell r="C57">
            <v>120159932.17776206</v>
          </cell>
          <cell r="D57">
            <v>6808951.1569999969</v>
          </cell>
          <cell r="E57">
            <v>71977078.667499587</v>
          </cell>
          <cell r="F57">
            <v>129174646.81707445</v>
          </cell>
          <cell r="G57">
            <v>1085022.7700000005</v>
          </cell>
          <cell r="H57">
            <v>1888528.9050000007</v>
          </cell>
          <cell r="I57">
            <v>546114.7200000002</v>
          </cell>
          <cell r="J57">
            <v>338246.20000000013</v>
          </cell>
          <cell r="K57">
            <v>13146427.58</v>
          </cell>
          <cell r="L57">
            <v>1172755.1876923076</v>
          </cell>
          <cell r="M57">
            <v>117375349.88013998</v>
          </cell>
          <cell r="N57">
            <v>0</v>
          </cell>
          <cell r="O57">
            <v>25981304.033038888</v>
          </cell>
          <cell r="P57">
            <v>100811933.32975516</v>
          </cell>
        </row>
        <row r="60">
          <cell r="C60">
            <v>3846484.1522379345</v>
          </cell>
          <cell r="D60">
            <v>251596.08</v>
          </cell>
          <cell r="E60">
            <v>2270474.9125003875</v>
          </cell>
          <cell r="F60">
            <v>3387241.542925498</v>
          </cell>
          <cell r="G60">
            <v>38146.32</v>
          </cell>
          <cell r="H60">
            <v>59365.02</v>
          </cell>
          <cell r="I60">
            <v>18278.939999999995</v>
          </cell>
          <cell r="J60">
            <v>17698.560000000005</v>
          </cell>
          <cell r="K60">
            <v>456122.52000000008</v>
          </cell>
          <cell r="L60">
            <v>0</v>
          </cell>
          <cell r="M60">
            <v>3356379.0126859043</v>
          </cell>
          <cell r="N60">
            <v>0</v>
          </cell>
          <cell r="O60">
            <v>714688.83855746745</v>
          </cell>
          <cell r="P60">
            <v>783865.36369351344</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row>
        <row r="62">
          <cell r="C62">
            <v>3846484.1522379345</v>
          </cell>
          <cell r="D62">
            <v>251596.08</v>
          </cell>
          <cell r="E62">
            <v>2270474.9125003875</v>
          </cell>
          <cell r="F62">
            <v>3387241.542925498</v>
          </cell>
          <cell r="G62">
            <v>38146.32</v>
          </cell>
          <cell r="H62">
            <v>59365.02</v>
          </cell>
          <cell r="I62">
            <v>18278.939999999995</v>
          </cell>
          <cell r="J62">
            <v>17698.560000000005</v>
          </cell>
          <cell r="K62">
            <v>456122.52000000008</v>
          </cell>
          <cell r="L62">
            <v>0</v>
          </cell>
          <cell r="M62">
            <v>3356379.0126859043</v>
          </cell>
          <cell r="N62">
            <v>0</v>
          </cell>
          <cell r="O62">
            <v>714688.83855746745</v>
          </cell>
          <cell r="P62">
            <v>783865.36369351344</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C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abSelected="1" zoomScale="75" zoomScaleNormal="75" workbookViewId="0"/>
  </sheetViews>
  <sheetFormatPr defaultRowHeight="15"/>
  <cols>
    <col min="1" max="1" width="11.28515625" style="491" customWidth="1"/>
    <col min="2" max="2" width="11.7109375" style="491" bestFit="1" customWidth="1"/>
    <col min="3" max="5" width="9.140625" style="491"/>
    <col min="6" max="6" width="12" style="491" bestFit="1" customWidth="1"/>
    <col min="7" max="7" width="20.85546875" style="491" bestFit="1" customWidth="1"/>
    <col min="8" max="8" width="9.140625" style="491"/>
    <col min="9" max="9" width="26.28515625" style="491" bestFit="1" customWidth="1"/>
    <col min="10" max="244" width="9.140625" style="491"/>
    <col min="245" max="245" width="11.28515625" style="491" customWidth="1"/>
    <col min="246" max="246" width="11.7109375" style="491" bestFit="1" customWidth="1"/>
    <col min="247" max="249" width="9.140625" style="491"/>
    <col min="250" max="250" width="12" style="491" bestFit="1" customWidth="1"/>
    <col min="251" max="251" width="18.28515625" style="491" bestFit="1" customWidth="1"/>
    <col min="252" max="252" width="9.140625" style="491"/>
    <col min="253" max="253" width="26.28515625" style="491" bestFit="1" customWidth="1"/>
    <col min="254" max="500" width="9.140625" style="491"/>
    <col min="501" max="501" width="11.28515625" style="491" customWidth="1"/>
    <col min="502" max="502" width="11.7109375" style="491" bestFit="1" customWidth="1"/>
    <col min="503" max="505" width="9.140625" style="491"/>
    <col min="506" max="506" width="12" style="491" bestFit="1" customWidth="1"/>
    <col min="507" max="507" width="18.28515625" style="491" bestFit="1" customWidth="1"/>
    <col min="508" max="508" width="9.140625" style="491"/>
    <col min="509" max="509" width="26.28515625" style="491" bestFit="1" customWidth="1"/>
    <col min="510" max="756" width="9.140625" style="491"/>
    <col min="757" max="757" width="11.28515625" style="491" customWidth="1"/>
    <col min="758" max="758" width="11.7109375" style="491" bestFit="1" customWidth="1"/>
    <col min="759" max="761" width="9.140625" style="491"/>
    <col min="762" max="762" width="12" style="491" bestFit="1" customWidth="1"/>
    <col min="763" max="763" width="18.28515625" style="491" bestFit="1" customWidth="1"/>
    <col min="764" max="764" width="9.140625" style="491"/>
    <col min="765" max="765" width="26.28515625" style="491" bestFit="1" customWidth="1"/>
    <col min="766" max="1012" width="9.140625" style="491"/>
    <col min="1013" max="1013" width="11.28515625" style="491" customWidth="1"/>
    <col min="1014" max="1014" width="11.7109375" style="491" bestFit="1" customWidth="1"/>
    <col min="1015" max="1017" width="9.140625" style="491"/>
    <col min="1018" max="1018" width="12" style="491" bestFit="1" customWidth="1"/>
    <col min="1019" max="1019" width="18.28515625" style="491" bestFit="1" customWidth="1"/>
    <col min="1020" max="1020" width="9.140625" style="491"/>
    <col min="1021" max="1021" width="26.28515625" style="491" bestFit="1" customWidth="1"/>
    <col min="1022" max="1268" width="9.140625" style="491"/>
    <col min="1269" max="1269" width="11.28515625" style="491" customWidth="1"/>
    <col min="1270" max="1270" width="11.7109375" style="491" bestFit="1" customWidth="1"/>
    <col min="1271" max="1273" width="9.140625" style="491"/>
    <col min="1274" max="1274" width="12" style="491" bestFit="1" customWidth="1"/>
    <col min="1275" max="1275" width="18.28515625" style="491" bestFit="1" customWidth="1"/>
    <col min="1276" max="1276" width="9.140625" style="491"/>
    <col min="1277" max="1277" width="26.28515625" style="491" bestFit="1" customWidth="1"/>
    <col min="1278" max="1524" width="9.140625" style="491"/>
    <col min="1525" max="1525" width="11.28515625" style="491" customWidth="1"/>
    <col min="1526" max="1526" width="11.7109375" style="491" bestFit="1" customWidth="1"/>
    <col min="1527" max="1529" width="9.140625" style="491"/>
    <col min="1530" max="1530" width="12" style="491" bestFit="1" customWidth="1"/>
    <col min="1531" max="1531" width="18.28515625" style="491" bestFit="1" customWidth="1"/>
    <col min="1532" max="1532" width="9.140625" style="491"/>
    <col min="1533" max="1533" width="26.28515625" style="491" bestFit="1" customWidth="1"/>
    <col min="1534" max="1780" width="9.140625" style="491"/>
    <col min="1781" max="1781" width="11.28515625" style="491" customWidth="1"/>
    <col min="1782" max="1782" width="11.7109375" style="491" bestFit="1" customWidth="1"/>
    <col min="1783" max="1785" width="9.140625" style="491"/>
    <col min="1786" max="1786" width="12" style="491" bestFit="1" customWidth="1"/>
    <col min="1787" max="1787" width="18.28515625" style="491" bestFit="1" customWidth="1"/>
    <col min="1788" max="1788" width="9.140625" style="491"/>
    <col min="1789" max="1789" width="26.28515625" style="491" bestFit="1" customWidth="1"/>
    <col min="1790" max="2036" width="9.140625" style="491"/>
    <col min="2037" max="2037" width="11.28515625" style="491" customWidth="1"/>
    <col min="2038" max="2038" width="11.7109375" style="491" bestFit="1" customWidth="1"/>
    <col min="2039" max="2041" width="9.140625" style="491"/>
    <col min="2042" max="2042" width="12" style="491" bestFit="1" customWidth="1"/>
    <col min="2043" max="2043" width="18.28515625" style="491" bestFit="1" customWidth="1"/>
    <col min="2044" max="2044" width="9.140625" style="491"/>
    <col min="2045" max="2045" width="26.28515625" style="491" bestFit="1" customWidth="1"/>
    <col min="2046" max="2292" width="9.140625" style="491"/>
    <col min="2293" max="2293" width="11.28515625" style="491" customWidth="1"/>
    <col min="2294" max="2294" width="11.7109375" style="491" bestFit="1" customWidth="1"/>
    <col min="2295" max="2297" width="9.140625" style="491"/>
    <col min="2298" max="2298" width="12" style="491" bestFit="1" customWidth="1"/>
    <col min="2299" max="2299" width="18.28515625" style="491" bestFit="1" customWidth="1"/>
    <col min="2300" max="2300" width="9.140625" style="491"/>
    <col min="2301" max="2301" width="26.28515625" style="491" bestFit="1" customWidth="1"/>
    <col min="2302" max="2548" width="9.140625" style="491"/>
    <col min="2549" max="2549" width="11.28515625" style="491" customWidth="1"/>
    <col min="2550" max="2550" width="11.7109375" style="491" bestFit="1" customWidth="1"/>
    <col min="2551" max="2553" width="9.140625" style="491"/>
    <col min="2554" max="2554" width="12" style="491" bestFit="1" customWidth="1"/>
    <col min="2555" max="2555" width="18.28515625" style="491" bestFit="1" customWidth="1"/>
    <col min="2556" max="2556" width="9.140625" style="491"/>
    <col min="2557" max="2557" width="26.28515625" style="491" bestFit="1" customWidth="1"/>
    <col min="2558" max="2804" width="9.140625" style="491"/>
    <col min="2805" max="2805" width="11.28515625" style="491" customWidth="1"/>
    <col min="2806" max="2806" width="11.7109375" style="491" bestFit="1" customWidth="1"/>
    <col min="2807" max="2809" width="9.140625" style="491"/>
    <col min="2810" max="2810" width="12" style="491" bestFit="1" customWidth="1"/>
    <col min="2811" max="2811" width="18.28515625" style="491" bestFit="1" customWidth="1"/>
    <col min="2812" max="2812" width="9.140625" style="491"/>
    <col min="2813" max="2813" width="26.28515625" style="491" bestFit="1" customWidth="1"/>
    <col min="2814" max="3060" width="9.140625" style="491"/>
    <col min="3061" max="3061" width="11.28515625" style="491" customWidth="1"/>
    <col min="3062" max="3062" width="11.7109375" style="491" bestFit="1" customWidth="1"/>
    <col min="3063" max="3065" width="9.140625" style="491"/>
    <col min="3066" max="3066" width="12" style="491" bestFit="1" customWidth="1"/>
    <col min="3067" max="3067" width="18.28515625" style="491" bestFit="1" customWidth="1"/>
    <col min="3068" max="3068" width="9.140625" style="491"/>
    <col min="3069" max="3069" width="26.28515625" style="491" bestFit="1" customWidth="1"/>
    <col min="3070" max="3316" width="9.140625" style="491"/>
    <col min="3317" max="3317" width="11.28515625" style="491" customWidth="1"/>
    <col min="3318" max="3318" width="11.7109375" style="491" bestFit="1" customWidth="1"/>
    <col min="3319" max="3321" width="9.140625" style="491"/>
    <col min="3322" max="3322" width="12" style="491" bestFit="1" customWidth="1"/>
    <col min="3323" max="3323" width="18.28515625" style="491" bestFit="1" customWidth="1"/>
    <col min="3324" max="3324" width="9.140625" style="491"/>
    <col min="3325" max="3325" width="26.28515625" style="491" bestFit="1" customWidth="1"/>
    <col min="3326" max="3572" width="9.140625" style="491"/>
    <col min="3573" max="3573" width="11.28515625" style="491" customWidth="1"/>
    <col min="3574" max="3574" width="11.7109375" style="491" bestFit="1" customWidth="1"/>
    <col min="3575" max="3577" width="9.140625" style="491"/>
    <col min="3578" max="3578" width="12" style="491" bestFit="1" customWidth="1"/>
    <col min="3579" max="3579" width="18.28515625" style="491" bestFit="1" customWidth="1"/>
    <col min="3580" max="3580" width="9.140625" style="491"/>
    <col min="3581" max="3581" width="26.28515625" style="491" bestFit="1" customWidth="1"/>
    <col min="3582" max="3828" width="9.140625" style="491"/>
    <col min="3829" max="3829" width="11.28515625" style="491" customWidth="1"/>
    <col min="3830" max="3830" width="11.7109375" style="491" bestFit="1" customWidth="1"/>
    <col min="3831" max="3833" width="9.140625" style="491"/>
    <col min="3834" max="3834" width="12" style="491" bestFit="1" customWidth="1"/>
    <col min="3835" max="3835" width="18.28515625" style="491" bestFit="1" customWidth="1"/>
    <col min="3836" max="3836" width="9.140625" style="491"/>
    <col min="3837" max="3837" width="26.28515625" style="491" bestFit="1" customWidth="1"/>
    <col min="3838" max="4084" width="9.140625" style="491"/>
    <col min="4085" max="4085" width="11.28515625" style="491" customWidth="1"/>
    <col min="4086" max="4086" width="11.7109375" style="491" bestFit="1" customWidth="1"/>
    <col min="4087" max="4089" width="9.140625" style="491"/>
    <col min="4090" max="4090" width="12" style="491" bestFit="1" customWidth="1"/>
    <col min="4091" max="4091" width="18.28515625" style="491" bestFit="1" customWidth="1"/>
    <col min="4092" max="4092" width="9.140625" style="491"/>
    <col min="4093" max="4093" width="26.28515625" style="491" bestFit="1" customWidth="1"/>
    <col min="4094" max="4340" width="9.140625" style="491"/>
    <col min="4341" max="4341" width="11.28515625" style="491" customWidth="1"/>
    <col min="4342" max="4342" width="11.7109375" style="491" bestFit="1" customWidth="1"/>
    <col min="4343" max="4345" width="9.140625" style="491"/>
    <col min="4346" max="4346" width="12" style="491" bestFit="1" customWidth="1"/>
    <col min="4347" max="4347" width="18.28515625" style="491" bestFit="1" customWidth="1"/>
    <col min="4348" max="4348" width="9.140625" style="491"/>
    <col min="4349" max="4349" width="26.28515625" style="491" bestFit="1" customWidth="1"/>
    <col min="4350" max="4596" width="9.140625" style="491"/>
    <col min="4597" max="4597" width="11.28515625" style="491" customWidth="1"/>
    <col min="4598" max="4598" width="11.7109375" style="491" bestFit="1" customWidth="1"/>
    <col min="4599" max="4601" width="9.140625" style="491"/>
    <col min="4602" max="4602" width="12" style="491" bestFit="1" customWidth="1"/>
    <col min="4603" max="4603" width="18.28515625" style="491" bestFit="1" customWidth="1"/>
    <col min="4604" max="4604" width="9.140625" style="491"/>
    <col min="4605" max="4605" width="26.28515625" style="491" bestFit="1" customWidth="1"/>
    <col min="4606" max="4852" width="9.140625" style="491"/>
    <col min="4853" max="4853" width="11.28515625" style="491" customWidth="1"/>
    <col min="4854" max="4854" width="11.7109375" style="491" bestFit="1" customWidth="1"/>
    <col min="4855" max="4857" width="9.140625" style="491"/>
    <col min="4858" max="4858" width="12" style="491" bestFit="1" customWidth="1"/>
    <col min="4859" max="4859" width="18.28515625" style="491" bestFit="1" customWidth="1"/>
    <col min="4860" max="4860" width="9.140625" style="491"/>
    <col min="4861" max="4861" width="26.28515625" style="491" bestFit="1" customWidth="1"/>
    <col min="4862" max="5108" width="9.140625" style="491"/>
    <col min="5109" max="5109" width="11.28515625" style="491" customWidth="1"/>
    <col min="5110" max="5110" width="11.7109375" style="491" bestFit="1" customWidth="1"/>
    <col min="5111" max="5113" width="9.140625" style="491"/>
    <col min="5114" max="5114" width="12" style="491" bestFit="1" customWidth="1"/>
    <col min="5115" max="5115" width="18.28515625" style="491" bestFit="1" customWidth="1"/>
    <col min="5116" max="5116" width="9.140625" style="491"/>
    <col min="5117" max="5117" width="26.28515625" style="491" bestFit="1" customWidth="1"/>
    <col min="5118" max="5364" width="9.140625" style="491"/>
    <col min="5365" max="5365" width="11.28515625" style="491" customWidth="1"/>
    <col min="5366" max="5366" width="11.7109375" style="491" bestFit="1" customWidth="1"/>
    <col min="5367" max="5369" width="9.140625" style="491"/>
    <col min="5370" max="5370" width="12" style="491" bestFit="1" customWidth="1"/>
    <col min="5371" max="5371" width="18.28515625" style="491" bestFit="1" customWidth="1"/>
    <col min="5372" max="5372" width="9.140625" style="491"/>
    <col min="5373" max="5373" width="26.28515625" style="491" bestFit="1" customWidth="1"/>
    <col min="5374" max="5620" width="9.140625" style="491"/>
    <col min="5621" max="5621" width="11.28515625" style="491" customWidth="1"/>
    <col min="5622" max="5622" width="11.7109375" style="491" bestFit="1" customWidth="1"/>
    <col min="5623" max="5625" width="9.140625" style="491"/>
    <col min="5626" max="5626" width="12" style="491" bestFit="1" customWidth="1"/>
    <col min="5627" max="5627" width="18.28515625" style="491" bestFit="1" customWidth="1"/>
    <col min="5628" max="5628" width="9.140625" style="491"/>
    <col min="5629" max="5629" width="26.28515625" style="491" bestFit="1" customWidth="1"/>
    <col min="5630" max="5876" width="9.140625" style="491"/>
    <col min="5877" max="5877" width="11.28515625" style="491" customWidth="1"/>
    <col min="5878" max="5878" width="11.7109375" style="491" bestFit="1" customWidth="1"/>
    <col min="5879" max="5881" width="9.140625" style="491"/>
    <col min="5882" max="5882" width="12" style="491" bestFit="1" customWidth="1"/>
    <col min="5883" max="5883" width="18.28515625" style="491" bestFit="1" customWidth="1"/>
    <col min="5884" max="5884" width="9.140625" style="491"/>
    <col min="5885" max="5885" width="26.28515625" style="491" bestFit="1" customWidth="1"/>
    <col min="5886" max="6132" width="9.140625" style="491"/>
    <col min="6133" max="6133" width="11.28515625" style="491" customWidth="1"/>
    <col min="6134" max="6134" width="11.7109375" style="491" bestFit="1" customWidth="1"/>
    <col min="6135" max="6137" width="9.140625" style="491"/>
    <col min="6138" max="6138" width="12" style="491" bestFit="1" customWidth="1"/>
    <col min="6139" max="6139" width="18.28515625" style="491" bestFit="1" customWidth="1"/>
    <col min="6140" max="6140" width="9.140625" style="491"/>
    <col min="6141" max="6141" width="26.28515625" style="491" bestFit="1" customWidth="1"/>
    <col min="6142" max="6388" width="9.140625" style="491"/>
    <col min="6389" max="6389" width="11.28515625" style="491" customWidth="1"/>
    <col min="6390" max="6390" width="11.7109375" style="491" bestFit="1" customWidth="1"/>
    <col min="6391" max="6393" width="9.140625" style="491"/>
    <col min="6394" max="6394" width="12" style="491" bestFit="1" customWidth="1"/>
    <col min="6395" max="6395" width="18.28515625" style="491" bestFit="1" customWidth="1"/>
    <col min="6396" max="6396" width="9.140625" style="491"/>
    <col min="6397" max="6397" width="26.28515625" style="491" bestFit="1" customWidth="1"/>
    <col min="6398" max="6644" width="9.140625" style="491"/>
    <col min="6645" max="6645" width="11.28515625" style="491" customWidth="1"/>
    <col min="6646" max="6646" width="11.7109375" style="491" bestFit="1" customWidth="1"/>
    <col min="6647" max="6649" width="9.140625" style="491"/>
    <col min="6650" max="6650" width="12" style="491" bestFit="1" customWidth="1"/>
    <col min="6651" max="6651" width="18.28515625" style="491" bestFit="1" customWidth="1"/>
    <col min="6652" max="6652" width="9.140625" style="491"/>
    <col min="6653" max="6653" width="26.28515625" style="491" bestFit="1" customWidth="1"/>
    <col min="6654" max="6900" width="9.140625" style="491"/>
    <col min="6901" max="6901" width="11.28515625" style="491" customWidth="1"/>
    <col min="6902" max="6902" width="11.7109375" style="491" bestFit="1" customWidth="1"/>
    <col min="6903" max="6905" width="9.140625" style="491"/>
    <col min="6906" max="6906" width="12" style="491" bestFit="1" customWidth="1"/>
    <col min="6907" max="6907" width="18.28515625" style="491" bestFit="1" customWidth="1"/>
    <col min="6908" max="6908" width="9.140625" style="491"/>
    <col min="6909" max="6909" width="26.28515625" style="491" bestFit="1" customWidth="1"/>
    <col min="6910" max="7156" width="9.140625" style="491"/>
    <col min="7157" max="7157" width="11.28515625" style="491" customWidth="1"/>
    <col min="7158" max="7158" width="11.7109375" style="491" bestFit="1" customWidth="1"/>
    <col min="7159" max="7161" width="9.140625" style="491"/>
    <col min="7162" max="7162" width="12" style="491" bestFit="1" customWidth="1"/>
    <col min="7163" max="7163" width="18.28515625" style="491" bestFit="1" customWidth="1"/>
    <col min="7164" max="7164" width="9.140625" style="491"/>
    <col min="7165" max="7165" width="26.28515625" style="491" bestFit="1" customWidth="1"/>
    <col min="7166" max="7412" width="9.140625" style="491"/>
    <col min="7413" max="7413" width="11.28515625" style="491" customWidth="1"/>
    <col min="7414" max="7414" width="11.7109375" style="491" bestFit="1" customWidth="1"/>
    <col min="7415" max="7417" width="9.140625" style="491"/>
    <col min="7418" max="7418" width="12" style="491" bestFit="1" customWidth="1"/>
    <col min="7419" max="7419" width="18.28515625" style="491" bestFit="1" customWidth="1"/>
    <col min="7420" max="7420" width="9.140625" style="491"/>
    <col min="7421" max="7421" width="26.28515625" style="491" bestFit="1" customWidth="1"/>
    <col min="7422" max="7668" width="9.140625" style="491"/>
    <col min="7669" max="7669" width="11.28515625" style="491" customWidth="1"/>
    <col min="7670" max="7670" width="11.7109375" style="491" bestFit="1" customWidth="1"/>
    <col min="7671" max="7673" width="9.140625" style="491"/>
    <col min="7674" max="7674" width="12" style="491" bestFit="1" customWidth="1"/>
    <col min="7675" max="7675" width="18.28515625" style="491" bestFit="1" customWidth="1"/>
    <col min="7676" max="7676" width="9.140625" style="491"/>
    <col min="7677" max="7677" width="26.28515625" style="491" bestFit="1" customWidth="1"/>
    <col min="7678" max="7924" width="9.140625" style="491"/>
    <col min="7925" max="7925" width="11.28515625" style="491" customWidth="1"/>
    <col min="7926" max="7926" width="11.7109375" style="491" bestFit="1" customWidth="1"/>
    <col min="7927" max="7929" width="9.140625" style="491"/>
    <col min="7930" max="7930" width="12" style="491" bestFit="1" customWidth="1"/>
    <col min="7931" max="7931" width="18.28515625" style="491" bestFit="1" customWidth="1"/>
    <col min="7932" max="7932" width="9.140625" style="491"/>
    <col min="7933" max="7933" width="26.28515625" style="491" bestFit="1" customWidth="1"/>
    <col min="7934" max="8180" width="9.140625" style="491"/>
    <col min="8181" max="8181" width="11.28515625" style="491" customWidth="1"/>
    <col min="8182" max="8182" width="11.7109375" style="491" bestFit="1" customWidth="1"/>
    <col min="8183" max="8185" width="9.140625" style="491"/>
    <col min="8186" max="8186" width="12" style="491" bestFit="1" customWidth="1"/>
    <col min="8187" max="8187" width="18.28515625" style="491" bestFit="1" customWidth="1"/>
    <col min="8188" max="8188" width="9.140625" style="491"/>
    <col min="8189" max="8189" width="26.28515625" style="491" bestFit="1" customWidth="1"/>
    <col min="8190" max="8436" width="9.140625" style="491"/>
    <col min="8437" max="8437" width="11.28515625" style="491" customWidth="1"/>
    <col min="8438" max="8438" width="11.7109375" style="491" bestFit="1" customWidth="1"/>
    <col min="8439" max="8441" width="9.140625" style="491"/>
    <col min="8442" max="8442" width="12" style="491" bestFit="1" customWidth="1"/>
    <col min="8443" max="8443" width="18.28515625" style="491" bestFit="1" customWidth="1"/>
    <col min="8444" max="8444" width="9.140625" style="491"/>
    <col min="8445" max="8445" width="26.28515625" style="491" bestFit="1" customWidth="1"/>
    <col min="8446" max="8692" width="9.140625" style="491"/>
    <col min="8693" max="8693" width="11.28515625" style="491" customWidth="1"/>
    <col min="8694" max="8694" width="11.7109375" style="491" bestFit="1" customWidth="1"/>
    <col min="8695" max="8697" width="9.140625" style="491"/>
    <col min="8698" max="8698" width="12" style="491" bestFit="1" customWidth="1"/>
    <col min="8699" max="8699" width="18.28515625" style="491" bestFit="1" customWidth="1"/>
    <col min="8700" max="8700" width="9.140625" style="491"/>
    <col min="8701" max="8701" width="26.28515625" style="491" bestFit="1" customWidth="1"/>
    <col min="8702" max="8948" width="9.140625" style="491"/>
    <col min="8949" max="8949" width="11.28515625" style="491" customWidth="1"/>
    <col min="8950" max="8950" width="11.7109375" style="491" bestFit="1" customWidth="1"/>
    <col min="8951" max="8953" width="9.140625" style="491"/>
    <col min="8954" max="8954" width="12" style="491" bestFit="1" customWidth="1"/>
    <col min="8955" max="8955" width="18.28515625" style="491" bestFit="1" customWidth="1"/>
    <col min="8956" max="8956" width="9.140625" style="491"/>
    <col min="8957" max="8957" width="26.28515625" style="491" bestFit="1" customWidth="1"/>
    <col min="8958" max="9204" width="9.140625" style="491"/>
    <col min="9205" max="9205" width="11.28515625" style="491" customWidth="1"/>
    <col min="9206" max="9206" width="11.7109375" style="491" bestFit="1" customWidth="1"/>
    <col min="9207" max="9209" width="9.140625" style="491"/>
    <col min="9210" max="9210" width="12" style="491" bestFit="1" customWidth="1"/>
    <col min="9211" max="9211" width="18.28515625" style="491" bestFit="1" customWidth="1"/>
    <col min="9212" max="9212" width="9.140625" style="491"/>
    <col min="9213" max="9213" width="26.28515625" style="491" bestFit="1" customWidth="1"/>
    <col min="9214" max="9460" width="9.140625" style="491"/>
    <col min="9461" max="9461" width="11.28515625" style="491" customWidth="1"/>
    <col min="9462" max="9462" width="11.7109375" style="491" bestFit="1" customWidth="1"/>
    <col min="9463" max="9465" width="9.140625" style="491"/>
    <col min="9466" max="9466" width="12" style="491" bestFit="1" customWidth="1"/>
    <col min="9467" max="9467" width="18.28515625" style="491" bestFit="1" customWidth="1"/>
    <col min="9468" max="9468" width="9.140625" style="491"/>
    <col min="9469" max="9469" width="26.28515625" style="491" bestFit="1" customWidth="1"/>
    <col min="9470" max="9716" width="9.140625" style="491"/>
    <col min="9717" max="9717" width="11.28515625" style="491" customWidth="1"/>
    <col min="9718" max="9718" width="11.7109375" style="491" bestFit="1" customWidth="1"/>
    <col min="9719" max="9721" width="9.140625" style="491"/>
    <col min="9722" max="9722" width="12" style="491" bestFit="1" customWidth="1"/>
    <col min="9723" max="9723" width="18.28515625" style="491" bestFit="1" customWidth="1"/>
    <col min="9724" max="9724" width="9.140625" style="491"/>
    <col min="9725" max="9725" width="26.28515625" style="491" bestFit="1" customWidth="1"/>
    <col min="9726" max="9972" width="9.140625" style="491"/>
    <col min="9973" max="9973" width="11.28515625" style="491" customWidth="1"/>
    <col min="9974" max="9974" width="11.7109375" style="491" bestFit="1" customWidth="1"/>
    <col min="9975" max="9977" width="9.140625" style="491"/>
    <col min="9978" max="9978" width="12" style="491" bestFit="1" customWidth="1"/>
    <col min="9979" max="9979" width="18.28515625" style="491" bestFit="1" customWidth="1"/>
    <col min="9980" max="9980" width="9.140625" style="491"/>
    <col min="9981" max="9981" width="26.28515625" style="491" bestFit="1" customWidth="1"/>
    <col min="9982" max="10228" width="9.140625" style="491"/>
    <col min="10229" max="10229" width="11.28515625" style="491" customWidth="1"/>
    <col min="10230" max="10230" width="11.7109375" style="491" bestFit="1" customWidth="1"/>
    <col min="10231" max="10233" width="9.140625" style="491"/>
    <col min="10234" max="10234" width="12" style="491" bestFit="1" customWidth="1"/>
    <col min="10235" max="10235" width="18.28515625" style="491" bestFit="1" customWidth="1"/>
    <col min="10236" max="10236" width="9.140625" style="491"/>
    <col min="10237" max="10237" width="26.28515625" style="491" bestFit="1" customWidth="1"/>
    <col min="10238" max="10484" width="9.140625" style="491"/>
    <col min="10485" max="10485" width="11.28515625" style="491" customWidth="1"/>
    <col min="10486" max="10486" width="11.7109375" style="491" bestFit="1" customWidth="1"/>
    <col min="10487" max="10489" width="9.140625" style="491"/>
    <col min="10490" max="10490" width="12" style="491" bestFit="1" customWidth="1"/>
    <col min="10491" max="10491" width="18.28515625" style="491" bestFit="1" customWidth="1"/>
    <col min="10492" max="10492" width="9.140625" style="491"/>
    <col min="10493" max="10493" width="26.28515625" style="491" bestFit="1" customWidth="1"/>
    <col min="10494" max="10740" width="9.140625" style="491"/>
    <col min="10741" max="10741" width="11.28515625" style="491" customWidth="1"/>
    <col min="10742" max="10742" width="11.7109375" style="491" bestFit="1" customWidth="1"/>
    <col min="10743" max="10745" width="9.140625" style="491"/>
    <col min="10746" max="10746" width="12" style="491" bestFit="1" customWidth="1"/>
    <col min="10747" max="10747" width="18.28515625" style="491" bestFit="1" customWidth="1"/>
    <col min="10748" max="10748" width="9.140625" style="491"/>
    <col min="10749" max="10749" width="26.28515625" style="491" bestFit="1" customWidth="1"/>
    <col min="10750" max="10996" width="9.140625" style="491"/>
    <col min="10997" max="10997" width="11.28515625" style="491" customWidth="1"/>
    <col min="10998" max="10998" width="11.7109375" style="491" bestFit="1" customWidth="1"/>
    <col min="10999" max="11001" width="9.140625" style="491"/>
    <col min="11002" max="11002" width="12" style="491" bestFit="1" customWidth="1"/>
    <col min="11003" max="11003" width="18.28515625" style="491" bestFit="1" customWidth="1"/>
    <col min="11004" max="11004" width="9.140625" style="491"/>
    <col min="11005" max="11005" width="26.28515625" style="491" bestFit="1" customWidth="1"/>
    <col min="11006" max="11252" width="9.140625" style="491"/>
    <col min="11253" max="11253" width="11.28515625" style="491" customWidth="1"/>
    <col min="11254" max="11254" width="11.7109375" style="491" bestFit="1" customWidth="1"/>
    <col min="11255" max="11257" width="9.140625" style="491"/>
    <col min="11258" max="11258" width="12" style="491" bestFit="1" customWidth="1"/>
    <col min="11259" max="11259" width="18.28515625" style="491" bestFit="1" customWidth="1"/>
    <col min="11260" max="11260" width="9.140625" style="491"/>
    <col min="11261" max="11261" width="26.28515625" style="491" bestFit="1" customWidth="1"/>
    <col min="11262" max="11508" width="9.140625" style="491"/>
    <col min="11509" max="11509" width="11.28515625" style="491" customWidth="1"/>
    <col min="11510" max="11510" width="11.7109375" style="491" bestFit="1" customWidth="1"/>
    <col min="11511" max="11513" width="9.140625" style="491"/>
    <col min="11514" max="11514" width="12" style="491" bestFit="1" customWidth="1"/>
    <col min="11515" max="11515" width="18.28515625" style="491" bestFit="1" customWidth="1"/>
    <col min="11516" max="11516" width="9.140625" style="491"/>
    <col min="11517" max="11517" width="26.28515625" style="491" bestFit="1" customWidth="1"/>
    <col min="11518" max="11764" width="9.140625" style="491"/>
    <col min="11765" max="11765" width="11.28515625" style="491" customWidth="1"/>
    <col min="11766" max="11766" width="11.7109375" style="491" bestFit="1" customWidth="1"/>
    <col min="11767" max="11769" width="9.140625" style="491"/>
    <col min="11770" max="11770" width="12" style="491" bestFit="1" customWidth="1"/>
    <col min="11771" max="11771" width="18.28515625" style="491" bestFit="1" customWidth="1"/>
    <col min="11772" max="11772" width="9.140625" style="491"/>
    <col min="11773" max="11773" width="26.28515625" style="491" bestFit="1" customWidth="1"/>
    <col min="11774" max="12020" width="9.140625" style="491"/>
    <col min="12021" max="12021" width="11.28515625" style="491" customWidth="1"/>
    <col min="12022" max="12022" width="11.7109375" style="491" bestFit="1" customWidth="1"/>
    <col min="12023" max="12025" width="9.140625" style="491"/>
    <col min="12026" max="12026" width="12" style="491" bestFit="1" customWidth="1"/>
    <col min="12027" max="12027" width="18.28515625" style="491" bestFit="1" customWidth="1"/>
    <col min="12028" max="12028" width="9.140625" style="491"/>
    <col min="12029" max="12029" width="26.28515625" style="491" bestFit="1" customWidth="1"/>
    <col min="12030" max="12276" width="9.140625" style="491"/>
    <col min="12277" max="12277" width="11.28515625" style="491" customWidth="1"/>
    <col min="12278" max="12278" width="11.7109375" style="491" bestFit="1" customWidth="1"/>
    <col min="12279" max="12281" width="9.140625" style="491"/>
    <col min="12282" max="12282" width="12" style="491" bestFit="1" customWidth="1"/>
    <col min="12283" max="12283" width="18.28515625" style="491" bestFit="1" customWidth="1"/>
    <col min="12284" max="12284" width="9.140625" style="491"/>
    <col min="12285" max="12285" width="26.28515625" style="491" bestFit="1" customWidth="1"/>
    <col min="12286" max="12532" width="9.140625" style="491"/>
    <col min="12533" max="12533" width="11.28515625" style="491" customWidth="1"/>
    <col min="12534" max="12534" width="11.7109375" style="491" bestFit="1" customWidth="1"/>
    <col min="12535" max="12537" width="9.140625" style="491"/>
    <col min="12538" max="12538" width="12" style="491" bestFit="1" customWidth="1"/>
    <col min="12539" max="12539" width="18.28515625" style="491" bestFit="1" customWidth="1"/>
    <col min="12540" max="12540" width="9.140625" style="491"/>
    <col min="12541" max="12541" width="26.28515625" style="491" bestFit="1" customWidth="1"/>
    <col min="12542" max="12788" width="9.140625" style="491"/>
    <col min="12789" max="12789" width="11.28515625" style="491" customWidth="1"/>
    <col min="12790" max="12790" width="11.7109375" style="491" bestFit="1" customWidth="1"/>
    <col min="12791" max="12793" width="9.140625" style="491"/>
    <col min="12794" max="12794" width="12" style="491" bestFit="1" customWidth="1"/>
    <col min="12795" max="12795" width="18.28515625" style="491" bestFit="1" customWidth="1"/>
    <col min="12796" max="12796" width="9.140625" style="491"/>
    <col min="12797" max="12797" width="26.28515625" style="491" bestFit="1" customWidth="1"/>
    <col min="12798" max="13044" width="9.140625" style="491"/>
    <col min="13045" max="13045" width="11.28515625" style="491" customWidth="1"/>
    <col min="13046" max="13046" width="11.7109375" style="491" bestFit="1" customWidth="1"/>
    <col min="13047" max="13049" width="9.140625" style="491"/>
    <col min="13050" max="13050" width="12" style="491" bestFit="1" customWidth="1"/>
    <col min="13051" max="13051" width="18.28515625" style="491" bestFit="1" customWidth="1"/>
    <col min="13052" max="13052" width="9.140625" style="491"/>
    <col min="13053" max="13053" width="26.28515625" style="491" bestFit="1" customWidth="1"/>
    <col min="13054" max="13300" width="9.140625" style="491"/>
    <col min="13301" max="13301" width="11.28515625" style="491" customWidth="1"/>
    <col min="13302" max="13302" width="11.7109375" style="491" bestFit="1" customWidth="1"/>
    <col min="13303" max="13305" width="9.140625" style="491"/>
    <col min="13306" max="13306" width="12" style="491" bestFit="1" customWidth="1"/>
    <col min="13307" max="13307" width="18.28515625" style="491" bestFit="1" customWidth="1"/>
    <col min="13308" max="13308" width="9.140625" style="491"/>
    <col min="13309" max="13309" width="26.28515625" style="491" bestFit="1" customWidth="1"/>
    <col min="13310" max="13556" width="9.140625" style="491"/>
    <col min="13557" max="13557" width="11.28515625" style="491" customWidth="1"/>
    <col min="13558" max="13558" width="11.7109375" style="491" bestFit="1" customWidth="1"/>
    <col min="13559" max="13561" width="9.140625" style="491"/>
    <col min="13562" max="13562" width="12" style="491" bestFit="1" customWidth="1"/>
    <col min="13563" max="13563" width="18.28515625" style="491" bestFit="1" customWidth="1"/>
    <col min="13564" max="13564" width="9.140625" style="491"/>
    <col min="13565" max="13565" width="26.28515625" style="491" bestFit="1" customWidth="1"/>
    <col min="13566" max="13812" width="9.140625" style="491"/>
    <col min="13813" max="13813" width="11.28515625" style="491" customWidth="1"/>
    <col min="13814" max="13814" width="11.7109375" style="491" bestFit="1" customWidth="1"/>
    <col min="13815" max="13817" width="9.140625" style="491"/>
    <col min="13818" max="13818" width="12" style="491" bestFit="1" customWidth="1"/>
    <col min="13819" max="13819" width="18.28515625" style="491" bestFit="1" customWidth="1"/>
    <col min="13820" max="13820" width="9.140625" style="491"/>
    <col min="13821" max="13821" width="26.28515625" style="491" bestFit="1" customWidth="1"/>
    <col min="13822" max="14068" width="9.140625" style="491"/>
    <col min="14069" max="14069" width="11.28515625" style="491" customWidth="1"/>
    <col min="14070" max="14070" width="11.7109375" style="491" bestFit="1" customWidth="1"/>
    <col min="14071" max="14073" width="9.140625" style="491"/>
    <col min="14074" max="14074" width="12" style="491" bestFit="1" customWidth="1"/>
    <col min="14075" max="14075" width="18.28515625" style="491" bestFit="1" customWidth="1"/>
    <col min="14076" max="14076" width="9.140625" style="491"/>
    <col min="14077" max="14077" width="26.28515625" style="491" bestFit="1" customWidth="1"/>
    <col min="14078" max="14324" width="9.140625" style="491"/>
    <col min="14325" max="14325" width="11.28515625" style="491" customWidth="1"/>
    <col min="14326" max="14326" width="11.7109375" style="491" bestFit="1" customWidth="1"/>
    <col min="14327" max="14329" width="9.140625" style="491"/>
    <col min="14330" max="14330" width="12" style="491" bestFit="1" customWidth="1"/>
    <col min="14331" max="14331" width="18.28515625" style="491" bestFit="1" customWidth="1"/>
    <col min="14332" max="14332" width="9.140625" style="491"/>
    <col min="14333" max="14333" width="26.28515625" style="491" bestFit="1" customWidth="1"/>
    <col min="14334" max="14580" width="9.140625" style="491"/>
    <col min="14581" max="14581" width="11.28515625" style="491" customWidth="1"/>
    <col min="14582" max="14582" width="11.7109375" style="491" bestFit="1" customWidth="1"/>
    <col min="14583" max="14585" width="9.140625" style="491"/>
    <col min="14586" max="14586" width="12" style="491" bestFit="1" customWidth="1"/>
    <col min="14587" max="14587" width="18.28515625" style="491" bestFit="1" customWidth="1"/>
    <col min="14588" max="14588" width="9.140625" style="491"/>
    <col min="14589" max="14589" width="26.28515625" style="491" bestFit="1" customWidth="1"/>
    <col min="14590" max="14836" width="9.140625" style="491"/>
    <col min="14837" max="14837" width="11.28515625" style="491" customWidth="1"/>
    <col min="14838" max="14838" width="11.7109375" style="491" bestFit="1" customWidth="1"/>
    <col min="14839" max="14841" width="9.140625" style="491"/>
    <col min="14842" max="14842" width="12" style="491" bestFit="1" customWidth="1"/>
    <col min="14843" max="14843" width="18.28515625" style="491" bestFit="1" customWidth="1"/>
    <col min="14844" max="14844" width="9.140625" style="491"/>
    <col min="14845" max="14845" width="26.28515625" style="491" bestFit="1" customWidth="1"/>
    <col min="14846" max="15092" width="9.140625" style="491"/>
    <col min="15093" max="15093" width="11.28515625" style="491" customWidth="1"/>
    <col min="15094" max="15094" width="11.7109375" style="491" bestFit="1" customWidth="1"/>
    <col min="15095" max="15097" width="9.140625" style="491"/>
    <col min="15098" max="15098" width="12" style="491" bestFit="1" customWidth="1"/>
    <col min="15099" max="15099" width="18.28515625" style="491" bestFit="1" customWidth="1"/>
    <col min="15100" max="15100" width="9.140625" style="491"/>
    <col min="15101" max="15101" width="26.28515625" style="491" bestFit="1" customWidth="1"/>
    <col min="15102" max="15348" width="9.140625" style="491"/>
    <col min="15349" max="15349" width="11.28515625" style="491" customWidth="1"/>
    <col min="15350" max="15350" width="11.7109375" style="491" bestFit="1" customWidth="1"/>
    <col min="15351" max="15353" width="9.140625" style="491"/>
    <col min="15354" max="15354" width="12" style="491" bestFit="1" customWidth="1"/>
    <col min="15355" max="15355" width="18.28515625" style="491" bestFit="1" customWidth="1"/>
    <col min="15356" max="15356" width="9.140625" style="491"/>
    <col min="15357" max="15357" width="26.28515625" style="491" bestFit="1" customWidth="1"/>
    <col min="15358" max="15604" width="9.140625" style="491"/>
    <col min="15605" max="15605" width="11.28515625" style="491" customWidth="1"/>
    <col min="15606" max="15606" width="11.7109375" style="491" bestFit="1" customWidth="1"/>
    <col min="15607" max="15609" width="9.140625" style="491"/>
    <col min="15610" max="15610" width="12" style="491" bestFit="1" customWidth="1"/>
    <col min="15611" max="15611" width="18.28515625" style="491" bestFit="1" customWidth="1"/>
    <col min="15612" max="15612" width="9.140625" style="491"/>
    <col min="15613" max="15613" width="26.28515625" style="491" bestFit="1" customWidth="1"/>
    <col min="15614" max="15860" width="9.140625" style="491"/>
    <col min="15861" max="15861" width="11.28515625" style="491" customWidth="1"/>
    <col min="15862" max="15862" width="11.7109375" style="491" bestFit="1" customWidth="1"/>
    <col min="15863" max="15865" width="9.140625" style="491"/>
    <col min="15866" max="15866" width="12" style="491" bestFit="1" customWidth="1"/>
    <col min="15867" max="15867" width="18.28515625" style="491" bestFit="1" customWidth="1"/>
    <col min="15868" max="15868" width="9.140625" style="491"/>
    <col min="15869" max="15869" width="26.28515625" style="491" bestFit="1" customWidth="1"/>
    <col min="15870" max="16116" width="9.140625" style="491"/>
    <col min="16117" max="16117" width="11.28515625" style="491" customWidth="1"/>
    <col min="16118" max="16118" width="11.7109375" style="491" bestFit="1" customWidth="1"/>
    <col min="16119" max="16121" width="9.140625" style="491"/>
    <col min="16122" max="16122" width="12" style="491" bestFit="1" customWidth="1"/>
    <col min="16123" max="16123" width="18.28515625" style="491" bestFit="1" customWidth="1"/>
    <col min="16124" max="16124" width="9.140625" style="491"/>
    <col min="16125" max="16125" width="26.28515625" style="491" bestFit="1" customWidth="1"/>
    <col min="16126" max="16384" width="9.140625" style="491"/>
  </cols>
  <sheetData>
    <row r="1" spans="1:9" ht="15.75">
      <c r="A1" s="490" t="s">
        <v>218</v>
      </c>
    </row>
    <row r="2" spans="1:9" ht="15.75">
      <c r="A2" s="490" t="s">
        <v>665</v>
      </c>
    </row>
    <row r="3" spans="1:9" ht="15.75">
      <c r="A3" s="492" t="s">
        <v>668</v>
      </c>
    </row>
    <row r="6" spans="1:9">
      <c r="A6" s="493" t="s">
        <v>666</v>
      </c>
      <c r="G6" s="494">
        <f>'ATC Attach O ER15-358'!I20</f>
        <v>567832519.87641287</v>
      </c>
      <c r="H6" s="495"/>
      <c r="I6" s="496"/>
    </row>
    <row r="7" spans="1:9">
      <c r="G7" s="494"/>
      <c r="H7" s="495"/>
      <c r="I7" s="496"/>
    </row>
    <row r="8" spans="1:9">
      <c r="A8" s="493" t="s">
        <v>667</v>
      </c>
      <c r="G8" s="494">
        <f>'Revenue Breakout'!C12</f>
        <v>575187566.5</v>
      </c>
      <c r="H8" s="495"/>
      <c r="I8" s="496"/>
    </row>
    <row r="9" spans="1:9">
      <c r="G9" s="494"/>
      <c r="I9" s="496"/>
    </row>
    <row r="10" spans="1:9">
      <c r="A10" s="491" t="s">
        <v>669</v>
      </c>
      <c r="G10" s="498">
        <f>G8-G6</f>
        <v>7355046.6235871315</v>
      </c>
      <c r="I10" s="496"/>
    </row>
    <row r="11" spans="1:9">
      <c r="G11" s="494"/>
      <c r="I11" s="496"/>
    </row>
    <row r="12" spans="1:9">
      <c r="A12" s="491" t="s">
        <v>670</v>
      </c>
      <c r="G12" s="499">
        <f>G10-G14</f>
        <v>353898.26358713116</v>
      </c>
    </row>
    <row r="14" spans="1:9" ht="15.75" thickBot="1">
      <c r="A14" s="491" t="s">
        <v>671</v>
      </c>
      <c r="G14" s="500">
        <v>7001148.3600000003</v>
      </c>
    </row>
    <row r="15" spans="1:9" ht="15.75" thickTop="1"/>
    <row r="16" spans="1:9">
      <c r="A16" s="501" t="s">
        <v>672</v>
      </c>
      <c r="B16" s="512"/>
      <c r="C16" s="511"/>
      <c r="D16" s="511"/>
      <c r="E16" s="511"/>
      <c r="F16" s="511"/>
      <c r="G16" s="511"/>
    </row>
    <row r="17" spans="1:8">
      <c r="A17" s="511"/>
      <c r="B17" s="493" t="s">
        <v>676</v>
      </c>
      <c r="C17" s="511"/>
      <c r="D17" s="502">
        <v>2.7000000000000001E-3</v>
      </c>
      <c r="E17" s="511"/>
      <c r="F17" s="511"/>
      <c r="G17" s="511"/>
      <c r="H17" s="511"/>
    </row>
    <row r="18" spans="1:8">
      <c r="A18" s="511"/>
      <c r="B18" s="493" t="s">
        <v>677</v>
      </c>
      <c r="C18" s="511"/>
      <c r="D18" s="502">
        <v>2.8999999999999998E-3</v>
      </c>
      <c r="E18" s="511"/>
      <c r="F18" s="511"/>
      <c r="G18" s="511"/>
      <c r="H18" s="511"/>
    </row>
    <row r="19" spans="1:8">
      <c r="A19" s="511"/>
      <c r="B19" s="493" t="s">
        <v>678</v>
      </c>
      <c r="C19" s="511"/>
      <c r="D19" s="502">
        <v>2.8999999999999998E-3</v>
      </c>
      <c r="E19" s="511"/>
      <c r="F19" s="511"/>
      <c r="G19" s="511"/>
      <c r="H19" s="511"/>
    </row>
    <row r="20" spans="1:8">
      <c r="A20" s="511"/>
      <c r="B20" s="511"/>
      <c r="C20" s="511"/>
      <c r="D20" s="503"/>
      <c r="E20" s="511"/>
      <c r="F20" s="511"/>
      <c r="G20" s="511"/>
      <c r="H20" s="511"/>
    </row>
    <row r="21" spans="1:8">
      <c r="A21" s="511"/>
      <c r="B21" s="511"/>
      <c r="C21" s="511"/>
      <c r="D21" s="504">
        <f>SUM(D17:D20)</f>
        <v>8.5000000000000006E-3</v>
      </c>
      <c r="E21" s="511"/>
      <c r="F21" s="511"/>
      <c r="G21" s="511"/>
      <c r="H21" s="511"/>
    </row>
    <row r="22" spans="1:8">
      <c r="A22" s="511"/>
      <c r="B22" s="505"/>
      <c r="C22" s="506"/>
      <c r="D22" s="504"/>
      <c r="E22" s="511"/>
      <c r="F22" s="511"/>
      <c r="G22" s="511"/>
      <c r="H22" s="511"/>
    </row>
    <row r="23" spans="1:8">
      <c r="A23" s="511"/>
      <c r="B23" s="506" t="s">
        <v>673</v>
      </c>
      <c r="C23" s="506"/>
      <c r="D23" s="507">
        <f>D21/3</f>
        <v>2.8333333333333335E-3</v>
      </c>
      <c r="E23" s="511"/>
      <c r="F23" s="511"/>
      <c r="G23" s="508">
        <f>D23</f>
        <v>2.8333333333333335E-3</v>
      </c>
      <c r="H23" s="491" t="s">
        <v>674</v>
      </c>
    </row>
    <row r="24" spans="1:8">
      <c r="A24" s="511"/>
      <c r="B24" s="506"/>
      <c r="C24" s="506"/>
      <c r="D24" s="509"/>
      <c r="E24" s="511"/>
      <c r="F24" s="511"/>
      <c r="G24" s="511"/>
      <c r="H24" s="511"/>
    </row>
    <row r="25" spans="1:8">
      <c r="A25" s="511"/>
      <c r="B25" s="506"/>
      <c r="C25" s="506"/>
      <c r="D25" s="509"/>
      <c r="E25" s="511"/>
      <c r="F25" s="511"/>
      <c r="G25" s="510">
        <f>G14*G23</f>
        <v>19836.587020000003</v>
      </c>
      <c r="H25" s="491" t="s">
        <v>675</v>
      </c>
    </row>
    <row r="26" spans="1:8">
      <c r="A26" s="512"/>
      <c r="B26" s="506"/>
      <c r="C26" s="506"/>
      <c r="D26" s="513"/>
      <c r="E26" s="514"/>
      <c r="F26" s="512"/>
    </row>
    <row r="27" spans="1:8">
      <c r="A27" s="512"/>
      <c r="B27" s="506"/>
      <c r="C27" s="506"/>
      <c r="D27" s="509"/>
      <c r="E27" s="512"/>
      <c r="F27" s="512"/>
      <c r="G27" s="515" t="s">
        <v>679</v>
      </c>
    </row>
    <row r="28" spans="1:8">
      <c r="A28" s="512"/>
      <c r="B28" s="512"/>
      <c r="C28" s="512"/>
      <c r="D28" s="512"/>
      <c r="E28" s="512"/>
      <c r="F28" s="512"/>
      <c r="G28" s="516">
        <f>G25*12</f>
        <v>238039.04424000002</v>
      </c>
    </row>
    <row r="31" spans="1:8" ht="15.75" thickBot="1">
      <c r="A31" s="493" t="s">
        <v>680</v>
      </c>
      <c r="B31" s="512"/>
      <c r="C31" s="512"/>
      <c r="D31" s="512"/>
      <c r="E31" s="512"/>
      <c r="F31" s="512"/>
      <c r="G31" s="497">
        <f>G14+G28</f>
        <v>7239187.4042400001</v>
      </c>
    </row>
    <row r="32" spans="1:8" ht="15.75" thickTop="1"/>
  </sheetData>
  <pageMargins left="0.5" right="0.5" top="1" bottom="1" header="0.5" footer="0.5"/>
  <pageSetup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workbookViewId="0"/>
  </sheetViews>
  <sheetFormatPr defaultColWidth="9.140625" defaultRowHeight="15"/>
  <cols>
    <col min="1" max="1" width="9.140625" style="462"/>
    <col min="2" max="2" width="54.85546875" style="462" bestFit="1" customWidth="1"/>
    <col min="3" max="3" width="23.5703125" style="462" bestFit="1" customWidth="1"/>
    <col min="4" max="4" width="9.140625" style="462"/>
    <col min="5" max="5" width="12" style="462" bestFit="1" customWidth="1"/>
    <col min="6" max="16384" width="9.140625" style="462"/>
  </cols>
  <sheetData>
    <row r="2" spans="2:6">
      <c r="B2" s="458" t="s">
        <v>633</v>
      </c>
      <c r="C2" s="459"/>
      <c r="D2" s="459"/>
      <c r="E2" s="460"/>
      <c r="F2" s="461"/>
    </row>
    <row r="3" spans="2:6">
      <c r="B3" s="463" t="s">
        <v>629</v>
      </c>
      <c r="C3" s="464"/>
      <c r="D3" s="464"/>
      <c r="E3" s="465"/>
      <c r="F3" s="466"/>
    </row>
    <row r="4" spans="2:6">
      <c r="B4" s="467"/>
      <c r="C4" s="464"/>
      <c r="D4" s="464"/>
      <c r="E4" s="465"/>
      <c r="F4" s="466"/>
    </row>
    <row r="5" spans="2:6" ht="45">
      <c r="B5" s="468" t="s">
        <v>634</v>
      </c>
      <c r="C5" s="469" t="s">
        <v>635</v>
      </c>
      <c r="D5" s="469" t="s">
        <v>636</v>
      </c>
      <c r="E5" s="469" t="s">
        <v>637</v>
      </c>
      <c r="F5" s="466"/>
    </row>
    <row r="6" spans="2:6">
      <c r="B6" s="470"/>
      <c r="C6" s="465"/>
      <c r="D6" s="471"/>
      <c r="E6" s="465"/>
      <c r="F6" s="466"/>
    </row>
    <row r="7" spans="2:6">
      <c r="B7" s="472" t="s">
        <v>638</v>
      </c>
      <c r="C7" s="473">
        <v>228756290.32258072</v>
      </c>
      <c r="D7" s="474">
        <v>2.1216981165333715E-3</v>
      </c>
      <c r="E7" s="474">
        <v>1.2639463278114665E-4</v>
      </c>
      <c r="F7" s="466"/>
    </row>
    <row r="8" spans="2:6">
      <c r="B8" s="472" t="s">
        <v>639</v>
      </c>
      <c r="C8" s="473">
        <v>203433785.71428573</v>
      </c>
      <c r="D8" s="474">
        <v>2.0793390829518762E-3</v>
      </c>
      <c r="E8" s="474">
        <v>1.1015910380691487E-4</v>
      </c>
      <c r="F8" s="466"/>
    </row>
    <row r="9" spans="2:6">
      <c r="B9" s="472" t="s">
        <v>640</v>
      </c>
      <c r="C9" s="473">
        <v>206030258</v>
      </c>
      <c r="D9" s="474">
        <v>2.0899999999999998E-3</v>
      </c>
      <c r="E9" s="474">
        <v>1.1213709185951677E-4</v>
      </c>
      <c r="F9" s="466"/>
    </row>
    <row r="10" spans="2:6">
      <c r="B10" s="472" t="s">
        <v>641</v>
      </c>
      <c r="C10" s="473">
        <v>201252300</v>
      </c>
      <c r="D10" s="474">
        <v>2.16E-3</v>
      </c>
      <c r="E10" s="474">
        <v>1.1320525831785289E-4</v>
      </c>
      <c r="F10" s="466"/>
    </row>
    <row r="11" spans="2:6">
      <c r="B11" s="472" t="s">
        <v>642</v>
      </c>
      <c r="C11" s="473">
        <v>233184355</v>
      </c>
      <c r="D11" s="474">
        <v>2.0999999999999999E-3</v>
      </c>
      <c r="E11" s="474">
        <v>1.2752363989835863E-4</v>
      </c>
      <c r="F11" s="466"/>
    </row>
    <row r="12" spans="2:6">
      <c r="B12" s="472" t="s">
        <v>643</v>
      </c>
      <c r="C12" s="473">
        <v>216582933</v>
      </c>
      <c r="D12" s="474">
        <v>2.0999999999999999E-3</v>
      </c>
      <c r="E12" s="474">
        <v>1.1844466990944711E-4</v>
      </c>
      <c r="F12" s="466"/>
    </row>
    <row r="13" spans="2:6">
      <c r="B13" s="472" t="s">
        <v>644</v>
      </c>
      <c r="C13" s="473">
        <v>195595323</v>
      </c>
      <c r="D13" s="474">
        <v>2.0899999999999998E-3</v>
      </c>
      <c r="E13" s="474">
        <v>1.064576189704274E-4</v>
      </c>
      <c r="F13" s="466"/>
    </row>
    <row r="14" spans="2:6">
      <c r="B14" s="472" t="s">
        <v>645</v>
      </c>
      <c r="C14" s="473">
        <v>230265903</v>
      </c>
      <c r="D14" s="474">
        <v>2.0999999999999999E-3</v>
      </c>
      <c r="E14" s="474">
        <v>1.2592759962409304E-4</v>
      </c>
      <c r="F14" s="466"/>
    </row>
    <row r="15" spans="2:6">
      <c r="B15" s="472" t="s">
        <v>646</v>
      </c>
      <c r="C15" s="473">
        <v>233595233</v>
      </c>
      <c r="D15" s="474">
        <v>2.0749925833246888E-3</v>
      </c>
      <c r="E15" s="474">
        <v>1.2622707571880598E-4</v>
      </c>
      <c r="F15" s="466"/>
    </row>
    <row r="16" spans="2:6">
      <c r="B16" s="472" t="s">
        <v>647</v>
      </c>
      <c r="C16" s="473">
        <v>234316838.70967743</v>
      </c>
      <c r="D16" s="474">
        <v>2.0321379020576216E-3</v>
      </c>
      <c r="E16" s="474">
        <v>1.2400199490886012E-4</v>
      </c>
      <c r="F16" s="466"/>
    </row>
    <row r="17" spans="2:6">
      <c r="B17" s="472" t="s">
        <v>648</v>
      </c>
      <c r="C17" s="473">
        <v>282717699.99999994</v>
      </c>
      <c r="D17" s="474">
        <v>2.0287795328461341E-3</v>
      </c>
      <c r="E17" s="474">
        <v>1.4936878571999063E-4</v>
      </c>
      <c r="F17" s="466"/>
    </row>
    <row r="18" spans="2:6">
      <c r="B18" s="472" t="s">
        <v>649</v>
      </c>
      <c r="C18" s="473">
        <v>165045548.38709676</v>
      </c>
      <c r="D18" s="474">
        <v>2.0587429628419296E-3</v>
      </c>
      <c r="E18" s="474">
        <v>8.8486687832733173E-5</v>
      </c>
      <c r="F18" s="466"/>
    </row>
    <row r="19" spans="2:6">
      <c r="B19" s="472" t="s">
        <v>650</v>
      </c>
      <c r="C19" s="473">
        <v>98739000.000000015</v>
      </c>
      <c r="D19" s="474">
        <v>1.9938050102110191E-3</v>
      </c>
      <c r="E19" s="474">
        <v>5.1267649203155497E-5</v>
      </c>
      <c r="F19" s="466"/>
    </row>
    <row r="20" spans="2:6">
      <c r="B20" s="472" t="s">
        <v>651</v>
      </c>
      <c r="C20" s="473">
        <v>121333571.42857142</v>
      </c>
      <c r="D20" s="474">
        <v>1.9526538998157381E-3</v>
      </c>
      <c r="E20" s="474">
        <v>6.1699017848297391E-5</v>
      </c>
      <c r="F20" s="466"/>
    </row>
    <row r="21" spans="2:6">
      <c r="B21" s="472" t="s">
        <v>652</v>
      </c>
      <c r="C21" s="473">
        <v>120428580.64516129</v>
      </c>
      <c r="D21" s="474">
        <v>2.0166746935541503E-3</v>
      </c>
      <c r="E21" s="474">
        <v>6.3246633372587908E-5</v>
      </c>
      <c r="F21" s="466"/>
    </row>
    <row r="22" spans="2:6">
      <c r="B22" s="472" t="s">
        <v>653</v>
      </c>
      <c r="C22" s="473">
        <v>113463566.66666667</v>
      </c>
      <c r="D22" s="474">
        <v>2.1065984470198511E-3</v>
      </c>
      <c r="E22" s="474">
        <v>6.2245819274590414E-5</v>
      </c>
      <c r="F22" s="466"/>
    </row>
    <row r="23" spans="2:6">
      <c r="B23" s="472" t="s">
        <v>654</v>
      </c>
      <c r="C23" s="473">
        <v>144462838.7096774</v>
      </c>
      <c r="D23" s="474">
        <v>2.0803771390700324E-3</v>
      </c>
      <c r="E23" s="474">
        <v>7.8265472915900082E-5</v>
      </c>
      <c r="F23" s="466"/>
    </row>
    <row r="24" spans="2:6">
      <c r="B24" s="472" t="s">
        <v>655</v>
      </c>
      <c r="C24" s="473">
        <v>138643633.33333331</v>
      </c>
      <c r="D24" s="474">
        <v>2.0767362078652975E-3</v>
      </c>
      <c r="E24" s="474">
        <v>7.4981351225531778E-5</v>
      </c>
      <c r="F24" s="466"/>
    </row>
    <row r="25" spans="2:6">
      <c r="B25" s="472" t="s">
        <v>656</v>
      </c>
      <c r="C25" s="473">
        <v>130838645.16129033</v>
      </c>
      <c r="D25" s="474">
        <v>2.1205788069915224E-3</v>
      </c>
      <c r="E25" s="474">
        <v>7.2254092648020498E-5</v>
      </c>
      <c r="F25" s="466"/>
    </row>
    <row r="26" spans="2:6">
      <c r="B26" s="472" t="s">
        <v>657</v>
      </c>
      <c r="C26" s="473">
        <v>172770483.87096775</v>
      </c>
      <c r="D26" s="474">
        <v>2.1948552480122335E-3</v>
      </c>
      <c r="E26" s="474">
        <v>9.8752347803647935E-5</v>
      </c>
      <c r="F26" s="466"/>
    </row>
    <row r="27" spans="2:6">
      <c r="B27" s="472" t="s">
        <v>658</v>
      </c>
      <c r="C27" s="473">
        <v>168514733.33333331</v>
      </c>
      <c r="D27" s="474">
        <v>2.2118934012100222E-3</v>
      </c>
      <c r="E27" s="474">
        <v>9.7067549746349054E-5</v>
      </c>
      <c r="F27" s="466"/>
    </row>
    <row r="28" spans="2:6">
      <c r="B28" s="475"/>
      <c r="C28" s="476"/>
      <c r="D28" s="477"/>
      <c r="E28" s="478"/>
      <c r="F28" s="466"/>
    </row>
    <row r="29" spans="2:6">
      <c r="B29" s="479"/>
      <c r="C29" s="480" t="s">
        <v>659</v>
      </c>
      <c r="D29" s="481"/>
      <c r="E29" s="481">
        <f>SUM(E7:E28)</f>
        <v>2.0881140933862274E-3</v>
      </c>
      <c r="F29" s="466"/>
    </row>
    <row r="30" spans="2:6">
      <c r="B30" s="479"/>
      <c r="C30" s="480"/>
      <c r="D30" s="477"/>
      <c r="E30" s="481"/>
      <c r="F30" s="466"/>
    </row>
    <row r="31" spans="2:6">
      <c r="B31" s="467"/>
      <c r="C31" s="480" t="s">
        <v>660</v>
      </c>
      <c r="D31" s="465"/>
      <c r="E31" s="487">
        <f>'ATC Sch1 - True-Up Adj 2014'!G24</f>
        <v>4872162.8699999992</v>
      </c>
      <c r="F31" s="466"/>
    </row>
    <row r="32" spans="2:6">
      <c r="B32" s="467"/>
      <c r="C32" s="480" t="s">
        <v>661</v>
      </c>
      <c r="D32" s="464"/>
      <c r="E32" s="482">
        <f>E31*E29</f>
        <v>10173.631954120088</v>
      </c>
      <c r="F32" s="466"/>
    </row>
    <row r="33" spans="2:6">
      <c r="B33" s="467"/>
      <c r="C33" s="480" t="s">
        <v>662</v>
      </c>
      <c r="D33" s="464"/>
      <c r="E33" s="465">
        <v>2</v>
      </c>
      <c r="F33" s="466"/>
    </row>
    <row r="34" spans="2:6">
      <c r="B34" s="467"/>
      <c r="C34" s="480" t="s">
        <v>663</v>
      </c>
      <c r="D34" s="464"/>
      <c r="E34" s="482">
        <f>E32*E33</f>
        <v>20347.263908240177</v>
      </c>
      <c r="F34" s="466"/>
    </row>
    <row r="35" spans="2:6">
      <c r="B35" s="467"/>
      <c r="C35" s="480"/>
      <c r="D35" s="464"/>
      <c r="E35" s="465"/>
      <c r="F35" s="466"/>
    </row>
    <row r="36" spans="2:6" ht="15.75" thickBot="1">
      <c r="B36" s="467"/>
      <c r="C36" s="480" t="s">
        <v>664</v>
      </c>
      <c r="D36" s="464"/>
      <c r="E36" s="483">
        <f>E31+E34</f>
        <v>4892510.1339082392</v>
      </c>
      <c r="F36" s="466"/>
    </row>
    <row r="37" spans="2:6">
      <c r="B37" s="484"/>
      <c r="C37" s="485"/>
      <c r="D37" s="485"/>
      <c r="E37" s="485"/>
      <c r="F37" s="48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8"/>
  <sheetViews>
    <sheetView zoomScale="90" zoomScaleNormal="90" workbookViewId="0"/>
  </sheetViews>
  <sheetFormatPr defaultColWidth="9.140625" defaultRowHeight="15"/>
  <cols>
    <col min="1" max="1" width="5.5703125" style="338" customWidth="1"/>
    <col min="2" max="2" width="19.140625" style="336" customWidth="1"/>
    <col min="3" max="3" width="20.28515625" style="336" customWidth="1"/>
    <col min="4" max="4" width="15.28515625" style="336" customWidth="1"/>
    <col min="5" max="5" width="37.42578125" style="336" bestFit="1" customWidth="1"/>
    <col min="6" max="6" width="4" style="336" customWidth="1"/>
    <col min="7" max="7" width="12.7109375" style="336" customWidth="1"/>
    <col min="8" max="8" width="9.140625" style="337"/>
    <col min="9" max="16384" width="9.140625" style="336"/>
  </cols>
  <sheetData>
    <row r="2" spans="1:7" ht="18.75">
      <c r="B2" s="356" t="s">
        <v>580</v>
      </c>
    </row>
    <row r="4" spans="1:7">
      <c r="B4" s="336" t="s">
        <v>565</v>
      </c>
      <c r="C4" s="355" t="s">
        <v>564</v>
      </c>
      <c r="D4" s="355"/>
    </row>
    <row r="6" spans="1:7">
      <c r="B6" s="336" t="s">
        <v>562</v>
      </c>
      <c r="C6" s="353">
        <v>2016</v>
      </c>
    </row>
    <row r="9" spans="1:7">
      <c r="B9" s="359" t="s">
        <v>49</v>
      </c>
      <c r="E9" s="359" t="s">
        <v>50</v>
      </c>
      <c r="G9" s="359" t="s">
        <v>51</v>
      </c>
    </row>
    <row r="10" spans="1:7">
      <c r="E10" s="348" t="s">
        <v>54</v>
      </c>
      <c r="G10" s="348" t="s">
        <v>560</v>
      </c>
    </row>
    <row r="11" spans="1:7">
      <c r="A11" s="338" t="s">
        <v>4</v>
      </c>
      <c r="E11" s="348" t="s">
        <v>56</v>
      </c>
      <c r="G11" s="348" t="s">
        <v>10</v>
      </c>
    </row>
    <row r="12" spans="1:7">
      <c r="A12" s="340" t="s">
        <v>6</v>
      </c>
    </row>
    <row r="13" spans="1:7">
      <c r="A13" s="338">
        <v>1</v>
      </c>
      <c r="B13" s="336" t="s">
        <v>579</v>
      </c>
      <c r="E13" s="336" t="s">
        <v>558</v>
      </c>
      <c r="G13" s="344">
        <v>3411633.75</v>
      </c>
    </row>
    <row r="14" spans="1:7">
      <c r="A14" s="338">
        <f>+A13+1</f>
        <v>2</v>
      </c>
      <c r="B14" s="336" t="s">
        <v>557</v>
      </c>
      <c r="E14" s="336" t="s">
        <v>556</v>
      </c>
      <c r="G14" s="344">
        <v>12633280</v>
      </c>
    </row>
    <row r="15" spans="1:7">
      <c r="A15" s="338">
        <f>+A14+1</f>
        <v>3</v>
      </c>
      <c r="B15" s="336" t="s">
        <v>555</v>
      </c>
      <c r="E15" s="336" t="s">
        <v>554</v>
      </c>
      <c r="G15" s="344">
        <v>0</v>
      </c>
    </row>
    <row r="16" spans="1:7">
      <c r="A16" s="338">
        <f>+A15+1</f>
        <v>4</v>
      </c>
      <c r="B16" s="336" t="s">
        <v>578</v>
      </c>
      <c r="G16" s="347">
        <f>SUM(G13:G15)</f>
        <v>16044913.75</v>
      </c>
    </row>
    <row r="18" spans="1:8">
      <c r="A18" s="338">
        <f>+A16+1</f>
        <v>5</v>
      </c>
      <c r="B18" s="336" t="s">
        <v>577</v>
      </c>
      <c r="E18" s="336" t="s">
        <v>576</v>
      </c>
      <c r="G18" s="344">
        <v>0</v>
      </c>
    </row>
    <row r="19" spans="1:8">
      <c r="H19" s="336"/>
    </row>
    <row r="20" spans="1:8">
      <c r="A20" s="338">
        <f>+A18+1</f>
        <v>6</v>
      </c>
      <c r="B20" s="345" t="s">
        <v>575</v>
      </c>
      <c r="C20" s="345"/>
      <c r="D20" s="345"/>
      <c r="E20" s="336" t="str">
        <f>"(Line "&amp;A16&amp;" - Line "&amp;A18&amp;")"</f>
        <v>(Line 4 - Line 5)</v>
      </c>
      <c r="G20" s="343">
        <f>+G16-G18</f>
        <v>16044913.75</v>
      </c>
    </row>
    <row r="21" spans="1:8">
      <c r="B21" s="338"/>
      <c r="C21" s="338"/>
      <c r="D21" s="338"/>
      <c r="G21" s="358"/>
    </row>
    <row r="22" spans="1:8">
      <c r="A22" s="338">
        <f>+A20+1</f>
        <v>7</v>
      </c>
      <c r="B22" s="336" t="s">
        <v>574</v>
      </c>
      <c r="E22" s="336" t="s">
        <v>573</v>
      </c>
      <c r="G22" s="344">
        <v>18425371.870000001</v>
      </c>
    </row>
    <row r="24" spans="1:8">
      <c r="A24" s="338">
        <f>A22+1</f>
        <v>8</v>
      </c>
      <c r="B24" s="336" t="s">
        <v>572</v>
      </c>
      <c r="E24" s="336" t="str">
        <f>"(Line "&amp;A20&amp;" - Line "&amp;A22&amp;")"</f>
        <v>(Line 6 - Line 7)</v>
      </c>
      <c r="G24" s="342">
        <f>+G20-G22</f>
        <v>-2380458.120000001</v>
      </c>
    </row>
    <row r="26" spans="1:8">
      <c r="A26" s="341"/>
      <c r="B26" s="357"/>
      <c r="C26" s="357"/>
      <c r="D26" s="357"/>
      <c r="E26" s="357"/>
      <c r="F26" s="357"/>
      <c r="G26" s="357"/>
    </row>
    <row r="27" spans="1:8">
      <c r="A27" s="338" t="s">
        <v>181</v>
      </c>
    </row>
    <row r="28" spans="1:8">
      <c r="A28" s="340" t="s">
        <v>180</v>
      </c>
    </row>
    <row r="29" spans="1:8">
      <c r="A29" s="339" t="s">
        <v>182</v>
      </c>
      <c r="B29" s="993" t="s">
        <v>571</v>
      </c>
      <c r="C29" s="993"/>
      <c r="D29" s="993"/>
      <c r="E29" s="993"/>
      <c r="F29" s="993"/>
      <c r="G29" s="993"/>
    </row>
    <row r="30" spans="1:8">
      <c r="A30" s="339" t="s">
        <v>183</v>
      </c>
      <c r="B30" s="993" t="s">
        <v>570</v>
      </c>
      <c r="C30" s="993"/>
      <c r="D30" s="993"/>
      <c r="E30" s="993"/>
      <c r="F30" s="993"/>
      <c r="G30" s="993"/>
    </row>
    <row r="31" spans="1:8">
      <c r="A31" s="339" t="s">
        <v>184</v>
      </c>
      <c r="B31" s="993" t="s">
        <v>569</v>
      </c>
      <c r="C31" s="993"/>
      <c r="D31" s="993"/>
      <c r="E31" s="993"/>
      <c r="F31" s="993"/>
      <c r="G31" s="993"/>
    </row>
    <row r="32" spans="1:8" ht="15" customHeight="1">
      <c r="A32" s="339" t="s">
        <v>185</v>
      </c>
      <c r="B32" s="993" t="s">
        <v>568</v>
      </c>
      <c r="C32" s="993"/>
      <c r="D32" s="993"/>
      <c r="E32" s="993"/>
      <c r="F32" s="993"/>
      <c r="G32" s="993"/>
    </row>
    <row r="33" spans="1:7" ht="30" customHeight="1">
      <c r="A33" s="339" t="s">
        <v>186</v>
      </c>
      <c r="B33" s="993" t="s">
        <v>567</v>
      </c>
      <c r="C33" s="993"/>
      <c r="D33" s="993"/>
      <c r="E33" s="993"/>
      <c r="F33" s="993"/>
      <c r="G33" s="993"/>
    </row>
    <row r="34" spans="1:7" ht="15" customHeight="1">
      <c r="A34" s="339"/>
      <c r="B34" s="993"/>
      <c r="C34" s="993"/>
      <c r="D34" s="993"/>
      <c r="E34" s="993"/>
      <c r="F34" s="993"/>
      <c r="G34" s="993"/>
    </row>
    <row r="35" spans="1:7">
      <c r="A35" s="339"/>
      <c r="B35" s="993"/>
      <c r="C35" s="993"/>
      <c r="D35" s="993"/>
      <c r="E35" s="993"/>
      <c r="F35" s="993"/>
      <c r="G35" s="993"/>
    </row>
    <row r="38" spans="1:7">
      <c r="B38" s="338"/>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&amp;RPage &amp;P of &amp;N
</oddHeader>
  </headerFooter>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2.75"/>
  <cols>
    <col min="6" max="6" width="16.28515625" bestFit="1" customWidth="1"/>
    <col min="7" max="7" width="54.7109375" customWidth="1"/>
    <col min="12" max="12" width="10.28515625" bestFit="1" customWidth="1"/>
  </cols>
  <sheetData>
    <row r="1" spans="1:8">
      <c r="A1" s="562" t="s">
        <v>218</v>
      </c>
    </row>
    <row r="2" spans="1:8">
      <c r="A2" s="562" t="s">
        <v>728</v>
      </c>
    </row>
    <row r="3" spans="1:8">
      <c r="A3" s="564" t="s">
        <v>723</v>
      </c>
    </row>
    <row r="7" spans="1:8">
      <c r="B7" s="488" t="s">
        <v>726</v>
      </c>
    </row>
    <row r="8" spans="1:8">
      <c r="B8" s="488" t="s">
        <v>727</v>
      </c>
    </row>
    <row r="9" spans="1:8">
      <c r="B9" s="488" t="s">
        <v>729</v>
      </c>
    </row>
    <row r="10" spans="1:8">
      <c r="B10" s="488" t="s">
        <v>730</v>
      </c>
    </row>
    <row r="13" spans="1:8">
      <c r="F13" s="488" t="s">
        <v>731</v>
      </c>
      <c r="G13" s="892" t="s">
        <v>922</v>
      </c>
      <c r="H13" s="586">
        <f>((0.122/12)*8)+((0.122/12)*(27/30))</f>
        <v>9.0483333333333332E-2</v>
      </c>
    </row>
    <row r="14" spans="1:8">
      <c r="F14" s="488" t="s">
        <v>732</v>
      </c>
      <c r="G14" s="488" t="s">
        <v>923</v>
      </c>
      <c r="H14" s="586">
        <f>((0.1082/12)*(3/30))+((0.1082/12)*3)</f>
        <v>2.795166666666667E-2</v>
      </c>
    </row>
    <row r="15" spans="1:8">
      <c r="H15" s="965">
        <f>ROUND(SUM(H13:H14),4)</f>
        <v>0.11840000000000001</v>
      </c>
    </row>
    <row r="19" spans="2:12">
      <c r="B19" s="962" t="s">
        <v>1020</v>
      </c>
    </row>
    <row r="22" spans="2:12">
      <c r="L22" s="89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90" zoomScaleNormal="90" workbookViewId="0"/>
  </sheetViews>
  <sheetFormatPr defaultColWidth="9.140625" defaultRowHeight="12.75"/>
  <cols>
    <col min="1" max="1" width="4.7109375" style="517" customWidth="1"/>
    <col min="2" max="2" width="63.5703125" style="517" customWidth="1"/>
    <col min="3" max="3" width="13.7109375" style="517" customWidth="1"/>
    <col min="4" max="4" width="13.5703125" style="517" customWidth="1"/>
    <col min="5" max="5" width="13.42578125" style="517" customWidth="1"/>
    <col min="6" max="15" width="13.42578125" style="517" bestFit="1" customWidth="1"/>
    <col min="16" max="16" width="14" style="517" bestFit="1" customWidth="1"/>
    <col min="17" max="17" width="17.7109375" style="517" bestFit="1" customWidth="1"/>
    <col min="18" max="16384" width="9.140625" style="517"/>
  </cols>
  <sheetData>
    <row r="1" spans="1:17">
      <c r="A1" s="562" t="s">
        <v>218</v>
      </c>
    </row>
    <row r="2" spans="1:17">
      <c r="A2" s="562" t="s">
        <v>924</v>
      </c>
    </row>
    <row r="3" spans="1:17">
      <c r="A3" s="564" t="s">
        <v>723</v>
      </c>
    </row>
    <row r="4" spans="1:17">
      <c r="A4" s="564"/>
    </row>
    <row r="6" spans="1:17">
      <c r="B6" s="898" t="s">
        <v>925</v>
      </c>
      <c r="C6" s="898"/>
      <c r="F6" s="899"/>
    </row>
    <row r="7" spans="1:17" ht="25.5">
      <c r="A7" s="897"/>
      <c r="B7" s="897"/>
      <c r="C7" s="567" t="s">
        <v>926</v>
      </c>
      <c r="D7" s="567" t="s">
        <v>927</v>
      </c>
      <c r="E7" s="900" t="s">
        <v>928</v>
      </c>
      <c r="F7" s="897"/>
      <c r="G7" s="897"/>
      <c r="H7" s="897"/>
      <c r="I7" s="897"/>
      <c r="J7" s="897"/>
      <c r="K7" s="897"/>
      <c r="L7" s="897"/>
      <c r="M7" s="897"/>
      <c r="N7" s="897"/>
      <c r="O7" s="897"/>
      <c r="P7" s="897"/>
      <c r="Q7" s="897"/>
    </row>
    <row r="8" spans="1:17">
      <c r="B8" s="901">
        <v>42369</v>
      </c>
      <c r="C8" s="902">
        <v>229823840</v>
      </c>
      <c r="D8" s="902">
        <v>8629685</v>
      </c>
      <c r="E8" s="584">
        <v>221194155</v>
      </c>
      <c r="F8" s="559"/>
      <c r="J8" s="559"/>
      <c r="K8" s="559"/>
    </row>
    <row r="9" spans="1:17">
      <c r="B9" s="901">
        <v>42400</v>
      </c>
      <c r="C9" s="902">
        <v>250200379</v>
      </c>
      <c r="D9" s="902">
        <v>10335220</v>
      </c>
      <c r="E9" s="584">
        <v>239865159</v>
      </c>
      <c r="F9" s="559"/>
      <c r="J9" s="559"/>
      <c r="K9" s="559"/>
    </row>
    <row r="10" spans="1:17">
      <c r="B10" s="901">
        <v>42428</v>
      </c>
      <c r="C10" s="902">
        <v>266498219</v>
      </c>
      <c r="D10" s="902">
        <v>10300030</v>
      </c>
      <c r="E10" s="584">
        <v>256198189</v>
      </c>
      <c r="F10" s="559"/>
      <c r="J10" s="559"/>
      <c r="K10" s="559"/>
    </row>
    <row r="11" spans="1:17">
      <c r="B11" s="901">
        <v>42460</v>
      </c>
      <c r="C11" s="902">
        <v>282739056</v>
      </c>
      <c r="D11" s="902">
        <v>6708604</v>
      </c>
      <c r="E11" s="584">
        <v>276030452</v>
      </c>
      <c r="F11" s="559"/>
      <c r="J11" s="559"/>
      <c r="K11" s="559"/>
    </row>
    <row r="12" spans="1:17">
      <c r="B12" s="901">
        <v>42490</v>
      </c>
      <c r="C12" s="902">
        <v>291255965</v>
      </c>
      <c r="D12" s="902">
        <v>7178712</v>
      </c>
      <c r="E12" s="584">
        <v>284077253</v>
      </c>
      <c r="F12" s="559"/>
      <c r="J12" s="559"/>
      <c r="K12" s="559"/>
    </row>
    <row r="13" spans="1:17">
      <c r="B13" s="901">
        <v>42521</v>
      </c>
      <c r="C13" s="902">
        <v>290890590</v>
      </c>
      <c r="D13" s="902">
        <v>6323152</v>
      </c>
      <c r="E13" s="584">
        <v>284567438</v>
      </c>
      <c r="F13" s="559"/>
      <c r="J13" s="559"/>
      <c r="K13" s="559"/>
    </row>
    <row r="14" spans="1:17">
      <c r="B14" s="901">
        <v>42551</v>
      </c>
      <c r="C14" s="902">
        <v>293205694</v>
      </c>
      <c r="D14" s="902">
        <v>7142339</v>
      </c>
      <c r="E14" s="584">
        <v>286063355</v>
      </c>
      <c r="F14" s="559"/>
      <c r="J14" s="559"/>
      <c r="K14" s="559"/>
    </row>
    <row r="15" spans="1:17">
      <c r="B15" s="901">
        <v>42582</v>
      </c>
      <c r="C15" s="902">
        <v>319463755</v>
      </c>
      <c r="D15" s="902">
        <v>4612070</v>
      </c>
      <c r="E15" s="584">
        <v>314851685</v>
      </c>
      <c r="F15" s="559"/>
      <c r="J15" s="559"/>
      <c r="K15" s="559"/>
    </row>
    <row r="16" spans="1:17">
      <c r="B16" s="901">
        <v>42613</v>
      </c>
      <c r="C16" s="902">
        <v>274758913</v>
      </c>
      <c r="D16" s="902">
        <v>5230846</v>
      </c>
      <c r="E16" s="584">
        <v>269528067</v>
      </c>
      <c r="F16" s="559"/>
      <c r="J16" s="559"/>
      <c r="K16" s="559"/>
    </row>
    <row r="17" spans="1:16">
      <c r="B17" s="901">
        <v>42643</v>
      </c>
      <c r="C17" s="902">
        <v>312510776</v>
      </c>
      <c r="D17" s="902">
        <v>5877024</v>
      </c>
      <c r="E17" s="584">
        <v>306633752</v>
      </c>
      <c r="F17" s="559"/>
      <c r="J17" s="559"/>
      <c r="K17" s="559"/>
    </row>
    <row r="18" spans="1:16">
      <c r="B18" s="901">
        <v>42674</v>
      </c>
      <c r="C18" s="902">
        <v>348529557</v>
      </c>
      <c r="D18" s="902">
        <v>5204371</v>
      </c>
      <c r="E18" s="584">
        <v>343325186</v>
      </c>
      <c r="F18" s="559"/>
      <c r="J18" s="559"/>
      <c r="K18" s="559"/>
    </row>
    <row r="19" spans="1:16">
      <c r="B19" s="901">
        <v>42704</v>
      </c>
      <c r="C19" s="902">
        <v>353923447</v>
      </c>
      <c r="D19" s="902">
        <v>5633573</v>
      </c>
      <c r="E19" s="584">
        <v>348289874</v>
      </c>
      <c r="F19" s="559"/>
      <c r="J19" s="559"/>
      <c r="K19" s="559"/>
    </row>
    <row r="20" spans="1:16">
      <c r="B20" s="901">
        <v>42735</v>
      </c>
      <c r="C20" s="902">
        <v>359458311</v>
      </c>
      <c r="D20" s="902">
        <v>5028621</v>
      </c>
      <c r="E20" s="584">
        <v>354429690</v>
      </c>
      <c r="F20" s="559"/>
      <c r="J20" s="559"/>
      <c r="K20" s="559"/>
    </row>
    <row r="21" spans="1:16">
      <c r="C21" s="903"/>
      <c r="D21" s="903"/>
      <c r="E21" s="903"/>
    </row>
    <row r="22" spans="1:16">
      <c r="B22" s="583" t="s">
        <v>929</v>
      </c>
      <c r="C22" s="903"/>
      <c r="D22" s="903"/>
      <c r="E22" s="904">
        <f>ROUNDDOWN(SUM(E8:E20)/13,0)</f>
        <v>291158019</v>
      </c>
    </row>
    <row r="25" spans="1:16">
      <c r="A25" s="898"/>
      <c r="B25" s="898" t="s">
        <v>930</v>
      </c>
    </row>
    <row r="26" spans="1:16">
      <c r="A26" s="905"/>
      <c r="B26" s="905"/>
      <c r="C26" s="906">
        <v>42369</v>
      </c>
      <c r="D26" s="906">
        <v>42400</v>
      </c>
      <c r="E26" s="906">
        <v>42428</v>
      </c>
      <c r="F26" s="906">
        <v>42460</v>
      </c>
      <c r="G26" s="906">
        <v>42490</v>
      </c>
      <c r="H26" s="906">
        <v>42521</v>
      </c>
      <c r="I26" s="906">
        <v>42551</v>
      </c>
      <c r="J26" s="906">
        <v>42582</v>
      </c>
      <c r="K26" s="906">
        <v>42613</v>
      </c>
      <c r="L26" s="906">
        <v>42643</v>
      </c>
      <c r="M26" s="906">
        <v>42674</v>
      </c>
      <c r="N26" s="906">
        <v>42704</v>
      </c>
      <c r="O26" s="906">
        <v>42735</v>
      </c>
      <c r="P26" s="977" t="s">
        <v>1028</v>
      </c>
    </row>
    <row r="27" spans="1:16">
      <c r="A27" s="555"/>
      <c r="B27" s="907" t="s">
        <v>931</v>
      </c>
      <c r="C27" s="558">
        <v>18739598</v>
      </c>
      <c r="D27" s="558">
        <v>21835809</v>
      </c>
      <c r="E27" s="558">
        <v>24440990</v>
      </c>
      <c r="F27" s="558">
        <v>30247317</v>
      </c>
      <c r="G27" s="558">
        <v>32870764</v>
      </c>
      <c r="H27" s="558">
        <v>35996696</v>
      </c>
      <c r="I27" s="558">
        <v>40562660</v>
      </c>
      <c r="J27" s="558">
        <v>47186583</v>
      </c>
      <c r="K27" s="558">
        <v>56207833</v>
      </c>
      <c r="L27" s="558">
        <v>69622991</v>
      </c>
      <c r="M27" s="558">
        <v>84512798</v>
      </c>
      <c r="N27" s="558">
        <v>99263568</v>
      </c>
      <c r="O27" s="558">
        <v>104229326</v>
      </c>
      <c r="P27" s="908">
        <f>ROUND(SUM(C27:O27)/13,2)</f>
        <v>51208994.850000001</v>
      </c>
    </row>
    <row r="28" spans="1:16">
      <c r="A28" s="555"/>
      <c r="B28" s="907" t="s">
        <v>932</v>
      </c>
      <c r="C28" s="558">
        <v>15792801</v>
      </c>
      <c r="D28" s="558">
        <v>19631844</v>
      </c>
      <c r="E28" s="558">
        <v>23010380</v>
      </c>
      <c r="F28" s="558">
        <v>25685265</v>
      </c>
      <c r="G28" s="558">
        <v>28425308</v>
      </c>
      <c r="H28" s="558">
        <v>33919663</v>
      </c>
      <c r="I28" s="558">
        <v>42680776</v>
      </c>
      <c r="J28" s="558">
        <v>52102975</v>
      </c>
      <c r="K28" s="558">
        <v>60580022</v>
      </c>
      <c r="L28" s="558">
        <v>67729968</v>
      </c>
      <c r="M28" s="558">
        <v>77550792</v>
      </c>
      <c r="N28" s="558">
        <v>83315833</v>
      </c>
      <c r="O28" s="558">
        <v>89316013</v>
      </c>
      <c r="P28" s="908">
        <f t="shared" ref="P28:P56" si="0">ROUND(SUM(C28:O28)/13,2)</f>
        <v>47672433.850000001</v>
      </c>
    </row>
    <row r="29" spans="1:16">
      <c r="A29" s="555"/>
      <c r="B29" s="907" t="s">
        <v>933</v>
      </c>
      <c r="C29" s="558">
        <v>65579804</v>
      </c>
      <c r="D29" s="558">
        <v>68767207</v>
      </c>
      <c r="E29" s="558">
        <v>71234794</v>
      </c>
      <c r="F29" s="558">
        <v>69694936</v>
      </c>
      <c r="G29" s="558">
        <v>71740444</v>
      </c>
      <c r="H29" s="558">
        <v>73864486</v>
      </c>
      <c r="I29" s="558">
        <v>76166678</v>
      </c>
      <c r="J29" s="558">
        <v>77961992</v>
      </c>
      <c r="K29" s="558">
        <v>507280</v>
      </c>
      <c r="L29" s="558">
        <v>508131</v>
      </c>
      <c r="M29" s="558"/>
      <c r="N29" s="558"/>
      <c r="O29" s="558"/>
      <c r="P29" s="908">
        <f t="shared" si="0"/>
        <v>44309673.229999997</v>
      </c>
    </row>
    <row r="30" spans="1:16">
      <c r="A30" s="555"/>
      <c r="B30" s="907" t="s">
        <v>934</v>
      </c>
      <c r="C30" s="558">
        <v>4456029</v>
      </c>
      <c r="D30" s="558">
        <v>5313083</v>
      </c>
      <c r="E30" s="558">
        <v>5810242</v>
      </c>
      <c r="F30" s="558">
        <v>6805282</v>
      </c>
      <c r="G30" s="558">
        <v>8401502</v>
      </c>
      <c r="H30" s="558">
        <v>11839205</v>
      </c>
      <c r="I30" s="558">
        <v>13845507</v>
      </c>
      <c r="J30" s="558">
        <v>16379957</v>
      </c>
      <c r="K30" s="558">
        <v>18324018</v>
      </c>
      <c r="L30" s="558">
        <v>19847700</v>
      </c>
      <c r="M30" s="558">
        <v>20085300</v>
      </c>
      <c r="N30" s="558">
        <v>23583784</v>
      </c>
      <c r="O30" s="558">
        <v>24291094</v>
      </c>
      <c r="P30" s="908">
        <f t="shared" si="0"/>
        <v>13767900.23</v>
      </c>
    </row>
    <row r="31" spans="1:16">
      <c r="A31" s="555"/>
      <c r="B31" s="907" t="s">
        <v>935</v>
      </c>
      <c r="C31" s="558">
        <v>4155628</v>
      </c>
      <c r="D31" s="558">
        <v>4369494</v>
      </c>
      <c r="E31" s="558">
        <v>6155412</v>
      </c>
      <c r="F31" s="558">
        <v>9579930</v>
      </c>
      <c r="G31" s="558">
        <v>9908361</v>
      </c>
      <c r="H31" s="558">
        <v>10442967</v>
      </c>
      <c r="I31" s="558">
        <v>11898565</v>
      </c>
      <c r="J31" s="558">
        <v>13157209</v>
      </c>
      <c r="K31" s="558">
        <v>14324415</v>
      </c>
      <c r="L31" s="558">
        <v>15407938</v>
      </c>
      <c r="M31" s="558">
        <v>18731500</v>
      </c>
      <c r="N31" s="558">
        <v>19821580</v>
      </c>
      <c r="O31" s="558">
        <v>21174861</v>
      </c>
      <c r="P31" s="908">
        <f t="shared" si="0"/>
        <v>12240604.619999999</v>
      </c>
    </row>
    <row r="32" spans="1:16">
      <c r="A32" s="555"/>
      <c r="B32" s="909" t="s">
        <v>936</v>
      </c>
      <c r="C32" s="558">
        <v>5281198</v>
      </c>
      <c r="D32" s="558">
        <v>6461184</v>
      </c>
      <c r="E32" s="558">
        <v>7396021</v>
      </c>
      <c r="F32" s="558">
        <v>8416220</v>
      </c>
      <c r="G32" s="558">
        <v>9030739</v>
      </c>
      <c r="H32" s="558">
        <v>10258089</v>
      </c>
      <c r="I32" s="558">
        <v>11473560</v>
      </c>
      <c r="J32" s="558">
        <v>13125636</v>
      </c>
      <c r="K32" s="558">
        <v>16020145</v>
      </c>
      <c r="L32" s="558">
        <v>18087872</v>
      </c>
      <c r="M32" s="558">
        <v>19327014</v>
      </c>
      <c r="N32" s="558">
        <v>9169954</v>
      </c>
      <c r="O32" s="558">
        <v>11462615</v>
      </c>
      <c r="P32" s="908">
        <f t="shared" si="0"/>
        <v>11193095.92</v>
      </c>
    </row>
    <row r="33" spans="1:16">
      <c r="A33" s="555"/>
      <c r="B33" s="909" t="s">
        <v>937</v>
      </c>
      <c r="C33" s="558">
        <v>10435983</v>
      </c>
      <c r="D33" s="558">
        <v>10686679</v>
      </c>
      <c r="E33" s="558">
        <v>11082936</v>
      </c>
      <c r="F33" s="558">
        <v>10292049</v>
      </c>
      <c r="G33" s="558">
        <v>9422688</v>
      </c>
      <c r="H33" s="558">
        <v>9709360</v>
      </c>
      <c r="I33" s="558">
        <v>11121193</v>
      </c>
      <c r="J33" s="558">
        <v>11356112</v>
      </c>
      <c r="K33" s="558">
        <v>11544534</v>
      </c>
      <c r="L33" s="558">
        <v>11811354</v>
      </c>
      <c r="M33" s="558">
        <v>11847726</v>
      </c>
      <c r="N33" s="558">
        <v>0</v>
      </c>
      <c r="O33" s="558">
        <v>0</v>
      </c>
      <c r="P33" s="908">
        <f t="shared" si="0"/>
        <v>9177739.5399999991</v>
      </c>
    </row>
    <row r="34" spans="1:16">
      <c r="A34" s="555"/>
      <c r="B34" s="909" t="s">
        <v>938</v>
      </c>
      <c r="C34" s="558">
        <v>2603208</v>
      </c>
      <c r="D34" s="558">
        <v>2886115</v>
      </c>
      <c r="E34" s="558">
        <v>4693240</v>
      </c>
      <c r="F34" s="558">
        <v>5008086</v>
      </c>
      <c r="G34" s="558">
        <v>5346640</v>
      </c>
      <c r="H34" s="558">
        <v>5985970</v>
      </c>
      <c r="I34" s="558">
        <v>8107591</v>
      </c>
      <c r="J34" s="558">
        <v>9513981</v>
      </c>
      <c r="K34" s="558">
        <v>10945204</v>
      </c>
      <c r="L34" s="558">
        <v>11788134</v>
      </c>
      <c r="M34" s="558">
        <v>12510673</v>
      </c>
      <c r="N34" s="558">
        <v>13241041</v>
      </c>
      <c r="O34" s="558">
        <v>12031163</v>
      </c>
      <c r="P34" s="908">
        <f t="shared" si="0"/>
        <v>8050849.6900000004</v>
      </c>
    </row>
    <row r="35" spans="1:16">
      <c r="A35" s="910"/>
      <c r="B35" s="909" t="s">
        <v>1026</v>
      </c>
      <c r="C35" s="558">
        <v>4279491</v>
      </c>
      <c r="D35" s="558">
        <v>4577289</v>
      </c>
      <c r="E35" s="558">
        <v>4946370</v>
      </c>
      <c r="F35" s="558">
        <v>4930732</v>
      </c>
      <c r="G35" s="558">
        <v>4132585</v>
      </c>
      <c r="H35" s="558">
        <v>4401493</v>
      </c>
      <c r="I35" s="558">
        <v>3965702</v>
      </c>
      <c r="J35" s="558">
        <v>3474307</v>
      </c>
      <c r="K35" s="558">
        <v>3965937</v>
      </c>
      <c r="L35" s="558">
        <v>4677650</v>
      </c>
      <c r="M35" s="558">
        <v>5159302</v>
      </c>
      <c r="N35" s="558">
        <v>6394344</v>
      </c>
      <c r="O35" s="558">
        <v>6725736</v>
      </c>
      <c r="P35" s="908">
        <f t="shared" si="0"/>
        <v>4740841.38</v>
      </c>
    </row>
    <row r="36" spans="1:16">
      <c r="A36" s="555"/>
      <c r="B36" s="909" t="s">
        <v>939</v>
      </c>
      <c r="C36" s="558">
        <v>6539930</v>
      </c>
      <c r="D36" s="558">
        <v>6902558</v>
      </c>
      <c r="E36" s="558">
        <v>7074580</v>
      </c>
      <c r="F36" s="558">
        <v>7306875</v>
      </c>
      <c r="G36" s="558">
        <v>7604516</v>
      </c>
      <c r="H36" s="558">
        <v>9216079</v>
      </c>
      <c r="I36" s="558">
        <v>5209431</v>
      </c>
      <c r="J36" s="558">
        <v>5556443</v>
      </c>
      <c r="K36" s="558">
        <v>5253405</v>
      </c>
      <c r="L36" s="558">
        <v>5470331</v>
      </c>
      <c r="M36" s="558">
        <v>4033774</v>
      </c>
      <c r="N36" s="558">
        <v>4141078</v>
      </c>
      <c r="O36" s="558"/>
      <c r="P36" s="908">
        <f t="shared" si="0"/>
        <v>5716076.9199999999</v>
      </c>
    </row>
    <row r="37" spans="1:16">
      <c r="A37" s="555"/>
      <c r="B37" s="909" t="s">
        <v>940</v>
      </c>
      <c r="C37" s="558">
        <v>7555437</v>
      </c>
      <c r="D37" s="558">
        <v>9273727</v>
      </c>
      <c r="E37" s="558">
        <v>10920509</v>
      </c>
      <c r="F37" s="558">
        <v>12214798</v>
      </c>
      <c r="G37" s="558">
        <v>13516889</v>
      </c>
      <c r="H37" s="558">
        <v>14724439</v>
      </c>
      <c r="I37" s="558"/>
      <c r="J37" s="558"/>
      <c r="K37" s="558"/>
      <c r="L37" s="558"/>
      <c r="M37" s="558"/>
      <c r="N37" s="558"/>
      <c r="O37" s="558"/>
      <c r="P37" s="908">
        <f t="shared" si="0"/>
        <v>5246599.92</v>
      </c>
    </row>
    <row r="38" spans="1:16">
      <c r="A38" s="555"/>
      <c r="B38" s="909" t="s">
        <v>941</v>
      </c>
      <c r="C38" s="558">
        <v>2557286</v>
      </c>
      <c r="D38" s="558">
        <v>2773900</v>
      </c>
      <c r="E38" s="558">
        <v>3783078</v>
      </c>
      <c r="F38" s="558">
        <v>4455242</v>
      </c>
      <c r="G38" s="558">
        <v>4772682</v>
      </c>
      <c r="H38" s="558">
        <v>4644532</v>
      </c>
      <c r="I38" s="558">
        <v>4735279</v>
      </c>
      <c r="J38" s="558">
        <v>4784546</v>
      </c>
      <c r="K38" s="558">
        <v>4878891</v>
      </c>
      <c r="L38" s="558">
        <v>4884082</v>
      </c>
      <c r="M38" s="558">
        <v>4970713</v>
      </c>
      <c r="N38" s="558">
        <v>5053616</v>
      </c>
      <c r="O38" s="558">
        <v>5106338</v>
      </c>
      <c r="P38" s="908">
        <f t="shared" si="0"/>
        <v>4415398.8499999996</v>
      </c>
    </row>
    <row r="39" spans="1:16">
      <c r="A39" s="555"/>
      <c r="B39" s="909" t="s">
        <v>942</v>
      </c>
      <c r="C39" s="558">
        <v>1597554</v>
      </c>
      <c r="D39" s="558">
        <v>2212069</v>
      </c>
      <c r="E39" s="558">
        <v>2943658</v>
      </c>
      <c r="F39" s="558">
        <v>2947787</v>
      </c>
      <c r="G39" s="558">
        <v>2899016</v>
      </c>
      <c r="H39" s="558">
        <v>3026994</v>
      </c>
      <c r="I39" s="558">
        <v>3069492</v>
      </c>
      <c r="J39" s="558">
        <v>3071059</v>
      </c>
      <c r="K39" s="558">
        <v>3097662</v>
      </c>
      <c r="L39" s="558">
        <v>3287895</v>
      </c>
      <c r="M39" s="558">
        <v>3432676</v>
      </c>
      <c r="N39" s="558">
        <v>3816958</v>
      </c>
      <c r="O39" s="558">
        <v>3854024</v>
      </c>
      <c r="P39" s="908">
        <f t="shared" si="0"/>
        <v>3019757.23</v>
      </c>
    </row>
    <row r="40" spans="1:16">
      <c r="A40" s="555"/>
      <c r="B40" s="909" t="s">
        <v>943</v>
      </c>
      <c r="C40" s="558">
        <v>5148743</v>
      </c>
      <c r="D40" s="558">
        <v>6457569</v>
      </c>
      <c r="E40" s="558">
        <v>6937894</v>
      </c>
      <c r="F40" s="558">
        <v>7144696</v>
      </c>
      <c r="G40" s="558">
        <v>7544083</v>
      </c>
      <c r="H40" s="558"/>
      <c r="I40" s="558"/>
      <c r="J40" s="558"/>
      <c r="K40" s="558"/>
      <c r="L40" s="558"/>
      <c r="M40" s="558"/>
      <c r="N40" s="558"/>
      <c r="O40" s="558"/>
      <c r="P40" s="908">
        <f t="shared" si="0"/>
        <v>2556383.46</v>
      </c>
    </row>
    <row r="41" spans="1:16">
      <c r="A41" s="555"/>
      <c r="B41" s="907" t="s">
        <v>944</v>
      </c>
      <c r="C41" s="558">
        <v>552417</v>
      </c>
      <c r="D41" s="558">
        <v>669011</v>
      </c>
      <c r="E41" s="558">
        <v>821940</v>
      </c>
      <c r="F41" s="558">
        <v>1022968</v>
      </c>
      <c r="G41" s="558">
        <v>1300588</v>
      </c>
      <c r="H41" s="558">
        <v>1577629</v>
      </c>
      <c r="I41" s="558">
        <v>1776501</v>
      </c>
      <c r="J41" s="558">
        <v>1948950</v>
      </c>
      <c r="K41" s="558">
        <v>2341338</v>
      </c>
      <c r="L41" s="558">
        <v>3403939</v>
      </c>
      <c r="M41" s="558">
        <v>4291671</v>
      </c>
      <c r="N41" s="558">
        <v>4584848</v>
      </c>
      <c r="O41" s="558">
        <v>5546187</v>
      </c>
      <c r="P41" s="908">
        <f t="shared" si="0"/>
        <v>2295229.77</v>
      </c>
    </row>
    <row r="42" spans="1:16">
      <c r="A42" s="555"/>
      <c r="B42" s="909" t="s">
        <v>945</v>
      </c>
      <c r="C42" s="558">
        <v>2579281</v>
      </c>
      <c r="D42" s="558">
        <v>4552879</v>
      </c>
      <c r="E42" s="558">
        <v>5518454</v>
      </c>
      <c r="F42" s="558">
        <v>6533541</v>
      </c>
      <c r="G42" s="558">
        <v>7371660</v>
      </c>
      <c r="H42" s="558"/>
      <c r="I42" s="558"/>
      <c r="J42" s="558"/>
      <c r="K42" s="558"/>
      <c r="L42" s="558"/>
      <c r="M42" s="558"/>
      <c r="N42" s="558"/>
      <c r="O42" s="558"/>
      <c r="P42" s="908">
        <f t="shared" si="0"/>
        <v>2042755</v>
      </c>
    </row>
    <row r="43" spans="1:16">
      <c r="A43" s="555"/>
      <c r="B43" s="909" t="s">
        <v>946</v>
      </c>
      <c r="C43" s="558">
        <v>391870</v>
      </c>
      <c r="D43" s="558">
        <v>489499</v>
      </c>
      <c r="E43" s="558">
        <v>600534</v>
      </c>
      <c r="F43" s="558">
        <v>657930</v>
      </c>
      <c r="G43" s="558">
        <v>690291</v>
      </c>
      <c r="H43" s="558">
        <v>716024</v>
      </c>
      <c r="I43" s="558">
        <v>1737803</v>
      </c>
      <c r="J43" s="558">
        <v>1926979</v>
      </c>
      <c r="K43" s="558">
        <v>2614692</v>
      </c>
      <c r="L43" s="558">
        <v>3304483</v>
      </c>
      <c r="M43" s="558">
        <v>3753370</v>
      </c>
      <c r="N43" s="558">
        <v>4099562</v>
      </c>
      <c r="O43" s="558">
        <v>5036337</v>
      </c>
      <c r="P43" s="908">
        <f t="shared" si="0"/>
        <v>2001490.31</v>
      </c>
    </row>
    <row r="44" spans="1:16">
      <c r="A44" s="555"/>
      <c r="B44" s="907" t="s">
        <v>947</v>
      </c>
      <c r="C44" s="558">
        <v>46508</v>
      </c>
      <c r="D44" s="558">
        <v>84543</v>
      </c>
      <c r="E44" s="558">
        <v>169214</v>
      </c>
      <c r="F44" s="558">
        <v>242475</v>
      </c>
      <c r="G44" s="558">
        <v>307271</v>
      </c>
      <c r="H44" s="558">
        <v>410720</v>
      </c>
      <c r="I44" s="558">
        <v>895937</v>
      </c>
      <c r="J44" s="558">
        <v>1380325</v>
      </c>
      <c r="K44" s="558">
        <v>2295107</v>
      </c>
      <c r="L44" s="558">
        <v>3111368</v>
      </c>
      <c r="M44" s="558">
        <v>3543148</v>
      </c>
      <c r="N44" s="558">
        <v>3818338</v>
      </c>
      <c r="O44" s="558">
        <v>4211324</v>
      </c>
      <c r="P44" s="908">
        <f t="shared" si="0"/>
        <v>1578175.23</v>
      </c>
    </row>
    <row r="45" spans="1:16">
      <c r="A45" s="555"/>
      <c r="B45" s="909" t="s">
        <v>948</v>
      </c>
      <c r="C45" s="558">
        <v>425787</v>
      </c>
      <c r="D45" s="558">
        <v>572776</v>
      </c>
      <c r="E45" s="558">
        <v>637992</v>
      </c>
      <c r="F45" s="558">
        <v>660653</v>
      </c>
      <c r="G45" s="558">
        <v>677524</v>
      </c>
      <c r="H45" s="558">
        <v>1963382</v>
      </c>
      <c r="I45" s="558">
        <v>2385202</v>
      </c>
      <c r="J45" s="558">
        <v>2432120</v>
      </c>
      <c r="K45" s="558">
        <v>2531187</v>
      </c>
      <c r="L45" s="558">
        <v>2607286</v>
      </c>
      <c r="M45" s="558">
        <v>2619144</v>
      </c>
      <c r="N45" s="558">
        <v>2984701</v>
      </c>
      <c r="O45" s="558"/>
      <c r="P45" s="908">
        <f t="shared" si="0"/>
        <v>1576750.31</v>
      </c>
    </row>
    <row r="46" spans="1:16">
      <c r="A46" s="555"/>
      <c r="B46" s="909" t="s">
        <v>949</v>
      </c>
      <c r="C46" s="558">
        <v>586409</v>
      </c>
      <c r="D46" s="558">
        <v>940886</v>
      </c>
      <c r="E46" s="558">
        <v>988125</v>
      </c>
      <c r="F46" s="558">
        <v>1078819</v>
      </c>
      <c r="G46" s="558">
        <v>1422352</v>
      </c>
      <c r="H46" s="558">
        <v>1594864</v>
      </c>
      <c r="I46" s="558">
        <v>1815378</v>
      </c>
      <c r="J46" s="558">
        <v>1868462</v>
      </c>
      <c r="K46" s="558">
        <v>2479647</v>
      </c>
      <c r="L46" s="558">
        <v>2683123</v>
      </c>
      <c r="M46" s="558">
        <v>2960550</v>
      </c>
      <c r="N46" s="558"/>
      <c r="O46" s="558"/>
      <c r="P46" s="908">
        <f t="shared" si="0"/>
        <v>1416816.54</v>
      </c>
    </row>
    <row r="47" spans="1:16">
      <c r="A47" s="555"/>
      <c r="B47" s="909" t="s">
        <v>950</v>
      </c>
      <c r="C47" s="558">
        <v>3860483</v>
      </c>
      <c r="D47" s="558">
        <v>4285610</v>
      </c>
      <c r="E47" s="558">
        <v>4706129</v>
      </c>
      <c r="F47" s="558">
        <v>5288296</v>
      </c>
      <c r="G47" s="558"/>
      <c r="H47" s="558"/>
      <c r="I47" s="558"/>
      <c r="J47" s="558"/>
      <c r="K47" s="558"/>
      <c r="L47" s="558"/>
      <c r="M47" s="558"/>
      <c r="N47" s="558"/>
      <c r="O47" s="558"/>
      <c r="P47" s="908">
        <f t="shared" si="0"/>
        <v>1395424.46</v>
      </c>
    </row>
    <row r="48" spans="1:16">
      <c r="A48" s="555"/>
      <c r="B48" s="907" t="s">
        <v>951</v>
      </c>
      <c r="C48" s="558">
        <v>442070</v>
      </c>
      <c r="D48" s="558">
        <v>579769</v>
      </c>
      <c r="E48" s="558">
        <v>698384</v>
      </c>
      <c r="F48" s="558">
        <v>838437</v>
      </c>
      <c r="G48" s="558">
        <v>912314</v>
      </c>
      <c r="H48" s="558">
        <v>1032823</v>
      </c>
      <c r="I48" s="558">
        <v>1183999</v>
      </c>
      <c r="J48" s="558">
        <v>1422477</v>
      </c>
      <c r="K48" s="558">
        <v>1598148</v>
      </c>
      <c r="L48" s="558">
        <v>1831110</v>
      </c>
      <c r="M48" s="558">
        <v>1995249</v>
      </c>
      <c r="N48" s="558">
        <v>2429469</v>
      </c>
      <c r="O48" s="558">
        <v>2524557</v>
      </c>
      <c r="P48" s="908">
        <f t="shared" si="0"/>
        <v>1345292.77</v>
      </c>
    </row>
    <row r="49" spans="1:17">
      <c r="A49" s="555"/>
      <c r="B49" s="909" t="s">
        <v>952</v>
      </c>
      <c r="C49" s="558">
        <v>2058847</v>
      </c>
      <c r="D49" s="558">
        <v>2515122</v>
      </c>
      <c r="E49" s="558">
        <v>2944869</v>
      </c>
      <c r="F49" s="558">
        <v>3429023</v>
      </c>
      <c r="G49" s="558">
        <v>5301019</v>
      </c>
      <c r="H49" s="558">
        <v>406498</v>
      </c>
      <c r="I49" s="558"/>
      <c r="J49" s="558"/>
      <c r="K49" s="558"/>
      <c r="L49" s="558"/>
      <c r="M49" s="558"/>
      <c r="N49" s="558"/>
      <c r="O49" s="558"/>
      <c r="P49" s="908">
        <f t="shared" si="0"/>
        <v>1281182.92</v>
      </c>
    </row>
    <row r="50" spans="1:17">
      <c r="A50" s="555"/>
      <c r="B50" s="909" t="s">
        <v>953</v>
      </c>
      <c r="C50" s="558">
        <v>525090</v>
      </c>
      <c r="D50" s="558">
        <v>594308</v>
      </c>
      <c r="E50" s="558">
        <v>758506</v>
      </c>
      <c r="F50" s="558">
        <v>929119</v>
      </c>
      <c r="G50" s="558">
        <v>977276</v>
      </c>
      <c r="H50" s="558">
        <v>1310452</v>
      </c>
      <c r="I50" s="558">
        <v>1651102</v>
      </c>
      <c r="J50" s="558">
        <v>1682870</v>
      </c>
      <c r="K50" s="558">
        <v>1788523</v>
      </c>
      <c r="L50" s="558">
        <v>1825161</v>
      </c>
      <c r="M50" s="558">
        <v>1898921</v>
      </c>
      <c r="N50" s="558">
        <v>2033662</v>
      </c>
      <c r="O50" s="558"/>
      <c r="P50" s="908">
        <f t="shared" si="0"/>
        <v>1228845.3799999999</v>
      </c>
    </row>
    <row r="51" spans="1:17">
      <c r="A51" s="555"/>
      <c r="B51" s="909" t="s">
        <v>954</v>
      </c>
      <c r="C51" s="558">
        <v>233116</v>
      </c>
      <c r="D51" s="558">
        <v>260126</v>
      </c>
      <c r="E51" s="558">
        <v>280738</v>
      </c>
      <c r="F51" s="558">
        <v>383269</v>
      </c>
      <c r="G51" s="558">
        <v>443861</v>
      </c>
      <c r="H51" s="558">
        <v>503664</v>
      </c>
      <c r="I51" s="558">
        <v>649708</v>
      </c>
      <c r="J51" s="558">
        <v>769937</v>
      </c>
      <c r="K51" s="558">
        <v>929301</v>
      </c>
      <c r="L51" s="558">
        <v>1977236</v>
      </c>
      <c r="M51" s="558">
        <v>2435041</v>
      </c>
      <c r="N51" s="558">
        <v>3308526</v>
      </c>
      <c r="O51" s="558">
        <v>3597647</v>
      </c>
      <c r="P51" s="908">
        <f t="shared" si="0"/>
        <v>1213243.8500000001</v>
      </c>
    </row>
    <row r="52" spans="1:17">
      <c r="A52" s="555"/>
      <c r="B52" s="907" t="s">
        <v>955</v>
      </c>
      <c r="C52" s="558">
        <v>2042039</v>
      </c>
      <c r="D52" s="558">
        <v>829536</v>
      </c>
      <c r="E52" s="558">
        <v>860024</v>
      </c>
      <c r="F52" s="558">
        <v>874809</v>
      </c>
      <c r="G52" s="558">
        <v>906099</v>
      </c>
      <c r="H52" s="558">
        <v>925503</v>
      </c>
      <c r="I52" s="558">
        <v>942916</v>
      </c>
      <c r="J52" s="558">
        <v>995757</v>
      </c>
      <c r="K52" s="558">
        <v>1035949</v>
      </c>
      <c r="L52" s="558">
        <v>1490720</v>
      </c>
      <c r="M52" s="558">
        <v>2155426</v>
      </c>
      <c r="N52" s="558">
        <v>2666297</v>
      </c>
      <c r="O52" s="558"/>
      <c r="P52" s="908">
        <f t="shared" si="0"/>
        <v>1209621.1499999999</v>
      </c>
    </row>
    <row r="53" spans="1:17">
      <c r="A53" s="555"/>
      <c r="B53" s="909" t="s">
        <v>956</v>
      </c>
      <c r="C53" s="558">
        <v>603154</v>
      </c>
      <c r="D53" s="558">
        <v>657625</v>
      </c>
      <c r="E53" s="558">
        <v>746659</v>
      </c>
      <c r="F53" s="558">
        <v>859485</v>
      </c>
      <c r="G53" s="558">
        <v>942145</v>
      </c>
      <c r="H53" s="558">
        <v>1010441</v>
      </c>
      <c r="I53" s="558">
        <v>1087115</v>
      </c>
      <c r="J53" s="558">
        <v>1188672</v>
      </c>
      <c r="K53" s="558">
        <v>1396981</v>
      </c>
      <c r="L53" s="558">
        <v>1462746</v>
      </c>
      <c r="M53" s="558">
        <v>1566923</v>
      </c>
      <c r="N53" s="558">
        <v>1737893</v>
      </c>
      <c r="O53" s="558">
        <v>2058212</v>
      </c>
      <c r="P53" s="908">
        <f t="shared" si="0"/>
        <v>1178311.6200000001</v>
      </c>
    </row>
    <row r="54" spans="1:17">
      <c r="A54" s="555"/>
      <c r="B54" s="907" t="s">
        <v>957</v>
      </c>
      <c r="C54" s="558">
        <v>1608785</v>
      </c>
      <c r="D54" s="558">
        <v>1627789</v>
      </c>
      <c r="E54" s="558">
        <v>1837084</v>
      </c>
      <c r="F54" s="558">
        <v>1993246</v>
      </c>
      <c r="G54" s="558">
        <v>2208817</v>
      </c>
      <c r="H54" s="558">
        <v>2476022</v>
      </c>
      <c r="I54" s="558">
        <v>2615570</v>
      </c>
      <c r="J54" s="558"/>
      <c r="K54" s="558"/>
      <c r="L54" s="558"/>
      <c r="M54" s="558"/>
      <c r="N54" s="558"/>
      <c r="O54" s="558"/>
      <c r="P54" s="908">
        <f t="shared" si="0"/>
        <v>1105177.92</v>
      </c>
    </row>
    <row r="55" spans="1:17">
      <c r="B55" s="909" t="s">
        <v>958</v>
      </c>
      <c r="C55" s="558">
        <v>2336899</v>
      </c>
      <c r="D55" s="558">
        <v>2459800</v>
      </c>
      <c r="E55" s="558">
        <v>2615154</v>
      </c>
      <c r="F55" s="558">
        <v>2703029</v>
      </c>
      <c r="G55" s="558">
        <v>2986282</v>
      </c>
      <c r="H55" s="558"/>
      <c r="I55" s="558"/>
      <c r="J55" s="558"/>
      <c r="K55" s="558"/>
      <c r="L55" s="558"/>
      <c r="M55" s="558"/>
      <c r="N55" s="558"/>
      <c r="O55" s="558"/>
      <c r="P55" s="908">
        <f t="shared" si="0"/>
        <v>1007781.85</v>
      </c>
    </row>
    <row r="56" spans="1:17">
      <c r="B56" s="911" t="s">
        <v>1027</v>
      </c>
      <c r="C56" s="558">
        <v>48178710</v>
      </c>
      <c r="D56" s="558">
        <v>46597353</v>
      </c>
      <c r="E56" s="558">
        <v>41584279</v>
      </c>
      <c r="F56" s="558">
        <v>43806138</v>
      </c>
      <c r="G56" s="558">
        <v>42013537</v>
      </c>
      <c r="H56" s="558">
        <v>42609443</v>
      </c>
      <c r="I56" s="558">
        <v>36485690</v>
      </c>
      <c r="J56" s="558">
        <v>41564336</v>
      </c>
      <c r="K56" s="558">
        <v>44867848</v>
      </c>
      <c r="L56" s="558">
        <v>49812534</v>
      </c>
      <c r="M56" s="558">
        <v>53943475</v>
      </c>
      <c r="N56" s="558">
        <v>52824822</v>
      </c>
      <c r="O56" s="558">
        <v>53264256</v>
      </c>
      <c r="P56" s="908">
        <f t="shared" si="0"/>
        <v>45965570.850000001</v>
      </c>
    </row>
    <row r="57" spans="1:17">
      <c r="C57" s="558"/>
      <c r="D57" s="558"/>
      <c r="E57" s="558"/>
      <c r="F57" s="558"/>
      <c r="G57" s="558"/>
      <c r="H57" s="558"/>
      <c r="I57" s="558"/>
      <c r="J57" s="558"/>
      <c r="K57" s="558"/>
      <c r="L57" s="558"/>
      <c r="M57" s="558"/>
      <c r="N57" s="558"/>
      <c r="O57" s="558"/>
    </row>
    <row r="58" spans="1:17">
      <c r="B58" s="517" t="s">
        <v>959</v>
      </c>
      <c r="C58" s="559">
        <f t="shared" ref="C58:O58" si="1">SUM(C27:C56)</f>
        <v>221194155</v>
      </c>
      <c r="D58" s="559">
        <f t="shared" si="1"/>
        <v>239865159</v>
      </c>
      <c r="E58" s="559">
        <f t="shared" si="1"/>
        <v>256198189</v>
      </c>
      <c r="F58" s="559">
        <f t="shared" si="1"/>
        <v>276030452</v>
      </c>
      <c r="G58" s="559">
        <f t="shared" si="1"/>
        <v>284077253</v>
      </c>
      <c r="H58" s="559">
        <f t="shared" si="1"/>
        <v>284567438</v>
      </c>
      <c r="I58" s="559">
        <f t="shared" si="1"/>
        <v>286063355</v>
      </c>
      <c r="J58" s="559">
        <f t="shared" si="1"/>
        <v>314851685</v>
      </c>
      <c r="K58" s="559">
        <f t="shared" si="1"/>
        <v>269528067</v>
      </c>
      <c r="L58" s="559">
        <f t="shared" si="1"/>
        <v>306633752</v>
      </c>
      <c r="M58" s="559">
        <f t="shared" si="1"/>
        <v>343325186</v>
      </c>
      <c r="N58" s="559">
        <f t="shared" si="1"/>
        <v>348289874</v>
      </c>
      <c r="O58" s="559">
        <f t="shared" si="1"/>
        <v>354429690</v>
      </c>
      <c r="P58" s="912">
        <f>ROUNDDOWN(SUM(P27:P56),0)</f>
        <v>291158019</v>
      </c>
    </row>
    <row r="59" spans="1:17">
      <c r="D59" s="559">
        <f>C58-$E$8</f>
        <v>0</v>
      </c>
      <c r="E59" s="559">
        <f>D58-$E$9</f>
        <v>0</v>
      </c>
      <c r="F59" s="559">
        <f>E58-$E$10</f>
        <v>0</v>
      </c>
      <c r="G59" s="559">
        <f>F58-$E$11</f>
        <v>0</v>
      </c>
      <c r="H59" s="559">
        <f>G58-$E$12</f>
        <v>0</v>
      </c>
      <c r="I59" s="559">
        <f>H58-$E$13</f>
        <v>0</v>
      </c>
      <c r="J59" s="559">
        <f>I58-$E$14</f>
        <v>0</v>
      </c>
      <c r="K59" s="559">
        <f>J58-$E$15</f>
        <v>0</v>
      </c>
      <c r="L59" s="559">
        <f>K58-$E$16</f>
        <v>0</v>
      </c>
      <c r="M59" s="559">
        <f>L58-$E$17</f>
        <v>0</v>
      </c>
      <c r="N59" s="559">
        <f>M58-$E$18</f>
        <v>0</v>
      </c>
      <c r="O59" s="559">
        <f>N58-$E$19</f>
        <v>0</v>
      </c>
      <c r="P59" s="559">
        <f>O58-$E$20</f>
        <v>0</v>
      </c>
      <c r="Q59" s="559">
        <f>P58-E22</f>
        <v>0</v>
      </c>
    </row>
    <row r="60" spans="1:17">
      <c r="D60" s="584"/>
      <c r="E60" s="584"/>
      <c r="F60" s="584"/>
      <c r="G60" s="584"/>
      <c r="H60" s="584"/>
      <c r="I60" s="584"/>
      <c r="J60" s="584"/>
      <c r="K60" s="584"/>
      <c r="L60" s="584"/>
      <c r="M60" s="584"/>
      <c r="N60" s="584"/>
      <c r="O60" s="584"/>
      <c r="P60" s="584"/>
    </row>
    <row r="61" spans="1:17">
      <c r="H61" s="559"/>
    </row>
    <row r="63" spans="1:17">
      <c r="D63" s="584"/>
      <c r="E63" s="584"/>
      <c r="F63" s="584"/>
      <c r="G63" s="584"/>
      <c r="H63" s="584"/>
      <c r="I63" s="584"/>
      <c r="J63" s="584"/>
      <c r="K63" s="584"/>
      <c r="L63" s="584"/>
      <c r="M63" s="584"/>
      <c r="N63" s="584"/>
      <c r="O63" s="584"/>
      <c r="P63" s="584"/>
    </row>
    <row r="64" spans="1:17">
      <c r="D64" s="559"/>
      <c r="E64" s="559"/>
      <c r="F64" s="559"/>
      <c r="G64" s="559"/>
      <c r="H64" s="559"/>
      <c r="I64" s="559"/>
      <c r="J64" s="559"/>
      <c r="K64" s="559"/>
      <c r="L64" s="559"/>
      <c r="M64" s="559"/>
      <c r="N64" s="559"/>
      <c r="O64" s="559"/>
      <c r="P64" s="55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Normal="100" workbookViewId="0"/>
  </sheetViews>
  <sheetFormatPr defaultColWidth="9.140625" defaultRowHeight="12.75"/>
  <cols>
    <col min="1" max="1" width="13" style="563" customWidth="1"/>
    <col min="2" max="2" width="9.140625" style="563" customWidth="1"/>
    <col min="3" max="3" width="17.140625" style="563" bestFit="1" customWidth="1"/>
    <col min="4" max="4" width="6" style="563" customWidth="1"/>
    <col min="5" max="244" width="9.140625" style="563"/>
    <col min="245" max="245" width="13" style="563" customWidth="1"/>
    <col min="246" max="246" width="9.140625" style="563" customWidth="1"/>
    <col min="247" max="247" width="15.42578125" style="563" bestFit="1" customWidth="1"/>
    <col min="248" max="248" width="13" style="563" bestFit="1" customWidth="1"/>
    <col min="249" max="249" width="7.7109375" style="563" bestFit="1" customWidth="1"/>
    <col min="250" max="250" width="21" style="563" bestFit="1" customWidth="1"/>
    <col min="251" max="251" width="15.140625" style="563" bestFit="1" customWidth="1"/>
    <col min="252" max="252" width="17.140625" style="563" bestFit="1" customWidth="1"/>
    <col min="253" max="253" width="6" style="563" customWidth="1"/>
    <col min="254" max="254" width="14.7109375" style="563" bestFit="1" customWidth="1"/>
    <col min="255" max="255" width="16.5703125" style="563" bestFit="1" customWidth="1"/>
    <col min="256" max="256" width="15.28515625" style="563" bestFit="1" customWidth="1"/>
    <col min="257" max="257" width="18.42578125" style="563" customWidth="1"/>
    <col min="258" max="500" width="9.140625" style="563"/>
    <col min="501" max="501" width="13" style="563" customWidth="1"/>
    <col min="502" max="502" width="9.140625" style="563" customWidth="1"/>
    <col min="503" max="503" width="15.42578125" style="563" bestFit="1" customWidth="1"/>
    <col min="504" max="504" width="13" style="563" bestFit="1" customWidth="1"/>
    <col min="505" max="505" width="7.7109375" style="563" bestFit="1" customWidth="1"/>
    <col min="506" max="506" width="21" style="563" bestFit="1" customWidth="1"/>
    <col min="507" max="507" width="15.140625" style="563" bestFit="1" customWidth="1"/>
    <col min="508" max="508" width="17.140625" style="563" bestFit="1" customWidth="1"/>
    <col min="509" max="509" width="6" style="563" customWidth="1"/>
    <col min="510" max="510" width="14.7109375" style="563" bestFit="1" customWidth="1"/>
    <col min="511" max="511" width="16.5703125" style="563" bestFit="1" customWidth="1"/>
    <col min="512" max="512" width="15.28515625" style="563" bestFit="1" customWidth="1"/>
    <col min="513" max="513" width="18.42578125" style="563" customWidth="1"/>
    <col min="514" max="756" width="9.140625" style="563"/>
    <col min="757" max="757" width="13" style="563" customWidth="1"/>
    <col min="758" max="758" width="9.140625" style="563" customWidth="1"/>
    <col min="759" max="759" width="15.42578125" style="563" bestFit="1" customWidth="1"/>
    <col min="760" max="760" width="13" style="563" bestFit="1" customWidth="1"/>
    <col min="761" max="761" width="7.7109375" style="563" bestFit="1" customWidth="1"/>
    <col min="762" max="762" width="21" style="563" bestFit="1" customWidth="1"/>
    <col min="763" max="763" width="15.140625" style="563" bestFit="1" customWidth="1"/>
    <col min="764" max="764" width="17.140625" style="563" bestFit="1" customWidth="1"/>
    <col min="765" max="765" width="6" style="563" customWidth="1"/>
    <col min="766" max="766" width="14.7109375" style="563" bestFit="1" customWidth="1"/>
    <col min="767" max="767" width="16.5703125" style="563" bestFit="1" customWidth="1"/>
    <col min="768" max="768" width="15.28515625" style="563" bestFit="1" customWidth="1"/>
    <col min="769" max="769" width="18.42578125" style="563" customWidth="1"/>
    <col min="770" max="1012" width="9.140625" style="563"/>
    <col min="1013" max="1013" width="13" style="563" customWidth="1"/>
    <col min="1014" max="1014" width="9.140625" style="563" customWidth="1"/>
    <col min="1015" max="1015" width="15.42578125" style="563" bestFit="1" customWidth="1"/>
    <col min="1016" max="1016" width="13" style="563" bestFit="1" customWidth="1"/>
    <col min="1017" max="1017" width="7.7109375" style="563" bestFit="1" customWidth="1"/>
    <col min="1018" max="1018" width="21" style="563" bestFit="1" customWidth="1"/>
    <col min="1019" max="1019" width="15.140625" style="563" bestFit="1" customWidth="1"/>
    <col min="1020" max="1020" width="17.140625" style="563" bestFit="1" customWidth="1"/>
    <col min="1021" max="1021" width="6" style="563" customWidth="1"/>
    <col min="1022" max="1022" width="14.7109375" style="563" bestFit="1" customWidth="1"/>
    <col min="1023" max="1023" width="16.5703125" style="563" bestFit="1" customWidth="1"/>
    <col min="1024" max="1024" width="15.28515625" style="563" bestFit="1" customWidth="1"/>
    <col min="1025" max="1025" width="18.42578125" style="563" customWidth="1"/>
    <col min="1026" max="1268" width="9.140625" style="563"/>
    <col min="1269" max="1269" width="13" style="563" customWidth="1"/>
    <col min="1270" max="1270" width="9.140625" style="563" customWidth="1"/>
    <col min="1271" max="1271" width="15.42578125" style="563" bestFit="1" customWidth="1"/>
    <col min="1272" max="1272" width="13" style="563" bestFit="1" customWidth="1"/>
    <col min="1273" max="1273" width="7.7109375" style="563" bestFit="1" customWidth="1"/>
    <col min="1274" max="1274" width="21" style="563" bestFit="1" customWidth="1"/>
    <col min="1275" max="1275" width="15.140625" style="563" bestFit="1" customWidth="1"/>
    <col min="1276" max="1276" width="17.140625" style="563" bestFit="1" customWidth="1"/>
    <col min="1277" max="1277" width="6" style="563" customWidth="1"/>
    <col min="1278" max="1278" width="14.7109375" style="563" bestFit="1" customWidth="1"/>
    <col min="1279" max="1279" width="16.5703125" style="563" bestFit="1" customWidth="1"/>
    <col min="1280" max="1280" width="15.28515625" style="563" bestFit="1" customWidth="1"/>
    <col min="1281" max="1281" width="18.42578125" style="563" customWidth="1"/>
    <col min="1282" max="1524" width="9.140625" style="563"/>
    <col min="1525" max="1525" width="13" style="563" customWidth="1"/>
    <col min="1526" max="1526" width="9.140625" style="563" customWidth="1"/>
    <col min="1527" max="1527" width="15.42578125" style="563" bestFit="1" customWidth="1"/>
    <col min="1528" max="1528" width="13" style="563" bestFit="1" customWidth="1"/>
    <col min="1529" max="1529" width="7.7109375" style="563" bestFit="1" customWidth="1"/>
    <col min="1530" max="1530" width="21" style="563" bestFit="1" customWidth="1"/>
    <col min="1531" max="1531" width="15.140625" style="563" bestFit="1" customWidth="1"/>
    <col min="1532" max="1532" width="17.140625" style="563" bestFit="1" customWidth="1"/>
    <col min="1533" max="1533" width="6" style="563" customWidth="1"/>
    <col min="1534" max="1534" width="14.7109375" style="563" bestFit="1" customWidth="1"/>
    <col min="1535" max="1535" width="16.5703125" style="563" bestFit="1" customWidth="1"/>
    <col min="1536" max="1536" width="15.28515625" style="563" bestFit="1" customWidth="1"/>
    <col min="1537" max="1537" width="18.42578125" style="563" customWidth="1"/>
    <col min="1538" max="1780" width="9.140625" style="563"/>
    <col min="1781" max="1781" width="13" style="563" customWidth="1"/>
    <col min="1782" max="1782" width="9.140625" style="563" customWidth="1"/>
    <col min="1783" max="1783" width="15.42578125" style="563" bestFit="1" customWidth="1"/>
    <col min="1784" max="1784" width="13" style="563" bestFit="1" customWidth="1"/>
    <col min="1785" max="1785" width="7.7109375" style="563" bestFit="1" customWidth="1"/>
    <col min="1786" max="1786" width="21" style="563" bestFit="1" customWidth="1"/>
    <col min="1787" max="1787" width="15.140625" style="563" bestFit="1" customWidth="1"/>
    <col min="1788" max="1788" width="17.140625" style="563" bestFit="1" customWidth="1"/>
    <col min="1789" max="1789" width="6" style="563" customWidth="1"/>
    <col min="1790" max="1790" width="14.7109375" style="563" bestFit="1" customWidth="1"/>
    <col min="1791" max="1791" width="16.5703125" style="563" bestFit="1" customWidth="1"/>
    <col min="1792" max="1792" width="15.28515625" style="563" bestFit="1" customWidth="1"/>
    <col min="1793" max="1793" width="18.42578125" style="563" customWidth="1"/>
    <col min="1794" max="2036" width="9.140625" style="563"/>
    <col min="2037" max="2037" width="13" style="563" customWidth="1"/>
    <col min="2038" max="2038" width="9.140625" style="563" customWidth="1"/>
    <col min="2039" max="2039" width="15.42578125" style="563" bestFit="1" customWidth="1"/>
    <col min="2040" max="2040" width="13" style="563" bestFit="1" customWidth="1"/>
    <col min="2041" max="2041" width="7.7109375" style="563" bestFit="1" customWidth="1"/>
    <col min="2042" max="2042" width="21" style="563" bestFit="1" customWidth="1"/>
    <col min="2043" max="2043" width="15.140625" style="563" bestFit="1" customWidth="1"/>
    <col min="2044" max="2044" width="17.140625" style="563" bestFit="1" customWidth="1"/>
    <col min="2045" max="2045" width="6" style="563" customWidth="1"/>
    <col min="2046" max="2046" width="14.7109375" style="563" bestFit="1" customWidth="1"/>
    <col min="2047" max="2047" width="16.5703125" style="563" bestFit="1" customWidth="1"/>
    <col min="2048" max="2048" width="15.28515625" style="563" bestFit="1" customWidth="1"/>
    <col min="2049" max="2049" width="18.42578125" style="563" customWidth="1"/>
    <col min="2050" max="2292" width="9.140625" style="563"/>
    <col min="2293" max="2293" width="13" style="563" customWidth="1"/>
    <col min="2294" max="2294" width="9.140625" style="563" customWidth="1"/>
    <col min="2295" max="2295" width="15.42578125" style="563" bestFit="1" customWidth="1"/>
    <col min="2296" max="2296" width="13" style="563" bestFit="1" customWidth="1"/>
    <col min="2297" max="2297" width="7.7109375" style="563" bestFit="1" customWidth="1"/>
    <col min="2298" max="2298" width="21" style="563" bestFit="1" customWidth="1"/>
    <col min="2299" max="2299" width="15.140625" style="563" bestFit="1" customWidth="1"/>
    <col min="2300" max="2300" width="17.140625" style="563" bestFit="1" customWidth="1"/>
    <col min="2301" max="2301" width="6" style="563" customWidth="1"/>
    <col min="2302" max="2302" width="14.7109375" style="563" bestFit="1" customWidth="1"/>
    <col min="2303" max="2303" width="16.5703125" style="563" bestFit="1" customWidth="1"/>
    <col min="2304" max="2304" width="15.28515625" style="563" bestFit="1" customWidth="1"/>
    <col min="2305" max="2305" width="18.42578125" style="563" customWidth="1"/>
    <col min="2306" max="2548" width="9.140625" style="563"/>
    <col min="2549" max="2549" width="13" style="563" customWidth="1"/>
    <col min="2550" max="2550" width="9.140625" style="563" customWidth="1"/>
    <col min="2551" max="2551" width="15.42578125" style="563" bestFit="1" customWidth="1"/>
    <col min="2552" max="2552" width="13" style="563" bestFit="1" customWidth="1"/>
    <col min="2553" max="2553" width="7.7109375" style="563" bestFit="1" customWidth="1"/>
    <col min="2554" max="2554" width="21" style="563" bestFit="1" customWidth="1"/>
    <col min="2555" max="2555" width="15.140625" style="563" bestFit="1" customWidth="1"/>
    <col min="2556" max="2556" width="17.140625" style="563" bestFit="1" customWidth="1"/>
    <col min="2557" max="2557" width="6" style="563" customWidth="1"/>
    <col min="2558" max="2558" width="14.7109375" style="563" bestFit="1" customWidth="1"/>
    <col min="2559" max="2559" width="16.5703125" style="563" bestFit="1" customWidth="1"/>
    <col min="2560" max="2560" width="15.28515625" style="563" bestFit="1" customWidth="1"/>
    <col min="2561" max="2561" width="18.42578125" style="563" customWidth="1"/>
    <col min="2562" max="2804" width="9.140625" style="563"/>
    <col min="2805" max="2805" width="13" style="563" customWidth="1"/>
    <col min="2806" max="2806" width="9.140625" style="563" customWidth="1"/>
    <col min="2807" max="2807" width="15.42578125" style="563" bestFit="1" customWidth="1"/>
    <col min="2808" max="2808" width="13" style="563" bestFit="1" customWidth="1"/>
    <col min="2809" max="2809" width="7.7109375" style="563" bestFit="1" customWidth="1"/>
    <col min="2810" max="2810" width="21" style="563" bestFit="1" customWidth="1"/>
    <col min="2811" max="2811" width="15.140625" style="563" bestFit="1" customWidth="1"/>
    <col min="2812" max="2812" width="17.140625" style="563" bestFit="1" customWidth="1"/>
    <col min="2813" max="2813" width="6" style="563" customWidth="1"/>
    <col min="2814" max="2814" width="14.7109375" style="563" bestFit="1" customWidth="1"/>
    <col min="2815" max="2815" width="16.5703125" style="563" bestFit="1" customWidth="1"/>
    <col min="2816" max="2816" width="15.28515625" style="563" bestFit="1" customWidth="1"/>
    <col min="2817" max="2817" width="18.42578125" style="563" customWidth="1"/>
    <col min="2818" max="3060" width="9.140625" style="563"/>
    <col min="3061" max="3061" width="13" style="563" customWidth="1"/>
    <col min="3062" max="3062" width="9.140625" style="563" customWidth="1"/>
    <col min="3063" max="3063" width="15.42578125" style="563" bestFit="1" customWidth="1"/>
    <col min="3064" max="3064" width="13" style="563" bestFit="1" customWidth="1"/>
    <col min="3065" max="3065" width="7.7109375" style="563" bestFit="1" customWidth="1"/>
    <col min="3066" max="3066" width="21" style="563" bestFit="1" customWidth="1"/>
    <col min="3067" max="3067" width="15.140625" style="563" bestFit="1" customWidth="1"/>
    <col min="3068" max="3068" width="17.140625" style="563" bestFit="1" customWidth="1"/>
    <col min="3069" max="3069" width="6" style="563" customWidth="1"/>
    <col min="3070" max="3070" width="14.7109375" style="563" bestFit="1" customWidth="1"/>
    <col min="3071" max="3071" width="16.5703125" style="563" bestFit="1" customWidth="1"/>
    <col min="3072" max="3072" width="15.28515625" style="563" bestFit="1" customWidth="1"/>
    <col min="3073" max="3073" width="18.42578125" style="563" customWidth="1"/>
    <col min="3074" max="3316" width="9.140625" style="563"/>
    <col min="3317" max="3317" width="13" style="563" customWidth="1"/>
    <col min="3318" max="3318" width="9.140625" style="563" customWidth="1"/>
    <col min="3319" max="3319" width="15.42578125" style="563" bestFit="1" customWidth="1"/>
    <col min="3320" max="3320" width="13" style="563" bestFit="1" customWidth="1"/>
    <col min="3321" max="3321" width="7.7109375" style="563" bestFit="1" customWidth="1"/>
    <col min="3322" max="3322" width="21" style="563" bestFit="1" customWidth="1"/>
    <col min="3323" max="3323" width="15.140625" style="563" bestFit="1" customWidth="1"/>
    <col min="3324" max="3324" width="17.140625" style="563" bestFit="1" customWidth="1"/>
    <col min="3325" max="3325" width="6" style="563" customWidth="1"/>
    <col min="3326" max="3326" width="14.7109375" style="563" bestFit="1" customWidth="1"/>
    <col min="3327" max="3327" width="16.5703125" style="563" bestFit="1" customWidth="1"/>
    <col min="3328" max="3328" width="15.28515625" style="563" bestFit="1" customWidth="1"/>
    <col min="3329" max="3329" width="18.42578125" style="563" customWidth="1"/>
    <col min="3330" max="3572" width="9.140625" style="563"/>
    <col min="3573" max="3573" width="13" style="563" customWidth="1"/>
    <col min="3574" max="3574" width="9.140625" style="563" customWidth="1"/>
    <col min="3575" max="3575" width="15.42578125" style="563" bestFit="1" customWidth="1"/>
    <col min="3576" max="3576" width="13" style="563" bestFit="1" customWidth="1"/>
    <col min="3577" max="3577" width="7.7109375" style="563" bestFit="1" customWidth="1"/>
    <col min="3578" max="3578" width="21" style="563" bestFit="1" customWidth="1"/>
    <col min="3579" max="3579" width="15.140625" style="563" bestFit="1" customWidth="1"/>
    <col min="3580" max="3580" width="17.140625" style="563" bestFit="1" customWidth="1"/>
    <col min="3581" max="3581" width="6" style="563" customWidth="1"/>
    <col min="3582" max="3582" width="14.7109375" style="563" bestFit="1" customWidth="1"/>
    <col min="3583" max="3583" width="16.5703125" style="563" bestFit="1" customWidth="1"/>
    <col min="3584" max="3584" width="15.28515625" style="563" bestFit="1" customWidth="1"/>
    <col min="3585" max="3585" width="18.42578125" style="563" customWidth="1"/>
    <col min="3586" max="3828" width="9.140625" style="563"/>
    <col min="3829" max="3829" width="13" style="563" customWidth="1"/>
    <col min="3830" max="3830" width="9.140625" style="563" customWidth="1"/>
    <col min="3831" max="3831" width="15.42578125" style="563" bestFit="1" customWidth="1"/>
    <col min="3832" max="3832" width="13" style="563" bestFit="1" customWidth="1"/>
    <col min="3833" max="3833" width="7.7109375" style="563" bestFit="1" customWidth="1"/>
    <col min="3834" max="3834" width="21" style="563" bestFit="1" customWidth="1"/>
    <col min="3835" max="3835" width="15.140625" style="563" bestFit="1" customWidth="1"/>
    <col min="3836" max="3836" width="17.140625" style="563" bestFit="1" customWidth="1"/>
    <col min="3837" max="3837" width="6" style="563" customWidth="1"/>
    <col min="3838" max="3838" width="14.7109375" style="563" bestFit="1" customWidth="1"/>
    <col min="3839" max="3839" width="16.5703125" style="563" bestFit="1" customWidth="1"/>
    <col min="3840" max="3840" width="15.28515625" style="563" bestFit="1" customWidth="1"/>
    <col min="3841" max="3841" width="18.42578125" style="563" customWidth="1"/>
    <col min="3842" max="4084" width="9.140625" style="563"/>
    <col min="4085" max="4085" width="13" style="563" customWidth="1"/>
    <col min="4086" max="4086" width="9.140625" style="563" customWidth="1"/>
    <col min="4087" max="4087" width="15.42578125" style="563" bestFit="1" customWidth="1"/>
    <col min="4088" max="4088" width="13" style="563" bestFit="1" customWidth="1"/>
    <col min="4089" max="4089" width="7.7109375" style="563" bestFit="1" customWidth="1"/>
    <col min="4090" max="4090" width="21" style="563" bestFit="1" customWidth="1"/>
    <col min="4091" max="4091" width="15.140625" style="563" bestFit="1" customWidth="1"/>
    <col min="4092" max="4092" width="17.140625" style="563" bestFit="1" customWidth="1"/>
    <col min="4093" max="4093" width="6" style="563" customWidth="1"/>
    <col min="4094" max="4094" width="14.7109375" style="563" bestFit="1" customWidth="1"/>
    <col min="4095" max="4095" width="16.5703125" style="563" bestFit="1" customWidth="1"/>
    <col min="4096" max="4096" width="15.28515625" style="563" bestFit="1" customWidth="1"/>
    <col min="4097" max="4097" width="18.42578125" style="563" customWidth="1"/>
    <col min="4098" max="4340" width="9.140625" style="563"/>
    <col min="4341" max="4341" width="13" style="563" customWidth="1"/>
    <col min="4342" max="4342" width="9.140625" style="563" customWidth="1"/>
    <col min="4343" max="4343" width="15.42578125" style="563" bestFit="1" customWidth="1"/>
    <col min="4344" max="4344" width="13" style="563" bestFit="1" customWidth="1"/>
    <col min="4345" max="4345" width="7.7109375" style="563" bestFit="1" customWidth="1"/>
    <col min="4346" max="4346" width="21" style="563" bestFit="1" customWidth="1"/>
    <col min="4347" max="4347" width="15.140625" style="563" bestFit="1" customWidth="1"/>
    <col min="4348" max="4348" width="17.140625" style="563" bestFit="1" customWidth="1"/>
    <col min="4349" max="4349" width="6" style="563" customWidth="1"/>
    <col min="4350" max="4350" width="14.7109375" style="563" bestFit="1" customWidth="1"/>
    <col min="4351" max="4351" width="16.5703125" style="563" bestFit="1" customWidth="1"/>
    <col min="4352" max="4352" width="15.28515625" style="563" bestFit="1" customWidth="1"/>
    <col min="4353" max="4353" width="18.42578125" style="563" customWidth="1"/>
    <col min="4354" max="4596" width="9.140625" style="563"/>
    <col min="4597" max="4597" width="13" style="563" customWidth="1"/>
    <col min="4598" max="4598" width="9.140625" style="563" customWidth="1"/>
    <col min="4599" max="4599" width="15.42578125" style="563" bestFit="1" customWidth="1"/>
    <col min="4600" max="4600" width="13" style="563" bestFit="1" customWidth="1"/>
    <col min="4601" max="4601" width="7.7109375" style="563" bestFit="1" customWidth="1"/>
    <col min="4602" max="4602" width="21" style="563" bestFit="1" customWidth="1"/>
    <col min="4603" max="4603" width="15.140625" style="563" bestFit="1" customWidth="1"/>
    <col min="4604" max="4604" width="17.140625" style="563" bestFit="1" customWidth="1"/>
    <col min="4605" max="4605" width="6" style="563" customWidth="1"/>
    <col min="4606" max="4606" width="14.7109375" style="563" bestFit="1" customWidth="1"/>
    <col min="4607" max="4607" width="16.5703125" style="563" bestFit="1" customWidth="1"/>
    <col min="4608" max="4608" width="15.28515625" style="563" bestFit="1" customWidth="1"/>
    <col min="4609" max="4609" width="18.42578125" style="563" customWidth="1"/>
    <col min="4610" max="4852" width="9.140625" style="563"/>
    <col min="4853" max="4853" width="13" style="563" customWidth="1"/>
    <col min="4854" max="4854" width="9.140625" style="563" customWidth="1"/>
    <col min="4855" max="4855" width="15.42578125" style="563" bestFit="1" customWidth="1"/>
    <col min="4856" max="4856" width="13" style="563" bestFit="1" customWidth="1"/>
    <col min="4857" max="4857" width="7.7109375" style="563" bestFit="1" customWidth="1"/>
    <col min="4858" max="4858" width="21" style="563" bestFit="1" customWidth="1"/>
    <col min="4859" max="4859" width="15.140625" style="563" bestFit="1" customWidth="1"/>
    <col min="4860" max="4860" width="17.140625" style="563" bestFit="1" customWidth="1"/>
    <col min="4861" max="4861" width="6" style="563" customWidth="1"/>
    <col min="4862" max="4862" width="14.7109375" style="563" bestFit="1" customWidth="1"/>
    <col min="4863" max="4863" width="16.5703125" style="563" bestFit="1" customWidth="1"/>
    <col min="4864" max="4864" width="15.28515625" style="563" bestFit="1" customWidth="1"/>
    <col min="4865" max="4865" width="18.42578125" style="563" customWidth="1"/>
    <col min="4866" max="5108" width="9.140625" style="563"/>
    <col min="5109" max="5109" width="13" style="563" customWidth="1"/>
    <col min="5110" max="5110" width="9.140625" style="563" customWidth="1"/>
    <col min="5111" max="5111" width="15.42578125" style="563" bestFit="1" customWidth="1"/>
    <col min="5112" max="5112" width="13" style="563" bestFit="1" customWidth="1"/>
    <col min="5113" max="5113" width="7.7109375" style="563" bestFit="1" customWidth="1"/>
    <col min="5114" max="5114" width="21" style="563" bestFit="1" customWidth="1"/>
    <col min="5115" max="5115" width="15.140625" style="563" bestFit="1" customWidth="1"/>
    <col min="5116" max="5116" width="17.140625" style="563" bestFit="1" customWidth="1"/>
    <col min="5117" max="5117" width="6" style="563" customWidth="1"/>
    <col min="5118" max="5118" width="14.7109375" style="563" bestFit="1" customWidth="1"/>
    <col min="5119" max="5119" width="16.5703125" style="563" bestFit="1" customWidth="1"/>
    <col min="5120" max="5120" width="15.28515625" style="563" bestFit="1" customWidth="1"/>
    <col min="5121" max="5121" width="18.42578125" style="563" customWidth="1"/>
    <col min="5122" max="5364" width="9.140625" style="563"/>
    <col min="5365" max="5365" width="13" style="563" customWidth="1"/>
    <col min="5366" max="5366" width="9.140625" style="563" customWidth="1"/>
    <col min="5367" max="5367" width="15.42578125" style="563" bestFit="1" customWidth="1"/>
    <col min="5368" max="5368" width="13" style="563" bestFit="1" customWidth="1"/>
    <col min="5369" max="5369" width="7.7109375" style="563" bestFit="1" customWidth="1"/>
    <col min="5370" max="5370" width="21" style="563" bestFit="1" customWidth="1"/>
    <col min="5371" max="5371" width="15.140625" style="563" bestFit="1" customWidth="1"/>
    <col min="5372" max="5372" width="17.140625" style="563" bestFit="1" customWidth="1"/>
    <col min="5373" max="5373" width="6" style="563" customWidth="1"/>
    <col min="5374" max="5374" width="14.7109375" style="563" bestFit="1" customWidth="1"/>
    <col min="5375" max="5375" width="16.5703125" style="563" bestFit="1" customWidth="1"/>
    <col min="5376" max="5376" width="15.28515625" style="563" bestFit="1" customWidth="1"/>
    <col min="5377" max="5377" width="18.42578125" style="563" customWidth="1"/>
    <col min="5378" max="5620" width="9.140625" style="563"/>
    <col min="5621" max="5621" width="13" style="563" customWidth="1"/>
    <col min="5622" max="5622" width="9.140625" style="563" customWidth="1"/>
    <col min="5623" max="5623" width="15.42578125" style="563" bestFit="1" customWidth="1"/>
    <col min="5624" max="5624" width="13" style="563" bestFit="1" customWidth="1"/>
    <col min="5625" max="5625" width="7.7109375" style="563" bestFit="1" customWidth="1"/>
    <col min="5626" max="5626" width="21" style="563" bestFit="1" customWidth="1"/>
    <col min="5627" max="5627" width="15.140625" style="563" bestFit="1" customWidth="1"/>
    <col min="5628" max="5628" width="17.140625" style="563" bestFit="1" customWidth="1"/>
    <col min="5629" max="5629" width="6" style="563" customWidth="1"/>
    <col min="5630" max="5630" width="14.7109375" style="563" bestFit="1" customWidth="1"/>
    <col min="5631" max="5631" width="16.5703125" style="563" bestFit="1" customWidth="1"/>
    <col min="5632" max="5632" width="15.28515625" style="563" bestFit="1" customWidth="1"/>
    <col min="5633" max="5633" width="18.42578125" style="563" customWidth="1"/>
    <col min="5634" max="5876" width="9.140625" style="563"/>
    <col min="5877" max="5877" width="13" style="563" customWidth="1"/>
    <col min="5878" max="5878" width="9.140625" style="563" customWidth="1"/>
    <col min="5879" max="5879" width="15.42578125" style="563" bestFit="1" customWidth="1"/>
    <col min="5880" max="5880" width="13" style="563" bestFit="1" customWidth="1"/>
    <col min="5881" max="5881" width="7.7109375" style="563" bestFit="1" customWidth="1"/>
    <col min="5882" max="5882" width="21" style="563" bestFit="1" customWidth="1"/>
    <col min="5883" max="5883" width="15.140625" style="563" bestFit="1" customWidth="1"/>
    <col min="5884" max="5884" width="17.140625" style="563" bestFit="1" customWidth="1"/>
    <col min="5885" max="5885" width="6" style="563" customWidth="1"/>
    <col min="5886" max="5886" width="14.7109375" style="563" bestFit="1" customWidth="1"/>
    <col min="5887" max="5887" width="16.5703125" style="563" bestFit="1" customWidth="1"/>
    <col min="5888" max="5888" width="15.28515625" style="563" bestFit="1" customWidth="1"/>
    <col min="5889" max="5889" width="18.42578125" style="563" customWidth="1"/>
    <col min="5890" max="6132" width="9.140625" style="563"/>
    <col min="6133" max="6133" width="13" style="563" customWidth="1"/>
    <col min="6134" max="6134" width="9.140625" style="563" customWidth="1"/>
    <col min="6135" max="6135" width="15.42578125" style="563" bestFit="1" customWidth="1"/>
    <col min="6136" max="6136" width="13" style="563" bestFit="1" customWidth="1"/>
    <col min="6137" max="6137" width="7.7109375" style="563" bestFit="1" customWidth="1"/>
    <col min="6138" max="6138" width="21" style="563" bestFit="1" customWidth="1"/>
    <col min="6139" max="6139" width="15.140625" style="563" bestFit="1" customWidth="1"/>
    <col min="6140" max="6140" width="17.140625" style="563" bestFit="1" customWidth="1"/>
    <col min="6141" max="6141" width="6" style="563" customWidth="1"/>
    <col min="6142" max="6142" width="14.7109375" style="563" bestFit="1" customWidth="1"/>
    <col min="6143" max="6143" width="16.5703125" style="563" bestFit="1" customWidth="1"/>
    <col min="6144" max="6144" width="15.28515625" style="563" bestFit="1" customWidth="1"/>
    <col min="6145" max="6145" width="18.42578125" style="563" customWidth="1"/>
    <col min="6146" max="6388" width="9.140625" style="563"/>
    <col min="6389" max="6389" width="13" style="563" customWidth="1"/>
    <col min="6390" max="6390" width="9.140625" style="563" customWidth="1"/>
    <col min="6391" max="6391" width="15.42578125" style="563" bestFit="1" customWidth="1"/>
    <col min="6392" max="6392" width="13" style="563" bestFit="1" customWidth="1"/>
    <col min="6393" max="6393" width="7.7109375" style="563" bestFit="1" customWidth="1"/>
    <col min="6394" max="6394" width="21" style="563" bestFit="1" customWidth="1"/>
    <col min="6395" max="6395" width="15.140625" style="563" bestFit="1" customWidth="1"/>
    <col min="6396" max="6396" width="17.140625" style="563" bestFit="1" customWidth="1"/>
    <col min="6397" max="6397" width="6" style="563" customWidth="1"/>
    <col min="6398" max="6398" width="14.7109375" style="563" bestFit="1" customWidth="1"/>
    <col min="6399" max="6399" width="16.5703125" style="563" bestFit="1" customWidth="1"/>
    <col min="6400" max="6400" width="15.28515625" style="563" bestFit="1" customWidth="1"/>
    <col min="6401" max="6401" width="18.42578125" style="563" customWidth="1"/>
    <col min="6402" max="6644" width="9.140625" style="563"/>
    <col min="6645" max="6645" width="13" style="563" customWidth="1"/>
    <col min="6646" max="6646" width="9.140625" style="563" customWidth="1"/>
    <col min="6647" max="6647" width="15.42578125" style="563" bestFit="1" customWidth="1"/>
    <col min="6648" max="6648" width="13" style="563" bestFit="1" customWidth="1"/>
    <col min="6649" max="6649" width="7.7109375" style="563" bestFit="1" customWidth="1"/>
    <col min="6650" max="6650" width="21" style="563" bestFit="1" customWidth="1"/>
    <col min="6651" max="6651" width="15.140625" style="563" bestFit="1" customWidth="1"/>
    <col min="6652" max="6652" width="17.140625" style="563" bestFit="1" customWidth="1"/>
    <col min="6653" max="6653" width="6" style="563" customWidth="1"/>
    <col min="6654" max="6654" width="14.7109375" style="563" bestFit="1" customWidth="1"/>
    <col min="6655" max="6655" width="16.5703125" style="563" bestFit="1" customWidth="1"/>
    <col min="6656" max="6656" width="15.28515625" style="563" bestFit="1" customWidth="1"/>
    <col min="6657" max="6657" width="18.42578125" style="563" customWidth="1"/>
    <col min="6658" max="6900" width="9.140625" style="563"/>
    <col min="6901" max="6901" width="13" style="563" customWidth="1"/>
    <col min="6902" max="6902" width="9.140625" style="563" customWidth="1"/>
    <col min="6903" max="6903" width="15.42578125" style="563" bestFit="1" customWidth="1"/>
    <col min="6904" max="6904" width="13" style="563" bestFit="1" customWidth="1"/>
    <col min="6905" max="6905" width="7.7109375" style="563" bestFit="1" customWidth="1"/>
    <col min="6906" max="6906" width="21" style="563" bestFit="1" customWidth="1"/>
    <col min="6907" max="6907" width="15.140625" style="563" bestFit="1" customWidth="1"/>
    <col min="6908" max="6908" width="17.140625" style="563" bestFit="1" customWidth="1"/>
    <col min="6909" max="6909" width="6" style="563" customWidth="1"/>
    <col min="6910" max="6910" width="14.7109375" style="563" bestFit="1" customWidth="1"/>
    <col min="6911" max="6911" width="16.5703125" style="563" bestFit="1" customWidth="1"/>
    <col min="6912" max="6912" width="15.28515625" style="563" bestFit="1" customWidth="1"/>
    <col min="6913" max="6913" width="18.42578125" style="563" customWidth="1"/>
    <col min="6914" max="7156" width="9.140625" style="563"/>
    <col min="7157" max="7157" width="13" style="563" customWidth="1"/>
    <col min="7158" max="7158" width="9.140625" style="563" customWidth="1"/>
    <col min="7159" max="7159" width="15.42578125" style="563" bestFit="1" customWidth="1"/>
    <col min="7160" max="7160" width="13" style="563" bestFit="1" customWidth="1"/>
    <col min="7161" max="7161" width="7.7109375" style="563" bestFit="1" customWidth="1"/>
    <col min="7162" max="7162" width="21" style="563" bestFit="1" customWidth="1"/>
    <col min="7163" max="7163" width="15.140625" style="563" bestFit="1" customWidth="1"/>
    <col min="7164" max="7164" width="17.140625" style="563" bestFit="1" customWidth="1"/>
    <col min="7165" max="7165" width="6" style="563" customWidth="1"/>
    <col min="7166" max="7166" width="14.7109375" style="563" bestFit="1" customWidth="1"/>
    <col min="7167" max="7167" width="16.5703125" style="563" bestFit="1" customWidth="1"/>
    <col min="7168" max="7168" width="15.28515625" style="563" bestFit="1" customWidth="1"/>
    <col min="7169" max="7169" width="18.42578125" style="563" customWidth="1"/>
    <col min="7170" max="7412" width="9.140625" style="563"/>
    <col min="7413" max="7413" width="13" style="563" customWidth="1"/>
    <col min="7414" max="7414" width="9.140625" style="563" customWidth="1"/>
    <col min="7415" max="7415" width="15.42578125" style="563" bestFit="1" customWidth="1"/>
    <col min="7416" max="7416" width="13" style="563" bestFit="1" customWidth="1"/>
    <col min="7417" max="7417" width="7.7109375" style="563" bestFit="1" customWidth="1"/>
    <col min="7418" max="7418" width="21" style="563" bestFit="1" customWidth="1"/>
    <col min="7419" max="7419" width="15.140625" style="563" bestFit="1" customWidth="1"/>
    <col min="7420" max="7420" width="17.140625" style="563" bestFit="1" customWidth="1"/>
    <col min="7421" max="7421" width="6" style="563" customWidth="1"/>
    <col min="7422" max="7422" width="14.7109375" style="563" bestFit="1" customWidth="1"/>
    <col min="7423" max="7423" width="16.5703125" style="563" bestFit="1" customWidth="1"/>
    <col min="7424" max="7424" width="15.28515625" style="563" bestFit="1" customWidth="1"/>
    <col min="7425" max="7425" width="18.42578125" style="563" customWidth="1"/>
    <col min="7426" max="7668" width="9.140625" style="563"/>
    <col min="7669" max="7669" width="13" style="563" customWidth="1"/>
    <col min="7670" max="7670" width="9.140625" style="563" customWidth="1"/>
    <col min="7671" max="7671" width="15.42578125" style="563" bestFit="1" customWidth="1"/>
    <col min="7672" max="7672" width="13" style="563" bestFit="1" customWidth="1"/>
    <col min="7673" max="7673" width="7.7109375" style="563" bestFit="1" customWidth="1"/>
    <col min="7674" max="7674" width="21" style="563" bestFit="1" customWidth="1"/>
    <col min="7675" max="7675" width="15.140625" style="563" bestFit="1" customWidth="1"/>
    <col min="7676" max="7676" width="17.140625" style="563" bestFit="1" customWidth="1"/>
    <col min="7677" max="7677" width="6" style="563" customWidth="1"/>
    <col min="7678" max="7678" width="14.7109375" style="563" bestFit="1" customWidth="1"/>
    <col min="7679" max="7679" width="16.5703125" style="563" bestFit="1" customWidth="1"/>
    <col min="7680" max="7680" width="15.28515625" style="563" bestFit="1" customWidth="1"/>
    <col min="7681" max="7681" width="18.42578125" style="563" customWidth="1"/>
    <col min="7682" max="7924" width="9.140625" style="563"/>
    <col min="7925" max="7925" width="13" style="563" customWidth="1"/>
    <col min="7926" max="7926" width="9.140625" style="563" customWidth="1"/>
    <col min="7927" max="7927" width="15.42578125" style="563" bestFit="1" customWidth="1"/>
    <col min="7928" max="7928" width="13" style="563" bestFit="1" customWidth="1"/>
    <col min="7929" max="7929" width="7.7109375" style="563" bestFit="1" customWidth="1"/>
    <col min="7930" max="7930" width="21" style="563" bestFit="1" customWidth="1"/>
    <col min="7931" max="7931" width="15.140625" style="563" bestFit="1" customWidth="1"/>
    <col min="7932" max="7932" width="17.140625" style="563" bestFit="1" customWidth="1"/>
    <col min="7933" max="7933" width="6" style="563" customWidth="1"/>
    <col min="7934" max="7934" width="14.7109375" style="563" bestFit="1" customWidth="1"/>
    <col min="7935" max="7935" width="16.5703125" style="563" bestFit="1" customWidth="1"/>
    <col min="7936" max="7936" width="15.28515625" style="563" bestFit="1" customWidth="1"/>
    <col min="7937" max="7937" width="18.42578125" style="563" customWidth="1"/>
    <col min="7938" max="8180" width="9.140625" style="563"/>
    <col min="8181" max="8181" width="13" style="563" customWidth="1"/>
    <col min="8182" max="8182" width="9.140625" style="563" customWidth="1"/>
    <col min="8183" max="8183" width="15.42578125" style="563" bestFit="1" customWidth="1"/>
    <col min="8184" max="8184" width="13" style="563" bestFit="1" customWidth="1"/>
    <col min="8185" max="8185" width="7.7109375" style="563" bestFit="1" customWidth="1"/>
    <col min="8186" max="8186" width="21" style="563" bestFit="1" customWidth="1"/>
    <col min="8187" max="8187" width="15.140625" style="563" bestFit="1" customWidth="1"/>
    <col min="8188" max="8188" width="17.140625" style="563" bestFit="1" customWidth="1"/>
    <col min="8189" max="8189" width="6" style="563" customWidth="1"/>
    <col min="8190" max="8190" width="14.7109375" style="563" bestFit="1" customWidth="1"/>
    <col min="8191" max="8191" width="16.5703125" style="563" bestFit="1" customWidth="1"/>
    <col min="8192" max="8192" width="15.28515625" style="563" bestFit="1" customWidth="1"/>
    <col min="8193" max="8193" width="18.42578125" style="563" customWidth="1"/>
    <col min="8194" max="8436" width="9.140625" style="563"/>
    <col min="8437" max="8437" width="13" style="563" customWidth="1"/>
    <col min="8438" max="8438" width="9.140625" style="563" customWidth="1"/>
    <col min="8439" max="8439" width="15.42578125" style="563" bestFit="1" customWidth="1"/>
    <col min="8440" max="8440" width="13" style="563" bestFit="1" customWidth="1"/>
    <col min="8441" max="8441" width="7.7109375" style="563" bestFit="1" customWidth="1"/>
    <col min="8442" max="8442" width="21" style="563" bestFit="1" customWidth="1"/>
    <col min="8443" max="8443" width="15.140625" style="563" bestFit="1" customWidth="1"/>
    <col min="8444" max="8444" width="17.140625" style="563" bestFit="1" customWidth="1"/>
    <col min="8445" max="8445" width="6" style="563" customWidth="1"/>
    <col min="8446" max="8446" width="14.7109375" style="563" bestFit="1" customWidth="1"/>
    <col min="8447" max="8447" width="16.5703125" style="563" bestFit="1" customWidth="1"/>
    <col min="8448" max="8448" width="15.28515625" style="563" bestFit="1" customWidth="1"/>
    <col min="8449" max="8449" width="18.42578125" style="563" customWidth="1"/>
    <col min="8450" max="8692" width="9.140625" style="563"/>
    <col min="8693" max="8693" width="13" style="563" customWidth="1"/>
    <col min="8694" max="8694" width="9.140625" style="563" customWidth="1"/>
    <col min="8695" max="8695" width="15.42578125" style="563" bestFit="1" customWidth="1"/>
    <col min="8696" max="8696" width="13" style="563" bestFit="1" customWidth="1"/>
    <col min="8697" max="8697" width="7.7109375" style="563" bestFit="1" customWidth="1"/>
    <col min="8698" max="8698" width="21" style="563" bestFit="1" customWidth="1"/>
    <col min="8699" max="8699" width="15.140625" style="563" bestFit="1" customWidth="1"/>
    <col min="8700" max="8700" width="17.140625" style="563" bestFit="1" customWidth="1"/>
    <col min="8701" max="8701" width="6" style="563" customWidth="1"/>
    <col min="8702" max="8702" width="14.7109375" style="563" bestFit="1" customWidth="1"/>
    <col min="8703" max="8703" width="16.5703125" style="563" bestFit="1" customWidth="1"/>
    <col min="8704" max="8704" width="15.28515625" style="563" bestFit="1" customWidth="1"/>
    <col min="8705" max="8705" width="18.42578125" style="563" customWidth="1"/>
    <col min="8706" max="8948" width="9.140625" style="563"/>
    <col min="8949" max="8949" width="13" style="563" customWidth="1"/>
    <col min="8950" max="8950" width="9.140625" style="563" customWidth="1"/>
    <col min="8951" max="8951" width="15.42578125" style="563" bestFit="1" customWidth="1"/>
    <col min="8952" max="8952" width="13" style="563" bestFit="1" customWidth="1"/>
    <col min="8953" max="8953" width="7.7109375" style="563" bestFit="1" customWidth="1"/>
    <col min="8954" max="8954" width="21" style="563" bestFit="1" customWidth="1"/>
    <col min="8955" max="8955" width="15.140625" style="563" bestFit="1" customWidth="1"/>
    <col min="8956" max="8956" width="17.140625" style="563" bestFit="1" customWidth="1"/>
    <col min="8957" max="8957" width="6" style="563" customWidth="1"/>
    <col min="8958" max="8958" width="14.7109375" style="563" bestFit="1" customWidth="1"/>
    <col min="8959" max="8959" width="16.5703125" style="563" bestFit="1" customWidth="1"/>
    <col min="8960" max="8960" width="15.28515625" style="563" bestFit="1" customWidth="1"/>
    <col min="8961" max="8961" width="18.42578125" style="563" customWidth="1"/>
    <col min="8962" max="9204" width="9.140625" style="563"/>
    <col min="9205" max="9205" width="13" style="563" customWidth="1"/>
    <col min="9206" max="9206" width="9.140625" style="563" customWidth="1"/>
    <col min="9207" max="9207" width="15.42578125" style="563" bestFit="1" customWidth="1"/>
    <col min="9208" max="9208" width="13" style="563" bestFit="1" customWidth="1"/>
    <col min="9209" max="9209" width="7.7109375" style="563" bestFit="1" customWidth="1"/>
    <col min="9210" max="9210" width="21" style="563" bestFit="1" customWidth="1"/>
    <col min="9211" max="9211" width="15.140625" style="563" bestFit="1" customWidth="1"/>
    <col min="9212" max="9212" width="17.140625" style="563" bestFit="1" customWidth="1"/>
    <col min="9213" max="9213" width="6" style="563" customWidth="1"/>
    <col min="9214" max="9214" width="14.7109375" style="563" bestFit="1" customWidth="1"/>
    <col min="9215" max="9215" width="16.5703125" style="563" bestFit="1" customWidth="1"/>
    <col min="9216" max="9216" width="15.28515625" style="563" bestFit="1" customWidth="1"/>
    <col min="9217" max="9217" width="18.42578125" style="563" customWidth="1"/>
    <col min="9218" max="9460" width="9.140625" style="563"/>
    <col min="9461" max="9461" width="13" style="563" customWidth="1"/>
    <col min="9462" max="9462" width="9.140625" style="563" customWidth="1"/>
    <col min="9463" max="9463" width="15.42578125" style="563" bestFit="1" customWidth="1"/>
    <col min="9464" max="9464" width="13" style="563" bestFit="1" customWidth="1"/>
    <col min="9465" max="9465" width="7.7109375" style="563" bestFit="1" customWidth="1"/>
    <col min="9466" max="9466" width="21" style="563" bestFit="1" customWidth="1"/>
    <col min="9467" max="9467" width="15.140625" style="563" bestFit="1" customWidth="1"/>
    <col min="9468" max="9468" width="17.140625" style="563" bestFit="1" customWidth="1"/>
    <col min="9469" max="9469" width="6" style="563" customWidth="1"/>
    <col min="9470" max="9470" width="14.7109375" style="563" bestFit="1" customWidth="1"/>
    <col min="9471" max="9471" width="16.5703125" style="563" bestFit="1" customWidth="1"/>
    <col min="9472" max="9472" width="15.28515625" style="563" bestFit="1" customWidth="1"/>
    <col min="9473" max="9473" width="18.42578125" style="563" customWidth="1"/>
    <col min="9474" max="9716" width="9.140625" style="563"/>
    <col min="9717" max="9717" width="13" style="563" customWidth="1"/>
    <col min="9718" max="9718" width="9.140625" style="563" customWidth="1"/>
    <col min="9719" max="9719" width="15.42578125" style="563" bestFit="1" customWidth="1"/>
    <col min="9720" max="9720" width="13" style="563" bestFit="1" customWidth="1"/>
    <col min="9721" max="9721" width="7.7109375" style="563" bestFit="1" customWidth="1"/>
    <col min="9722" max="9722" width="21" style="563" bestFit="1" customWidth="1"/>
    <col min="9723" max="9723" width="15.140625" style="563" bestFit="1" customWidth="1"/>
    <col min="9724" max="9724" width="17.140625" style="563" bestFit="1" customWidth="1"/>
    <col min="9725" max="9725" width="6" style="563" customWidth="1"/>
    <col min="9726" max="9726" width="14.7109375" style="563" bestFit="1" customWidth="1"/>
    <col min="9727" max="9727" width="16.5703125" style="563" bestFit="1" customWidth="1"/>
    <col min="9728" max="9728" width="15.28515625" style="563" bestFit="1" customWidth="1"/>
    <col min="9729" max="9729" width="18.42578125" style="563" customWidth="1"/>
    <col min="9730" max="9972" width="9.140625" style="563"/>
    <col min="9973" max="9973" width="13" style="563" customWidth="1"/>
    <col min="9974" max="9974" width="9.140625" style="563" customWidth="1"/>
    <col min="9975" max="9975" width="15.42578125" style="563" bestFit="1" customWidth="1"/>
    <col min="9976" max="9976" width="13" style="563" bestFit="1" customWidth="1"/>
    <col min="9977" max="9977" width="7.7109375" style="563" bestFit="1" customWidth="1"/>
    <col min="9978" max="9978" width="21" style="563" bestFit="1" customWidth="1"/>
    <col min="9979" max="9979" width="15.140625" style="563" bestFit="1" customWidth="1"/>
    <col min="9980" max="9980" width="17.140625" style="563" bestFit="1" customWidth="1"/>
    <col min="9981" max="9981" width="6" style="563" customWidth="1"/>
    <col min="9982" max="9982" width="14.7109375" style="563" bestFit="1" customWidth="1"/>
    <col min="9983" max="9983" width="16.5703125" style="563" bestFit="1" customWidth="1"/>
    <col min="9984" max="9984" width="15.28515625" style="563" bestFit="1" customWidth="1"/>
    <col min="9985" max="9985" width="18.42578125" style="563" customWidth="1"/>
    <col min="9986" max="10228" width="9.140625" style="563"/>
    <col min="10229" max="10229" width="13" style="563" customWidth="1"/>
    <col min="10230" max="10230" width="9.140625" style="563" customWidth="1"/>
    <col min="10231" max="10231" width="15.42578125" style="563" bestFit="1" customWidth="1"/>
    <col min="10232" max="10232" width="13" style="563" bestFit="1" customWidth="1"/>
    <col min="10233" max="10233" width="7.7109375" style="563" bestFit="1" customWidth="1"/>
    <col min="10234" max="10234" width="21" style="563" bestFit="1" customWidth="1"/>
    <col min="10235" max="10235" width="15.140625" style="563" bestFit="1" customWidth="1"/>
    <col min="10236" max="10236" width="17.140625" style="563" bestFit="1" customWidth="1"/>
    <col min="10237" max="10237" width="6" style="563" customWidth="1"/>
    <col min="10238" max="10238" width="14.7109375" style="563" bestFit="1" customWidth="1"/>
    <col min="10239" max="10239" width="16.5703125" style="563" bestFit="1" customWidth="1"/>
    <col min="10240" max="10240" width="15.28515625" style="563" bestFit="1" customWidth="1"/>
    <col min="10241" max="10241" width="18.42578125" style="563" customWidth="1"/>
    <col min="10242" max="10484" width="9.140625" style="563"/>
    <col min="10485" max="10485" width="13" style="563" customWidth="1"/>
    <col min="10486" max="10486" width="9.140625" style="563" customWidth="1"/>
    <col min="10487" max="10487" width="15.42578125" style="563" bestFit="1" customWidth="1"/>
    <col min="10488" max="10488" width="13" style="563" bestFit="1" customWidth="1"/>
    <col min="10489" max="10489" width="7.7109375" style="563" bestFit="1" customWidth="1"/>
    <col min="10490" max="10490" width="21" style="563" bestFit="1" customWidth="1"/>
    <col min="10491" max="10491" width="15.140625" style="563" bestFit="1" customWidth="1"/>
    <col min="10492" max="10492" width="17.140625" style="563" bestFit="1" customWidth="1"/>
    <col min="10493" max="10493" width="6" style="563" customWidth="1"/>
    <col min="10494" max="10494" width="14.7109375" style="563" bestFit="1" customWidth="1"/>
    <col min="10495" max="10495" width="16.5703125" style="563" bestFit="1" customWidth="1"/>
    <col min="10496" max="10496" width="15.28515625" style="563" bestFit="1" customWidth="1"/>
    <col min="10497" max="10497" width="18.42578125" style="563" customWidth="1"/>
    <col min="10498" max="10740" width="9.140625" style="563"/>
    <col min="10741" max="10741" width="13" style="563" customWidth="1"/>
    <col min="10742" max="10742" width="9.140625" style="563" customWidth="1"/>
    <col min="10743" max="10743" width="15.42578125" style="563" bestFit="1" customWidth="1"/>
    <col min="10744" max="10744" width="13" style="563" bestFit="1" customWidth="1"/>
    <col min="10745" max="10745" width="7.7109375" style="563" bestFit="1" customWidth="1"/>
    <col min="10746" max="10746" width="21" style="563" bestFit="1" customWidth="1"/>
    <col min="10747" max="10747" width="15.140625" style="563" bestFit="1" customWidth="1"/>
    <col min="10748" max="10748" width="17.140625" style="563" bestFit="1" customWidth="1"/>
    <col min="10749" max="10749" width="6" style="563" customWidth="1"/>
    <col min="10750" max="10750" width="14.7109375" style="563" bestFit="1" customWidth="1"/>
    <col min="10751" max="10751" width="16.5703125" style="563" bestFit="1" customWidth="1"/>
    <col min="10752" max="10752" width="15.28515625" style="563" bestFit="1" customWidth="1"/>
    <col min="10753" max="10753" width="18.42578125" style="563" customWidth="1"/>
    <col min="10754" max="10996" width="9.140625" style="563"/>
    <col min="10997" max="10997" width="13" style="563" customWidth="1"/>
    <col min="10998" max="10998" width="9.140625" style="563" customWidth="1"/>
    <col min="10999" max="10999" width="15.42578125" style="563" bestFit="1" customWidth="1"/>
    <col min="11000" max="11000" width="13" style="563" bestFit="1" customWidth="1"/>
    <col min="11001" max="11001" width="7.7109375" style="563" bestFit="1" customWidth="1"/>
    <col min="11002" max="11002" width="21" style="563" bestFit="1" customWidth="1"/>
    <col min="11003" max="11003" width="15.140625" style="563" bestFit="1" customWidth="1"/>
    <col min="11004" max="11004" width="17.140625" style="563" bestFit="1" customWidth="1"/>
    <col min="11005" max="11005" width="6" style="563" customWidth="1"/>
    <col min="11006" max="11006" width="14.7109375" style="563" bestFit="1" customWidth="1"/>
    <col min="11007" max="11007" width="16.5703125" style="563" bestFit="1" customWidth="1"/>
    <col min="11008" max="11008" width="15.28515625" style="563" bestFit="1" customWidth="1"/>
    <col min="11009" max="11009" width="18.42578125" style="563" customWidth="1"/>
    <col min="11010" max="11252" width="9.140625" style="563"/>
    <col min="11253" max="11253" width="13" style="563" customWidth="1"/>
    <col min="11254" max="11254" width="9.140625" style="563" customWidth="1"/>
    <col min="11255" max="11255" width="15.42578125" style="563" bestFit="1" customWidth="1"/>
    <col min="11256" max="11256" width="13" style="563" bestFit="1" customWidth="1"/>
    <col min="11257" max="11257" width="7.7109375" style="563" bestFit="1" customWidth="1"/>
    <col min="11258" max="11258" width="21" style="563" bestFit="1" customWidth="1"/>
    <col min="11259" max="11259" width="15.140625" style="563" bestFit="1" customWidth="1"/>
    <col min="11260" max="11260" width="17.140625" style="563" bestFit="1" customWidth="1"/>
    <col min="11261" max="11261" width="6" style="563" customWidth="1"/>
    <col min="11262" max="11262" width="14.7109375" style="563" bestFit="1" customWidth="1"/>
    <col min="11263" max="11263" width="16.5703125" style="563" bestFit="1" customWidth="1"/>
    <col min="11264" max="11264" width="15.28515625" style="563" bestFit="1" customWidth="1"/>
    <col min="11265" max="11265" width="18.42578125" style="563" customWidth="1"/>
    <col min="11266" max="11508" width="9.140625" style="563"/>
    <col min="11509" max="11509" width="13" style="563" customWidth="1"/>
    <col min="11510" max="11510" width="9.140625" style="563" customWidth="1"/>
    <col min="11511" max="11511" width="15.42578125" style="563" bestFit="1" customWidth="1"/>
    <col min="11512" max="11512" width="13" style="563" bestFit="1" customWidth="1"/>
    <col min="11513" max="11513" width="7.7109375" style="563" bestFit="1" customWidth="1"/>
    <col min="11514" max="11514" width="21" style="563" bestFit="1" customWidth="1"/>
    <col min="11515" max="11515" width="15.140625" style="563" bestFit="1" customWidth="1"/>
    <col min="11516" max="11516" width="17.140625" style="563" bestFit="1" customWidth="1"/>
    <col min="11517" max="11517" width="6" style="563" customWidth="1"/>
    <col min="11518" max="11518" width="14.7109375" style="563" bestFit="1" customWidth="1"/>
    <col min="11519" max="11519" width="16.5703125" style="563" bestFit="1" customWidth="1"/>
    <col min="11520" max="11520" width="15.28515625" style="563" bestFit="1" customWidth="1"/>
    <col min="11521" max="11521" width="18.42578125" style="563" customWidth="1"/>
    <col min="11522" max="11764" width="9.140625" style="563"/>
    <col min="11765" max="11765" width="13" style="563" customWidth="1"/>
    <col min="11766" max="11766" width="9.140625" style="563" customWidth="1"/>
    <col min="11767" max="11767" width="15.42578125" style="563" bestFit="1" customWidth="1"/>
    <col min="11768" max="11768" width="13" style="563" bestFit="1" customWidth="1"/>
    <col min="11769" max="11769" width="7.7109375" style="563" bestFit="1" customWidth="1"/>
    <col min="11770" max="11770" width="21" style="563" bestFit="1" customWidth="1"/>
    <col min="11771" max="11771" width="15.140625" style="563" bestFit="1" customWidth="1"/>
    <col min="11772" max="11772" width="17.140625" style="563" bestFit="1" customWidth="1"/>
    <col min="11773" max="11773" width="6" style="563" customWidth="1"/>
    <col min="11774" max="11774" width="14.7109375" style="563" bestFit="1" customWidth="1"/>
    <col min="11775" max="11775" width="16.5703125" style="563" bestFit="1" customWidth="1"/>
    <col min="11776" max="11776" width="15.28515625" style="563" bestFit="1" customWidth="1"/>
    <col min="11777" max="11777" width="18.42578125" style="563" customWidth="1"/>
    <col min="11778" max="12020" width="9.140625" style="563"/>
    <col min="12021" max="12021" width="13" style="563" customWidth="1"/>
    <col min="12022" max="12022" width="9.140625" style="563" customWidth="1"/>
    <col min="12023" max="12023" width="15.42578125" style="563" bestFit="1" customWidth="1"/>
    <col min="12024" max="12024" width="13" style="563" bestFit="1" customWidth="1"/>
    <col min="12025" max="12025" width="7.7109375" style="563" bestFit="1" customWidth="1"/>
    <col min="12026" max="12026" width="21" style="563" bestFit="1" customWidth="1"/>
    <col min="12027" max="12027" width="15.140625" style="563" bestFit="1" customWidth="1"/>
    <col min="12028" max="12028" width="17.140625" style="563" bestFit="1" customWidth="1"/>
    <col min="12029" max="12029" width="6" style="563" customWidth="1"/>
    <col min="12030" max="12030" width="14.7109375" style="563" bestFit="1" customWidth="1"/>
    <col min="12031" max="12031" width="16.5703125" style="563" bestFit="1" customWidth="1"/>
    <col min="12032" max="12032" width="15.28515625" style="563" bestFit="1" customWidth="1"/>
    <col min="12033" max="12033" width="18.42578125" style="563" customWidth="1"/>
    <col min="12034" max="12276" width="9.140625" style="563"/>
    <col min="12277" max="12277" width="13" style="563" customWidth="1"/>
    <col min="12278" max="12278" width="9.140625" style="563" customWidth="1"/>
    <col min="12279" max="12279" width="15.42578125" style="563" bestFit="1" customWidth="1"/>
    <col min="12280" max="12280" width="13" style="563" bestFit="1" customWidth="1"/>
    <col min="12281" max="12281" width="7.7109375" style="563" bestFit="1" customWidth="1"/>
    <col min="12282" max="12282" width="21" style="563" bestFit="1" customWidth="1"/>
    <col min="12283" max="12283" width="15.140625" style="563" bestFit="1" customWidth="1"/>
    <col min="12284" max="12284" width="17.140625" style="563" bestFit="1" customWidth="1"/>
    <col min="12285" max="12285" width="6" style="563" customWidth="1"/>
    <col min="12286" max="12286" width="14.7109375" style="563" bestFit="1" customWidth="1"/>
    <col min="12287" max="12287" width="16.5703125" style="563" bestFit="1" customWidth="1"/>
    <col min="12288" max="12288" width="15.28515625" style="563" bestFit="1" customWidth="1"/>
    <col min="12289" max="12289" width="18.42578125" style="563" customWidth="1"/>
    <col min="12290" max="12532" width="9.140625" style="563"/>
    <col min="12533" max="12533" width="13" style="563" customWidth="1"/>
    <col min="12534" max="12534" width="9.140625" style="563" customWidth="1"/>
    <col min="12535" max="12535" width="15.42578125" style="563" bestFit="1" customWidth="1"/>
    <col min="12536" max="12536" width="13" style="563" bestFit="1" customWidth="1"/>
    <col min="12537" max="12537" width="7.7109375" style="563" bestFit="1" customWidth="1"/>
    <col min="12538" max="12538" width="21" style="563" bestFit="1" customWidth="1"/>
    <col min="12539" max="12539" width="15.140625" style="563" bestFit="1" customWidth="1"/>
    <col min="12540" max="12540" width="17.140625" style="563" bestFit="1" customWidth="1"/>
    <col min="12541" max="12541" width="6" style="563" customWidth="1"/>
    <col min="12542" max="12542" width="14.7109375" style="563" bestFit="1" customWidth="1"/>
    <col min="12543" max="12543" width="16.5703125" style="563" bestFit="1" customWidth="1"/>
    <col min="12544" max="12544" width="15.28515625" style="563" bestFit="1" customWidth="1"/>
    <col min="12545" max="12545" width="18.42578125" style="563" customWidth="1"/>
    <col min="12546" max="12788" width="9.140625" style="563"/>
    <col min="12789" max="12789" width="13" style="563" customWidth="1"/>
    <col min="12790" max="12790" width="9.140625" style="563" customWidth="1"/>
    <col min="12791" max="12791" width="15.42578125" style="563" bestFit="1" customWidth="1"/>
    <col min="12792" max="12792" width="13" style="563" bestFit="1" customWidth="1"/>
    <col min="12793" max="12793" width="7.7109375" style="563" bestFit="1" customWidth="1"/>
    <col min="12794" max="12794" width="21" style="563" bestFit="1" customWidth="1"/>
    <col min="12795" max="12795" width="15.140625" style="563" bestFit="1" customWidth="1"/>
    <col min="12796" max="12796" width="17.140625" style="563" bestFit="1" customWidth="1"/>
    <col min="12797" max="12797" width="6" style="563" customWidth="1"/>
    <col min="12798" max="12798" width="14.7109375" style="563" bestFit="1" customWidth="1"/>
    <col min="12799" max="12799" width="16.5703125" style="563" bestFit="1" customWidth="1"/>
    <col min="12800" max="12800" width="15.28515625" style="563" bestFit="1" customWidth="1"/>
    <col min="12801" max="12801" width="18.42578125" style="563" customWidth="1"/>
    <col min="12802" max="13044" width="9.140625" style="563"/>
    <col min="13045" max="13045" width="13" style="563" customWidth="1"/>
    <col min="13046" max="13046" width="9.140625" style="563" customWidth="1"/>
    <col min="13047" max="13047" width="15.42578125" style="563" bestFit="1" customWidth="1"/>
    <col min="13048" max="13048" width="13" style="563" bestFit="1" customWidth="1"/>
    <col min="13049" max="13049" width="7.7109375" style="563" bestFit="1" customWidth="1"/>
    <col min="13050" max="13050" width="21" style="563" bestFit="1" customWidth="1"/>
    <col min="13051" max="13051" width="15.140625" style="563" bestFit="1" customWidth="1"/>
    <col min="13052" max="13052" width="17.140625" style="563" bestFit="1" customWidth="1"/>
    <col min="13053" max="13053" width="6" style="563" customWidth="1"/>
    <col min="13054" max="13054" width="14.7109375" style="563" bestFit="1" customWidth="1"/>
    <col min="13055" max="13055" width="16.5703125" style="563" bestFit="1" customWidth="1"/>
    <col min="13056" max="13056" width="15.28515625" style="563" bestFit="1" customWidth="1"/>
    <col min="13057" max="13057" width="18.42578125" style="563" customWidth="1"/>
    <col min="13058" max="13300" width="9.140625" style="563"/>
    <col min="13301" max="13301" width="13" style="563" customWidth="1"/>
    <col min="13302" max="13302" width="9.140625" style="563" customWidth="1"/>
    <col min="13303" max="13303" width="15.42578125" style="563" bestFit="1" customWidth="1"/>
    <col min="13304" max="13304" width="13" style="563" bestFit="1" customWidth="1"/>
    <col min="13305" max="13305" width="7.7109375" style="563" bestFit="1" customWidth="1"/>
    <col min="13306" max="13306" width="21" style="563" bestFit="1" customWidth="1"/>
    <col min="13307" max="13307" width="15.140625" style="563" bestFit="1" customWidth="1"/>
    <col min="13308" max="13308" width="17.140625" style="563" bestFit="1" customWidth="1"/>
    <col min="13309" max="13309" width="6" style="563" customWidth="1"/>
    <col min="13310" max="13310" width="14.7109375" style="563" bestFit="1" customWidth="1"/>
    <col min="13311" max="13311" width="16.5703125" style="563" bestFit="1" customWidth="1"/>
    <col min="13312" max="13312" width="15.28515625" style="563" bestFit="1" customWidth="1"/>
    <col min="13313" max="13313" width="18.42578125" style="563" customWidth="1"/>
    <col min="13314" max="13556" width="9.140625" style="563"/>
    <col min="13557" max="13557" width="13" style="563" customWidth="1"/>
    <col min="13558" max="13558" width="9.140625" style="563" customWidth="1"/>
    <col min="13559" max="13559" width="15.42578125" style="563" bestFit="1" customWidth="1"/>
    <col min="13560" max="13560" width="13" style="563" bestFit="1" customWidth="1"/>
    <col min="13561" max="13561" width="7.7109375" style="563" bestFit="1" customWidth="1"/>
    <col min="13562" max="13562" width="21" style="563" bestFit="1" customWidth="1"/>
    <col min="13563" max="13563" width="15.140625" style="563" bestFit="1" customWidth="1"/>
    <col min="13564" max="13564" width="17.140625" style="563" bestFit="1" customWidth="1"/>
    <col min="13565" max="13565" width="6" style="563" customWidth="1"/>
    <col min="13566" max="13566" width="14.7109375" style="563" bestFit="1" customWidth="1"/>
    <col min="13567" max="13567" width="16.5703125" style="563" bestFit="1" customWidth="1"/>
    <col min="13568" max="13568" width="15.28515625" style="563" bestFit="1" customWidth="1"/>
    <col min="13569" max="13569" width="18.42578125" style="563" customWidth="1"/>
    <col min="13570" max="13812" width="9.140625" style="563"/>
    <col min="13813" max="13813" width="13" style="563" customWidth="1"/>
    <col min="13814" max="13814" width="9.140625" style="563" customWidth="1"/>
    <col min="13815" max="13815" width="15.42578125" style="563" bestFit="1" customWidth="1"/>
    <col min="13816" max="13816" width="13" style="563" bestFit="1" customWidth="1"/>
    <col min="13817" max="13817" width="7.7109375" style="563" bestFit="1" customWidth="1"/>
    <col min="13818" max="13818" width="21" style="563" bestFit="1" customWidth="1"/>
    <col min="13819" max="13819" width="15.140625" style="563" bestFit="1" customWidth="1"/>
    <col min="13820" max="13820" width="17.140625" style="563" bestFit="1" customWidth="1"/>
    <col min="13821" max="13821" width="6" style="563" customWidth="1"/>
    <col min="13822" max="13822" width="14.7109375" style="563" bestFit="1" customWidth="1"/>
    <col min="13823" max="13823" width="16.5703125" style="563" bestFit="1" customWidth="1"/>
    <col min="13824" max="13824" width="15.28515625" style="563" bestFit="1" customWidth="1"/>
    <col min="13825" max="13825" width="18.42578125" style="563" customWidth="1"/>
    <col min="13826" max="14068" width="9.140625" style="563"/>
    <col min="14069" max="14069" width="13" style="563" customWidth="1"/>
    <col min="14070" max="14070" width="9.140625" style="563" customWidth="1"/>
    <col min="14071" max="14071" width="15.42578125" style="563" bestFit="1" customWidth="1"/>
    <col min="14072" max="14072" width="13" style="563" bestFit="1" customWidth="1"/>
    <col min="14073" max="14073" width="7.7109375" style="563" bestFit="1" customWidth="1"/>
    <col min="14074" max="14074" width="21" style="563" bestFit="1" customWidth="1"/>
    <col min="14075" max="14075" width="15.140625" style="563" bestFit="1" customWidth="1"/>
    <col min="14076" max="14076" width="17.140625" style="563" bestFit="1" customWidth="1"/>
    <col min="14077" max="14077" width="6" style="563" customWidth="1"/>
    <col min="14078" max="14078" width="14.7109375" style="563" bestFit="1" customWidth="1"/>
    <col min="14079" max="14079" width="16.5703125" style="563" bestFit="1" customWidth="1"/>
    <col min="14080" max="14080" width="15.28515625" style="563" bestFit="1" customWidth="1"/>
    <col min="14081" max="14081" width="18.42578125" style="563" customWidth="1"/>
    <col min="14082" max="14324" width="9.140625" style="563"/>
    <col min="14325" max="14325" width="13" style="563" customWidth="1"/>
    <col min="14326" max="14326" width="9.140625" style="563" customWidth="1"/>
    <col min="14327" max="14327" width="15.42578125" style="563" bestFit="1" customWidth="1"/>
    <col min="14328" max="14328" width="13" style="563" bestFit="1" customWidth="1"/>
    <col min="14329" max="14329" width="7.7109375" style="563" bestFit="1" customWidth="1"/>
    <col min="14330" max="14330" width="21" style="563" bestFit="1" customWidth="1"/>
    <col min="14331" max="14331" width="15.140625" style="563" bestFit="1" customWidth="1"/>
    <col min="14332" max="14332" width="17.140625" style="563" bestFit="1" customWidth="1"/>
    <col min="14333" max="14333" width="6" style="563" customWidth="1"/>
    <col min="14334" max="14334" width="14.7109375" style="563" bestFit="1" customWidth="1"/>
    <col min="14335" max="14335" width="16.5703125" style="563" bestFit="1" customWidth="1"/>
    <col min="14336" max="14336" width="15.28515625" style="563" bestFit="1" customWidth="1"/>
    <col min="14337" max="14337" width="18.42578125" style="563" customWidth="1"/>
    <col min="14338" max="14580" width="9.140625" style="563"/>
    <col min="14581" max="14581" width="13" style="563" customWidth="1"/>
    <col min="14582" max="14582" width="9.140625" style="563" customWidth="1"/>
    <col min="14583" max="14583" width="15.42578125" style="563" bestFit="1" customWidth="1"/>
    <col min="14584" max="14584" width="13" style="563" bestFit="1" customWidth="1"/>
    <col min="14585" max="14585" width="7.7109375" style="563" bestFit="1" customWidth="1"/>
    <col min="14586" max="14586" width="21" style="563" bestFit="1" customWidth="1"/>
    <col min="14587" max="14587" width="15.140625" style="563" bestFit="1" customWidth="1"/>
    <col min="14588" max="14588" width="17.140625" style="563" bestFit="1" customWidth="1"/>
    <col min="14589" max="14589" width="6" style="563" customWidth="1"/>
    <col min="14590" max="14590" width="14.7109375" style="563" bestFit="1" customWidth="1"/>
    <col min="14591" max="14591" width="16.5703125" style="563" bestFit="1" customWidth="1"/>
    <col min="14592" max="14592" width="15.28515625" style="563" bestFit="1" customWidth="1"/>
    <col min="14593" max="14593" width="18.42578125" style="563" customWidth="1"/>
    <col min="14594" max="14836" width="9.140625" style="563"/>
    <col min="14837" max="14837" width="13" style="563" customWidth="1"/>
    <col min="14838" max="14838" width="9.140625" style="563" customWidth="1"/>
    <col min="14839" max="14839" width="15.42578125" style="563" bestFit="1" customWidth="1"/>
    <col min="14840" max="14840" width="13" style="563" bestFit="1" customWidth="1"/>
    <col min="14841" max="14841" width="7.7109375" style="563" bestFit="1" customWidth="1"/>
    <col min="14842" max="14842" width="21" style="563" bestFit="1" customWidth="1"/>
    <col min="14843" max="14843" width="15.140625" style="563" bestFit="1" customWidth="1"/>
    <col min="14844" max="14844" width="17.140625" style="563" bestFit="1" customWidth="1"/>
    <col min="14845" max="14845" width="6" style="563" customWidth="1"/>
    <col min="14846" max="14846" width="14.7109375" style="563" bestFit="1" customWidth="1"/>
    <col min="14847" max="14847" width="16.5703125" style="563" bestFit="1" customWidth="1"/>
    <col min="14848" max="14848" width="15.28515625" style="563" bestFit="1" customWidth="1"/>
    <col min="14849" max="14849" width="18.42578125" style="563" customWidth="1"/>
    <col min="14850" max="15092" width="9.140625" style="563"/>
    <col min="15093" max="15093" width="13" style="563" customWidth="1"/>
    <col min="15094" max="15094" width="9.140625" style="563" customWidth="1"/>
    <col min="15095" max="15095" width="15.42578125" style="563" bestFit="1" customWidth="1"/>
    <col min="15096" max="15096" width="13" style="563" bestFit="1" customWidth="1"/>
    <col min="15097" max="15097" width="7.7109375" style="563" bestFit="1" customWidth="1"/>
    <col min="15098" max="15098" width="21" style="563" bestFit="1" customWidth="1"/>
    <col min="15099" max="15099" width="15.140625" style="563" bestFit="1" customWidth="1"/>
    <col min="15100" max="15100" width="17.140625" style="563" bestFit="1" customWidth="1"/>
    <col min="15101" max="15101" width="6" style="563" customWidth="1"/>
    <col min="15102" max="15102" width="14.7109375" style="563" bestFit="1" customWidth="1"/>
    <col min="15103" max="15103" width="16.5703125" style="563" bestFit="1" customWidth="1"/>
    <col min="15104" max="15104" width="15.28515625" style="563" bestFit="1" customWidth="1"/>
    <col min="15105" max="15105" width="18.42578125" style="563" customWidth="1"/>
    <col min="15106" max="15348" width="9.140625" style="563"/>
    <col min="15349" max="15349" width="13" style="563" customWidth="1"/>
    <col min="15350" max="15350" width="9.140625" style="563" customWidth="1"/>
    <col min="15351" max="15351" width="15.42578125" style="563" bestFit="1" customWidth="1"/>
    <col min="15352" max="15352" width="13" style="563" bestFit="1" customWidth="1"/>
    <col min="15353" max="15353" width="7.7109375" style="563" bestFit="1" customWidth="1"/>
    <col min="15354" max="15354" width="21" style="563" bestFit="1" customWidth="1"/>
    <col min="15355" max="15355" width="15.140625" style="563" bestFit="1" customWidth="1"/>
    <col min="15356" max="15356" width="17.140625" style="563" bestFit="1" customWidth="1"/>
    <col min="15357" max="15357" width="6" style="563" customWidth="1"/>
    <col min="15358" max="15358" width="14.7109375" style="563" bestFit="1" customWidth="1"/>
    <col min="15359" max="15359" width="16.5703125" style="563" bestFit="1" customWidth="1"/>
    <col min="15360" max="15360" width="15.28515625" style="563" bestFit="1" customWidth="1"/>
    <col min="15361" max="15361" width="18.42578125" style="563" customWidth="1"/>
    <col min="15362" max="15604" width="9.140625" style="563"/>
    <col min="15605" max="15605" width="13" style="563" customWidth="1"/>
    <col min="15606" max="15606" width="9.140625" style="563" customWidth="1"/>
    <col min="15607" max="15607" width="15.42578125" style="563" bestFit="1" customWidth="1"/>
    <col min="15608" max="15608" width="13" style="563" bestFit="1" customWidth="1"/>
    <col min="15609" max="15609" width="7.7109375" style="563" bestFit="1" customWidth="1"/>
    <col min="15610" max="15610" width="21" style="563" bestFit="1" customWidth="1"/>
    <col min="15611" max="15611" width="15.140625" style="563" bestFit="1" customWidth="1"/>
    <col min="15612" max="15612" width="17.140625" style="563" bestFit="1" customWidth="1"/>
    <col min="15613" max="15613" width="6" style="563" customWidth="1"/>
    <col min="15614" max="15614" width="14.7109375" style="563" bestFit="1" customWidth="1"/>
    <col min="15615" max="15615" width="16.5703125" style="563" bestFit="1" customWidth="1"/>
    <col min="15616" max="15616" width="15.28515625" style="563" bestFit="1" customWidth="1"/>
    <col min="15617" max="15617" width="18.42578125" style="563" customWidth="1"/>
    <col min="15618" max="15860" width="9.140625" style="563"/>
    <col min="15861" max="15861" width="13" style="563" customWidth="1"/>
    <col min="15862" max="15862" width="9.140625" style="563" customWidth="1"/>
    <col min="15863" max="15863" width="15.42578125" style="563" bestFit="1" customWidth="1"/>
    <col min="15864" max="15864" width="13" style="563" bestFit="1" customWidth="1"/>
    <col min="15865" max="15865" width="7.7109375" style="563" bestFit="1" customWidth="1"/>
    <col min="15866" max="15866" width="21" style="563" bestFit="1" customWidth="1"/>
    <col min="15867" max="15867" width="15.140625" style="563" bestFit="1" customWidth="1"/>
    <col min="15868" max="15868" width="17.140625" style="563" bestFit="1" customWidth="1"/>
    <col min="15869" max="15869" width="6" style="563" customWidth="1"/>
    <col min="15870" max="15870" width="14.7109375" style="563" bestFit="1" customWidth="1"/>
    <col min="15871" max="15871" width="16.5703125" style="563" bestFit="1" customWidth="1"/>
    <col min="15872" max="15872" width="15.28515625" style="563" bestFit="1" customWidth="1"/>
    <col min="15873" max="15873" width="18.42578125" style="563" customWidth="1"/>
    <col min="15874" max="16116" width="9.140625" style="563"/>
    <col min="16117" max="16117" width="13" style="563" customWidth="1"/>
    <col min="16118" max="16118" width="9.140625" style="563" customWidth="1"/>
    <col min="16119" max="16119" width="15.42578125" style="563" bestFit="1" customWidth="1"/>
    <col min="16120" max="16120" width="13" style="563" bestFit="1" customWidth="1"/>
    <col min="16121" max="16121" width="7.7109375" style="563" bestFit="1" customWidth="1"/>
    <col min="16122" max="16122" width="21" style="563" bestFit="1" customWidth="1"/>
    <col min="16123" max="16123" width="15.140625" style="563" bestFit="1" customWidth="1"/>
    <col min="16124" max="16124" width="17.140625" style="563" bestFit="1" customWidth="1"/>
    <col min="16125" max="16125" width="6" style="563" customWidth="1"/>
    <col min="16126" max="16126" width="14.7109375" style="563" bestFit="1" customWidth="1"/>
    <col min="16127" max="16127" width="16.5703125" style="563" bestFit="1" customWidth="1"/>
    <col min="16128" max="16128" width="15.28515625" style="563" bestFit="1" customWidth="1"/>
    <col min="16129" max="16129" width="18.42578125" style="563" customWidth="1"/>
    <col min="16130" max="16384" width="9.140625" style="563"/>
  </cols>
  <sheetData>
    <row r="1" spans="1:7">
      <c r="A1" s="562" t="s">
        <v>218</v>
      </c>
    </row>
    <row r="2" spans="1:7">
      <c r="A2" s="562" t="s">
        <v>716</v>
      </c>
    </row>
    <row r="3" spans="1:7">
      <c r="A3" s="564" t="s">
        <v>723</v>
      </c>
    </row>
    <row r="5" spans="1:7">
      <c r="A5" s="565" t="s">
        <v>717</v>
      </c>
      <c r="B5" s="566"/>
      <c r="C5" s="565" t="s">
        <v>718</v>
      </c>
      <c r="D5" s="567"/>
    </row>
    <row r="6" spans="1:7">
      <c r="A6" s="577" t="s">
        <v>719</v>
      </c>
    </row>
    <row r="7" spans="1:7">
      <c r="A7" s="568">
        <v>42369</v>
      </c>
      <c r="C7" s="569">
        <v>15401532</v>
      </c>
      <c r="D7" s="570"/>
      <c r="G7" s="571"/>
    </row>
    <row r="8" spans="1:7">
      <c r="A8" s="568">
        <v>42400</v>
      </c>
      <c r="C8" s="569">
        <v>15745035</v>
      </c>
      <c r="D8" s="571"/>
      <c r="G8" s="571"/>
    </row>
    <row r="9" spans="1:7">
      <c r="A9" s="568">
        <v>42429</v>
      </c>
      <c r="C9" s="569">
        <v>15530964</v>
      </c>
      <c r="D9" s="571"/>
      <c r="G9" s="571"/>
    </row>
    <row r="10" spans="1:7">
      <c r="A10" s="568">
        <v>42460</v>
      </c>
      <c r="C10" s="569">
        <v>12945684</v>
      </c>
      <c r="D10" s="571"/>
      <c r="G10" s="571"/>
    </row>
    <row r="11" spans="1:7">
      <c r="A11" s="568">
        <v>42490</v>
      </c>
      <c r="C11" s="569">
        <v>13317260</v>
      </c>
      <c r="D11" s="571"/>
      <c r="G11" s="571"/>
    </row>
    <row r="12" spans="1:7">
      <c r="A12" s="568">
        <v>42521</v>
      </c>
      <c r="C12" s="569">
        <v>13599662</v>
      </c>
      <c r="D12" s="571"/>
      <c r="G12" s="571"/>
    </row>
    <row r="13" spans="1:7">
      <c r="A13" s="568">
        <v>42551</v>
      </c>
      <c r="C13" s="569">
        <v>13849569</v>
      </c>
      <c r="D13" s="571"/>
      <c r="G13" s="571"/>
    </row>
    <row r="14" spans="1:7">
      <c r="A14" s="568">
        <v>42582</v>
      </c>
      <c r="C14" s="569">
        <v>14034421</v>
      </c>
      <c r="D14" s="571"/>
      <c r="G14" s="571"/>
    </row>
    <row r="15" spans="1:7">
      <c r="A15" s="568">
        <v>42613</v>
      </c>
      <c r="C15" s="569">
        <v>14216679</v>
      </c>
      <c r="D15" s="571"/>
      <c r="G15" s="571"/>
    </row>
    <row r="16" spans="1:7">
      <c r="A16" s="568">
        <v>42643</v>
      </c>
      <c r="C16" s="569">
        <v>13944622</v>
      </c>
      <c r="D16" s="571"/>
      <c r="G16" s="571"/>
    </row>
    <row r="17" spans="1:7">
      <c r="A17" s="568">
        <v>42674</v>
      </c>
      <c r="C17" s="569">
        <v>14037052</v>
      </c>
      <c r="D17" s="571"/>
      <c r="G17" s="571"/>
    </row>
    <row r="18" spans="1:7">
      <c r="A18" s="568">
        <v>42704</v>
      </c>
      <c r="C18" s="569">
        <v>14075470</v>
      </c>
      <c r="D18" s="571"/>
      <c r="G18" s="571"/>
    </row>
    <row r="19" spans="1:7">
      <c r="A19" s="568">
        <v>42735</v>
      </c>
      <c r="C19" s="569">
        <v>14155024</v>
      </c>
      <c r="D19" s="571"/>
    </row>
    <row r="20" spans="1:7">
      <c r="C20" s="569"/>
    </row>
    <row r="21" spans="1:7" ht="13.5" thickBot="1">
      <c r="C21" s="572">
        <f>SUM(C7:C19)/13</f>
        <v>14219459.538461538</v>
      </c>
      <c r="D21" s="573"/>
    </row>
    <row r="22" spans="1:7" ht="13.5" thickTop="1">
      <c r="A22" s="577" t="s">
        <v>720</v>
      </c>
      <c r="C22" s="569"/>
    </row>
    <row r="23" spans="1:7">
      <c r="A23" s="568">
        <v>42369</v>
      </c>
      <c r="C23" s="569">
        <v>-681710220</v>
      </c>
    </row>
    <row r="24" spans="1:7">
      <c r="A24" s="568">
        <v>42400</v>
      </c>
      <c r="C24" s="569">
        <v>-683408676</v>
      </c>
    </row>
    <row r="25" spans="1:7">
      <c r="A25" s="568">
        <v>42429</v>
      </c>
      <c r="C25" s="569">
        <v>-685368763</v>
      </c>
    </row>
    <row r="26" spans="1:7">
      <c r="A26" s="568">
        <v>42460</v>
      </c>
      <c r="C26" s="569">
        <v>-686072037</v>
      </c>
    </row>
    <row r="27" spans="1:7">
      <c r="A27" s="568">
        <v>42490</v>
      </c>
      <c r="C27" s="569">
        <v>-687881699</v>
      </c>
    </row>
    <row r="28" spans="1:7">
      <c r="A28" s="568">
        <v>42521</v>
      </c>
      <c r="C28" s="569">
        <v>-689434013</v>
      </c>
    </row>
    <row r="29" spans="1:7">
      <c r="A29" s="568">
        <v>42551</v>
      </c>
      <c r="C29" s="569">
        <v>-691942753</v>
      </c>
    </row>
    <row r="30" spans="1:7">
      <c r="A30" s="568">
        <v>42582</v>
      </c>
      <c r="C30" s="569">
        <v>-693443790</v>
      </c>
    </row>
    <row r="31" spans="1:7">
      <c r="A31" s="568">
        <v>42613</v>
      </c>
      <c r="C31" s="569">
        <v>-696472225</v>
      </c>
    </row>
    <row r="32" spans="1:7">
      <c r="A32" s="568">
        <v>42643</v>
      </c>
      <c r="C32" s="569">
        <v>-696403885</v>
      </c>
    </row>
    <row r="33" spans="1:3">
      <c r="A33" s="568">
        <v>42674</v>
      </c>
      <c r="C33" s="569">
        <v>-697820139</v>
      </c>
    </row>
    <row r="34" spans="1:3">
      <c r="A34" s="568">
        <v>42704</v>
      </c>
      <c r="C34" s="569">
        <v>-698480989</v>
      </c>
    </row>
    <row r="35" spans="1:3">
      <c r="A35" s="568">
        <v>42735</v>
      </c>
      <c r="C35" s="569">
        <v>-698414092</v>
      </c>
    </row>
    <row r="36" spans="1:3">
      <c r="C36" s="569"/>
    </row>
    <row r="37" spans="1:3" ht="13.5" thickBot="1">
      <c r="C37" s="572">
        <f>SUM(C23:C35)/13</f>
        <v>-691296406.23076928</v>
      </c>
    </row>
    <row r="38" spans="1:3" ht="13.5" thickTop="1">
      <c r="A38" s="577" t="s">
        <v>721</v>
      </c>
      <c r="C38" s="569"/>
    </row>
    <row r="39" spans="1:3">
      <c r="A39" s="568">
        <v>42369</v>
      </c>
      <c r="C39" s="569">
        <v>-4336332</v>
      </c>
    </row>
    <row r="40" spans="1:3">
      <c r="A40" s="568">
        <v>42400</v>
      </c>
      <c r="C40" s="569">
        <v>-4339867</v>
      </c>
    </row>
    <row r="41" spans="1:3">
      <c r="A41" s="568">
        <v>42429</v>
      </c>
      <c r="C41" s="569">
        <v>-4311223</v>
      </c>
    </row>
    <row r="42" spans="1:3">
      <c r="A42" s="568">
        <v>42460</v>
      </c>
      <c r="C42" s="569">
        <v>-4285474</v>
      </c>
    </row>
    <row r="43" spans="1:3">
      <c r="A43" s="568">
        <v>42490</v>
      </c>
      <c r="C43" s="569">
        <v>-4263837</v>
      </c>
    </row>
    <row r="44" spans="1:3">
      <c r="A44" s="568">
        <v>42521</v>
      </c>
      <c r="C44" s="569">
        <v>-4245306</v>
      </c>
    </row>
    <row r="45" spans="1:3">
      <c r="A45" s="568">
        <v>42551</v>
      </c>
      <c r="C45" s="569">
        <v>-4416513</v>
      </c>
    </row>
    <row r="46" spans="1:3">
      <c r="A46" s="568">
        <v>42582</v>
      </c>
      <c r="C46" s="569">
        <v>-4401919</v>
      </c>
    </row>
    <row r="47" spans="1:3">
      <c r="A47" s="568">
        <v>42613</v>
      </c>
      <c r="C47" s="569">
        <v>-4389942</v>
      </c>
    </row>
    <row r="48" spans="1:3">
      <c r="A48" s="568">
        <v>42643</v>
      </c>
      <c r="C48" s="569">
        <v>-4351799</v>
      </c>
    </row>
    <row r="49" spans="1:3">
      <c r="A49" s="568">
        <v>42674</v>
      </c>
      <c r="C49" s="569">
        <v>-4345924</v>
      </c>
    </row>
    <row r="50" spans="1:3">
      <c r="A50" s="568">
        <v>42704</v>
      </c>
      <c r="C50" s="569">
        <v>-4342892</v>
      </c>
    </row>
    <row r="51" spans="1:3">
      <c r="A51" s="568">
        <v>42735</v>
      </c>
      <c r="C51" s="569">
        <v>-4342797</v>
      </c>
    </row>
    <row r="53" spans="1:3" ht="13.5" thickBot="1">
      <c r="C53" s="574">
        <f>SUM(C39:C51)/13</f>
        <v>-4336448.076923077</v>
      </c>
    </row>
    <row r="54" spans="1:3" ht="13.5" thickTop="1"/>
    <row r="56" spans="1:3" s="562" customFormat="1" ht="13.5" thickBot="1">
      <c r="A56" s="562" t="s">
        <v>722</v>
      </c>
      <c r="C56" s="575">
        <f>C53+C37+C21</f>
        <v>-681413394.76923084</v>
      </c>
    </row>
    <row r="57" spans="1:3" ht="13.5" thickTop="1"/>
    <row r="58" spans="1:3">
      <c r="C58" s="576"/>
    </row>
    <row r="59" spans="1:3">
      <c r="C59" s="571"/>
    </row>
    <row r="61" spans="1:3">
      <c r="C61" s="569"/>
    </row>
    <row r="62" spans="1:3">
      <c r="C62" s="569"/>
    </row>
    <row r="63" spans="1:3">
      <c r="C63" s="569"/>
    </row>
    <row r="64" spans="1:3">
      <c r="C64" s="569"/>
    </row>
    <row r="65" spans="3:3">
      <c r="C65" s="569"/>
    </row>
    <row r="66" spans="3:3">
      <c r="C66" s="569"/>
    </row>
    <row r="67" spans="3:3">
      <c r="C67" s="569"/>
    </row>
    <row r="68" spans="3:3">
      <c r="C68" s="569"/>
    </row>
    <row r="69" spans="3:3">
      <c r="C69" s="569"/>
    </row>
    <row r="70" spans="3:3">
      <c r="C70" s="569"/>
    </row>
    <row r="71" spans="3:3">
      <c r="C71" s="569"/>
    </row>
    <row r="72" spans="3:3">
      <c r="C72" s="569"/>
    </row>
    <row r="73" spans="3:3">
      <c r="C73" s="569"/>
    </row>
  </sheetData>
  <pageMargins left="0.75" right="0.75" top="1" bottom="1" header="0.5" footer="0.5"/>
  <pageSetup scale="91"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90" zoomScaleNormal="90" workbookViewId="0"/>
  </sheetViews>
  <sheetFormatPr defaultRowHeight="12.75"/>
  <cols>
    <col min="1" max="1" width="40.7109375" style="517" customWidth="1"/>
    <col min="2" max="2" width="15.7109375" style="517" bestFit="1" customWidth="1"/>
    <col min="3" max="3" width="9.7109375" style="517" customWidth="1"/>
    <col min="4" max="4" width="17.28515625" style="517" bestFit="1" customWidth="1"/>
    <col min="5" max="5" width="14" style="517" customWidth="1"/>
    <col min="6" max="6" width="3.28515625" style="517" customWidth="1"/>
    <col min="7" max="7" width="11.140625" style="587" bestFit="1" customWidth="1"/>
    <col min="8" max="8" width="16.28515625" style="517" customWidth="1"/>
    <col min="9" max="256" width="9.140625" style="517"/>
    <col min="257" max="257" width="40.7109375" style="517" customWidth="1"/>
    <col min="258" max="258" width="15.7109375" style="517" bestFit="1" customWidth="1"/>
    <col min="259" max="259" width="9.7109375" style="517" customWidth="1"/>
    <col min="260" max="260" width="17.28515625" style="517" bestFit="1" customWidth="1"/>
    <col min="261" max="261" width="14" style="517" customWidth="1"/>
    <col min="262" max="262" width="3.28515625" style="517" customWidth="1"/>
    <col min="263" max="263" width="11.140625" style="517" bestFit="1" customWidth="1"/>
    <col min="264" max="264" width="16.28515625" style="517" customWidth="1"/>
    <col min="265" max="512" width="9.140625" style="517"/>
    <col min="513" max="513" width="40.7109375" style="517" customWidth="1"/>
    <col min="514" max="514" width="15.7109375" style="517" bestFit="1" customWidth="1"/>
    <col min="515" max="515" width="9.7109375" style="517" customWidth="1"/>
    <col min="516" max="516" width="17.28515625" style="517" bestFit="1" customWidth="1"/>
    <col min="517" max="517" width="14" style="517" customWidth="1"/>
    <col min="518" max="518" width="3.28515625" style="517" customWidth="1"/>
    <col min="519" max="519" width="11.140625" style="517" bestFit="1" customWidth="1"/>
    <col min="520" max="520" width="16.28515625" style="517" customWidth="1"/>
    <col min="521" max="768" width="9.140625" style="517"/>
    <col min="769" max="769" width="40.7109375" style="517" customWidth="1"/>
    <col min="770" max="770" width="15.7109375" style="517" bestFit="1" customWidth="1"/>
    <col min="771" max="771" width="9.7109375" style="517" customWidth="1"/>
    <col min="772" max="772" width="17.28515625" style="517" bestFit="1" customWidth="1"/>
    <col min="773" max="773" width="14" style="517" customWidth="1"/>
    <col min="774" max="774" width="3.28515625" style="517" customWidth="1"/>
    <col min="775" max="775" width="11.140625" style="517" bestFit="1" customWidth="1"/>
    <col min="776" max="776" width="16.28515625" style="517" customWidth="1"/>
    <col min="777" max="1024" width="9.140625" style="517"/>
    <col min="1025" max="1025" width="40.7109375" style="517" customWidth="1"/>
    <col min="1026" max="1026" width="15.7109375" style="517" bestFit="1" customWidth="1"/>
    <col min="1027" max="1027" width="9.7109375" style="517" customWidth="1"/>
    <col min="1028" max="1028" width="17.28515625" style="517" bestFit="1" customWidth="1"/>
    <col min="1029" max="1029" width="14" style="517" customWidth="1"/>
    <col min="1030" max="1030" width="3.28515625" style="517" customWidth="1"/>
    <col min="1031" max="1031" width="11.140625" style="517" bestFit="1" customWidth="1"/>
    <col min="1032" max="1032" width="16.28515625" style="517" customWidth="1"/>
    <col min="1033" max="1280" width="9.140625" style="517"/>
    <col min="1281" max="1281" width="40.7109375" style="517" customWidth="1"/>
    <col min="1282" max="1282" width="15.7109375" style="517" bestFit="1" customWidth="1"/>
    <col min="1283" max="1283" width="9.7109375" style="517" customWidth="1"/>
    <col min="1284" max="1284" width="17.28515625" style="517" bestFit="1" customWidth="1"/>
    <col min="1285" max="1285" width="14" style="517" customWidth="1"/>
    <col min="1286" max="1286" width="3.28515625" style="517" customWidth="1"/>
    <col min="1287" max="1287" width="11.140625" style="517" bestFit="1" customWidth="1"/>
    <col min="1288" max="1288" width="16.28515625" style="517" customWidth="1"/>
    <col min="1289" max="1536" width="9.140625" style="517"/>
    <col min="1537" max="1537" width="40.7109375" style="517" customWidth="1"/>
    <col min="1538" max="1538" width="15.7109375" style="517" bestFit="1" customWidth="1"/>
    <col min="1539" max="1539" width="9.7109375" style="517" customWidth="1"/>
    <col min="1540" max="1540" width="17.28515625" style="517" bestFit="1" customWidth="1"/>
    <col min="1541" max="1541" width="14" style="517" customWidth="1"/>
    <col min="1542" max="1542" width="3.28515625" style="517" customWidth="1"/>
    <col min="1543" max="1543" width="11.140625" style="517" bestFit="1" customWidth="1"/>
    <col min="1544" max="1544" width="16.28515625" style="517" customWidth="1"/>
    <col min="1545" max="1792" width="9.140625" style="517"/>
    <col min="1793" max="1793" width="40.7109375" style="517" customWidth="1"/>
    <col min="1794" max="1794" width="15.7109375" style="517" bestFit="1" customWidth="1"/>
    <col min="1795" max="1795" width="9.7109375" style="517" customWidth="1"/>
    <col min="1796" max="1796" width="17.28515625" style="517" bestFit="1" customWidth="1"/>
    <col min="1797" max="1797" width="14" style="517" customWidth="1"/>
    <col min="1798" max="1798" width="3.28515625" style="517" customWidth="1"/>
    <col min="1799" max="1799" width="11.140625" style="517" bestFit="1" customWidth="1"/>
    <col min="1800" max="1800" width="16.28515625" style="517" customWidth="1"/>
    <col min="1801" max="2048" width="9.140625" style="517"/>
    <col min="2049" max="2049" width="40.7109375" style="517" customWidth="1"/>
    <col min="2050" max="2050" width="15.7109375" style="517" bestFit="1" customWidth="1"/>
    <col min="2051" max="2051" width="9.7109375" style="517" customWidth="1"/>
    <col min="2052" max="2052" width="17.28515625" style="517" bestFit="1" customWidth="1"/>
    <col min="2053" max="2053" width="14" style="517" customWidth="1"/>
    <col min="2054" max="2054" width="3.28515625" style="517" customWidth="1"/>
    <col min="2055" max="2055" width="11.140625" style="517" bestFit="1" customWidth="1"/>
    <col min="2056" max="2056" width="16.28515625" style="517" customWidth="1"/>
    <col min="2057" max="2304" width="9.140625" style="517"/>
    <col min="2305" max="2305" width="40.7109375" style="517" customWidth="1"/>
    <col min="2306" max="2306" width="15.7109375" style="517" bestFit="1" customWidth="1"/>
    <col min="2307" max="2307" width="9.7109375" style="517" customWidth="1"/>
    <col min="2308" max="2308" width="17.28515625" style="517" bestFit="1" customWidth="1"/>
    <col min="2309" max="2309" width="14" style="517" customWidth="1"/>
    <col min="2310" max="2310" width="3.28515625" style="517" customWidth="1"/>
    <col min="2311" max="2311" width="11.140625" style="517" bestFit="1" customWidth="1"/>
    <col min="2312" max="2312" width="16.28515625" style="517" customWidth="1"/>
    <col min="2313" max="2560" width="9.140625" style="517"/>
    <col min="2561" max="2561" width="40.7109375" style="517" customWidth="1"/>
    <col min="2562" max="2562" width="15.7109375" style="517" bestFit="1" customWidth="1"/>
    <col min="2563" max="2563" width="9.7109375" style="517" customWidth="1"/>
    <col min="2564" max="2564" width="17.28515625" style="517" bestFit="1" customWidth="1"/>
    <col min="2565" max="2565" width="14" style="517" customWidth="1"/>
    <col min="2566" max="2566" width="3.28515625" style="517" customWidth="1"/>
    <col min="2567" max="2567" width="11.140625" style="517" bestFit="1" customWidth="1"/>
    <col min="2568" max="2568" width="16.28515625" style="517" customWidth="1"/>
    <col min="2569" max="2816" width="9.140625" style="517"/>
    <col min="2817" max="2817" width="40.7109375" style="517" customWidth="1"/>
    <col min="2818" max="2818" width="15.7109375" style="517" bestFit="1" customWidth="1"/>
    <col min="2819" max="2819" width="9.7109375" style="517" customWidth="1"/>
    <col min="2820" max="2820" width="17.28515625" style="517" bestFit="1" customWidth="1"/>
    <col min="2821" max="2821" width="14" style="517" customWidth="1"/>
    <col min="2822" max="2822" width="3.28515625" style="517" customWidth="1"/>
    <col min="2823" max="2823" width="11.140625" style="517" bestFit="1" customWidth="1"/>
    <col min="2824" max="2824" width="16.28515625" style="517" customWidth="1"/>
    <col min="2825" max="3072" width="9.140625" style="517"/>
    <col min="3073" max="3073" width="40.7109375" style="517" customWidth="1"/>
    <col min="3074" max="3074" width="15.7109375" style="517" bestFit="1" customWidth="1"/>
    <col min="3075" max="3075" width="9.7109375" style="517" customWidth="1"/>
    <col min="3076" max="3076" width="17.28515625" style="517" bestFit="1" customWidth="1"/>
    <col min="3077" max="3077" width="14" style="517" customWidth="1"/>
    <col min="3078" max="3078" width="3.28515625" style="517" customWidth="1"/>
    <col min="3079" max="3079" width="11.140625" style="517" bestFit="1" customWidth="1"/>
    <col min="3080" max="3080" width="16.28515625" style="517" customWidth="1"/>
    <col min="3081" max="3328" width="9.140625" style="517"/>
    <col min="3329" max="3329" width="40.7109375" style="517" customWidth="1"/>
    <col min="3330" max="3330" width="15.7109375" style="517" bestFit="1" customWidth="1"/>
    <col min="3331" max="3331" width="9.7109375" style="517" customWidth="1"/>
    <col min="3332" max="3332" width="17.28515625" style="517" bestFit="1" customWidth="1"/>
    <col min="3333" max="3333" width="14" style="517" customWidth="1"/>
    <col min="3334" max="3334" width="3.28515625" style="517" customWidth="1"/>
    <col min="3335" max="3335" width="11.140625" style="517" bestFit="1" customWidth="1"/>
    <col min="3336" max="3336" width="16.28515625" style="517" customWidth="1"/>
    <col min="3337" max="3584" width="9.140625" style="517"/>
    <col min="3585" max="3585" width="40.7109375" style="517" customWidth="1"/>
    <col min="3586" max="3586" width="15.7109375" style="517" bestFit="1" customWidth="1"/>
    <col min="3587" max="3587" width="9.7109375" style="517" customWidth="1"/>
    <col min="3588" max="3588" width="17.28515625" style="517" bestFit="1" customWidth="1"/>
    <col min="3589" max="3589" width="14" style="517" customWidth="1"/>
    <col min="3590" max="3590" width="3.28515625" style="517" customWidth="1"/>
    <col min="3591" max="3591" width="11.140625" style="517" bestFit="1" customWidth="1"/>
    <col min="3592" max="3592" width="16.28515625" style="517" customWidth="1"/>
    <col min="3593" max="3840" width="9.140625" style="517"/>
    <col min="3841" max="3841" width="40.7109375" style="517" customWidth="1"/>
    <col min="3842" max="3842" width="15.7109375" style="517" bestFit="1" customWidth="1"/>
    <col min="3843" max="3843" width="9.7109375" style="517" customWidth="1"/>
    <col min="3844" max="3844" width="17.28515625" style="517" bestFit="1" customWidth="1"/>
    <col min="3845" max="3845" width="14" style="517" customWidth="1"/>
    <col min="3846" max="3846" width="3.28515625" style="517" customWidth="1"/>
    <col min="3847" max="3847" width="11.140625" style="517" bestFit="1" customWidth="1"/>
    <col min="3848" max="3848" width="16.28515625" style="517" customWidth="1"/>
    <col min="3849" max="4096" width="9.140625" style="517"/>
    <col min="4097" max="4097" width="40.7109375" style="517" customWidth="1"/>
    <col min="4098" max="4098" width="15.7109375" style="517" bestFit="1" customWidth="1"/>
    <col min="4099" max="4099" width="9.7109375" style="517" customWidth="1"/>
    <col min="4100" max="4100" width="17.28515625" style="517" bestFit="1" customWidth="1"/>
    <col min="4101" max="4101" width="14" style="517" customWidth="1"/>
    <col min="4102" max="4102" width="3.28515625" style="517" customWidth="1"/>
    <col min="4103" max="4103" width="11.140625" style="517" bestFit="1" customWidth="1"/>
    <col min="4104" max="4104" width="16.28515625" style="517" customWidth="1"/>
    <col min="4105" max="4352" width="9.140625" style="517"/>
    <col min="4353" max="4353" width="40.7109375" style="517" customWidth="1"/>
    <col min="4354" max="4354" width="15.7109375" style="517" bestFit="1" customWidth="1"/>
    <col min="4355" max="4355" width="9.7109375" style="517" customWidth="1"/>
    <col min="4356" max="4356" width="17.28515625" style="517" bestFit="1" customWidth="1"/>
    <col min="4357" max="4357" width="14" style="517" customWidth="1"/>
    <col min="4358" max="4358" width="3.28515625" style="517" customWidth="1"/>
    <col min="4359" max="4359" width="11.140625" style="517" bestFit="1" customWidth="1"/>
    <col min="4360" max="4360" width="16.28515625" style="517" customWidth="1"/>
    <col min="4361" max="4608" width="9.140625" style="517"/>
    <col min="4609" max="4609" width="40.7109375" style="517" customWidth="1"/>
    <col min="4610" max="4610" width="15.7109375" style="517" bestFit="1" customWidth="1"/>
    <col min="4611" max="4611" width="9.7109375" style="517" customWidth="1"/>
    <col min="4612" max="4612" width="17.28515625" style="517" bestFit="1" customWidth="1"/>
    <col min="4613" max="4613" width="14" style="517" customWidth="1"/>
    <col min="4614" max="4614" width="3.28515625" style="517" customWidth="1"/>
    <col min="4615" max="4615" width="11.140625" style="517" bestFit="1" customWidth="1"/>
    <col min="4616" max="4616" width="16.28515625" style="517" customWidth="1"/>
    <col min="4617" max="4864" width="9.140625" style="517"/>
    <col min="4865" max="4865" width="40.7109375" style="517" customWidth="1"/>
    <col min="4866" max="4866" width="15.7109375" style="517" bestFit="1" customWidth="1"/>
    <col min="4867" max="4867" width="9.7109375" style="517" customWidth="1"/>
    <col min="4868" max="4868" width="17.28515625" style="517" bestFit="1" customWidth="1"/>
    <col min="4869" max="4869" width="14" style="517" customWidth="1"/>
    <col min="4870" max="4870" width="3.28515625" style="517" customWidth="1"/>
    <col min="4871" max="4871" width="11.140625" style="517" bestFit="1" customWidth="1"/>
    <col min="4872" max="4872" width="16.28515625" style="517" customWidth="1"/>
    <col min="4873" max="5120" width="9.140625" style="517"/>
    <col min="5121" max="5121" width="40.7109375" style="517" customWidth="1"/>
    <col min="5122" max="5122" width="15.7109375" style="517" bestFit="1" customWidth="1"/>
    <col min="5123" max="5123" width="9.7109375" style="517" customWidth="1"/>
    <col min="5124" max="5124" width="17.28515625" style="517" bestFit="1" customWidth="1"/>
    <col min="5125" max="5125" width="14" style="517" customWidth="1"/>
    <col min="5126" max="5126" width="3.28515625" style="517" customWidth="1"/>
    <col min="5127" max="5127" width="11.140625" style="517" bestFit="1" customWidth="1"/>
    <col min="5128" max="5128" width="16.28515625" style="517" customWidth="1"/>
    <col min="5129" max="5376" width="9.140625" style="517"/>
    <col min="5377" max="5377" width="40.7109375" style="517" customWidth="1"/>
    <col min="5378" max="5378" width="15.7109375" style="517" bestFit="1" customWidth="1"/>
    <col min="5379" max="5379" width="9.7109375" style="517" customWidth="1"/>
    <col min="5380" max="5380" width="17.28515625" style="517" bestFit="1" customWidth="1"/>
    <col min="5381" max="5381" width="14" style="517" customWidth="1"/>
    <col min="5382" max="5382" width="3.28515625" style="517" customWidth="1"/>
    <col min="5383" max="5383" width="11.140625" style="517" bestFit="1" customWidth="1"/>
    <col min="5384" max="5384" width="16.28515625" style="517" customWidth="1"/>
    <col min="5385" max="5632" width="9.140625" style="517"/>
    <col min="5633" max="5633" width="40.7109375" style="517" customWidth="1"/>
    <col min="5634" max="5634" width="15.7109375" style="517" bestFit="1" customWidth="1"/>
    <col min="5635" max="5635" width="9.7109375" style="517" customWidth="1"/>
    <col min="5636" max="5636" width="17.28515625" style="517" bestFit="1" customWidth="1"/>
    <col min="5637" max="5637" width="14" style="517" customWidth="1"/>
    <col min="5638" max="5638" width="3.28515625" style="517" customWidth="1"/>
    <col min="5639" max="5639" width="11.140625" style="517" bestFit="1" customWidth="1"/>
    <col min="5640" max="5640" width="16.28515625" style="517" customWidth="1"/>
    <col min="5641" max="5888" width="9.140625" style="517"/>
    <col min="5889" max="5889" width="40.7109375" style="517" customWidth="1"/>
    <col min="5890" max="5890" width="15.7109375" style="517" bestFit="1" customWidth="1"/>
    <col min="5891" max="5891" width="9.7109375" style="517" customWidth="1"/>
    <col min="5892" max="5892" width="17.28515625" style="517" bestFit="1" customWidth="1"/>
    <col min="5893" max="5893" width="14" style="517" customWidth="1"/>
    <col min="5894" max="5894" width="3.28515625" style="517" customWidth="1"/>
    <col min="5895" max="5895" width="11.140625" style="517" bestFit="1" customWidth="1"/>
    <col min="5896" max="5896" width="16.28515625" style="517" customWidth="1"/>
    <col min="5897" max="6144" width="9.140625" style="517"/>
    <col min="6145" max="6145" width="40.7109375" style="517" customWidth="1"/>
    <col min="6146" max="6146" width="15.7109375" style="517" bestFit="1" customWidth="1"/>
    <col min="6147" max="6147" width="9.7109375" style="517" customWidth="1"/>
    <col min="6148" max="6148" width="17.28515625" style="517" bestFit="1" customWidth="1"/>
    <col min="6149" max="6149" width="14" style="517" customWidth="1"/>
    <col min="6150" max="6150" width="3.28515625" style="517" customWidth="1"/>
    <col min="6151" max="6151" width="11.140625" style="517" bestFit="1" customWidth="1"/>
    <col min="6152" max="6152" width="16.28515625" style="517" customWidth="1"/>
    <col min="6153" max="6400" width="9.140625" style="517"/>
    <col min="6401" max="6401" width="40.7109375" style="517" customWidth="1"/>
    <col min="6402" max="6402" width="15.7109375" style="517" bestFit="1" customWidth="1"/>
    <col min="6403" max="6403" width="9.7109375" style="517" customWidth="1"/>
    <col min="6404" max="6404" width="17.28515625" style="517" bestFit="1" customWidth="1"/>
    <col min="6405" max="6405" width="14" style="517" customWidth="1"/>
    <col min="6406" max="6406" width="3.28515625" style="517" customWidth="1"/>
    <col min="6407" max="6407" width="11.140625" style="517" bestFit="1" customWidth="1"/>
    <col min="6408" max="6408" width="16.28515625" style="517" customWidth="1"/>
    <col min="6409" max="6656" width="9.140625" style="517"/>
    <col min="6657" max="6657" width="40.7109375" style="517" customWidth="1"/>
    <col min="6658" max="6658" width="15.7109375" style="517" bestFit="1" customWidth="1"/>
    <col min="6659" max="6659" width="9.7109375" style="517" customWidth="1"/>
    <col min="6660" max="6660" width="17.28515625" style="517" bestFit="1" customWidth="1"/>
    <col min="6661" max="6661" width="14" style="517" customWidth="1"/>
    <col min="6662" max="6662" width="3.28515625" style="517" customWidth="1"/>
    <col min="6663" max="6663" width="11.140625" style="517" bestFit="1" customWidth="1"/>
    <col min="6664" max="6664" width="16.28515625" style="517" customWidth="1"/>
    <col min="6665" max="6912" width="9.140625" style="517"/>
    <col min="6913" max="6913" width="40.7109375" style="517" customWidth="1"/>
    <col min="6914" max="6914" width="15.7109375" style="517" bestFit="1" customWidth="1"/>
    <col min="6915" max="6915" width="9.7109375" style="517" customWidth="1"/>
    <col min="6916" max="6916" width="17.28515625" style="517" bestFit="1" customWidth="1"/>
    <col min="6917" max="6917" width="14" style="517" customWidth="1"/>
    <col min="6918" max="6918" width="3.28515625" style="517" customWidth="1"/>
    <col min="6919" max="6919" width="11.140625" style="517" bestFit="1" customWidth="1"/>
    <col min="6920" max="6920" width="16.28515625" style="517" customWidth="1"/>
    <col min="6921" max="7168" width="9.140625" style="517"/>
    <col min="7169" max="7169" width="40.7109375" style="517" customWidth="1"/>
    <col min="7170" max="7170" width="15.7109375" style="517" bestFit="1" customWidth="1"/>
    <col min="7171" max="7171" width="9.7109375" style="517" customWidth="1"/>
    <col min="7172" max="7172" width="17.28515625" style="517" bestFit="1" customWidth="1"/>
    <col min="7173" max="7173" width="14" style="517" customWidth="1"/>
    <col min="7174" max="7174" width="3.28515625" style="517" customWidth="1"/>
    <col min="7175" max="7175" width="11.140625" style="517" bestFit="1" customWidth="1"/>
    <col min="7176" max="7176" width="16.28515625" style="517" customWidth="1"/>
    <col min="7177" max="7424" width="9.140625" style="517"/>
    <col min="7425" max="7425" width="40.7109375" style="517" customWidth="1"/>
    <col min="7426" max="7426" width="15.7109375" style="517" bestFit="1" customWidth="1"/>
    <col min="7427" max="7427" width="9.7109375" style="517" customWidth="1"/>
    <col min="7428" max="7428" width="17.28515625" style="517" bestFit="1" customWidth="1"/>
    <col min="7429" max="7429" width="14" style="517" customWidth="1"/>
    <col min="7430" max="7430" width="3.28515625" style="517" customWidth="1"/>
    <col min="7431" max="7431" width="11.140625" style="517" bestFit="1" customWidth="1"/>
    <col min="7432" max="7432" width="16.28515625" style="517" customWidth="1"/>
    <col min="7433" max="7680" width="9.140625" style="517"/>
    <col min="7681" max="7681" width="40.7109375" style="517" customWidth="1"/>
    <col min="7682" max="7682" width="15.7109375" style="517" bestFit="1" customWidth="1"/>
    <col min="7683" max="7683" width="9.7109375" style="517" customWidth="1"/>
    <col min="7684" max="7684" width="17.28515625" style="517" bestFit="1" customWidth="1"/>
    <col min="7685" max="7685" width="14" style="517" customWidth="1"/>
    <col min="7686" max="7686" width="3.28515625" style="517" customWidth="1"/>
    <col min="7687" max="7687" width="11.140625" style="517" bestFit="1" customWidth="1"/>
    <col min="7688" max="7688" width="16.28515625" style="517" customWidth="1"/>
    <col min="7689" max="7936" width="9.140625" style="517"/>
    <col min="7937" max="7937" width="40.7109375" style="517" customWidth="1"/>
    <col min="7938" max="7938" width="15.7109375" style="517" bestFit="1" customWidth="1"/>
    <col min="7939" max="7939" width="9.7109375" style="517" customWidth="1"/>
    <col min="7940" max="7940" width="17.28515625" style="517" bestFit="1" customWidth="1"/>
    <col min="7941" max="7941" width="14" style="517" customWidth="1"/>
    <col min="7942" max="7942" width="3.28515625" style="517" customWidth="1"/>
    <col min="7943" max="7943" width="11.140625" style="517" bestFit="1" customWidth="1"/>
    <col min="7944" max="7944" width="16.28515625" style="517" customWidth="1"/>
    <col min="7945" max="8192" width="9.140625" style="517"/>
    <col min="8193" max="8193" width="40.7109375" style="517" customWidth="1"/>
    <col min="8194" max="8194" width="15.7109375" style="517" bestFit="1" customWidth="1"/>
    <col min="8195" max="8195" width="9.7109375" style="517" customWidth="1"/>
    <col min="8196" max="8196" width="17.28515625" style="517" bestFit="1" customWidth="1"/>
    <col min="8197" max="8197" width="14" style="517" customWidth="1"/>
    <col min="8198" max="8198" width="3.28515625" style="517" customWidth="1"/>
    <col min="8199" max="8199" width="11.140625" style="517" bestFit="1" customWidth="1"/>
    <col min="8200" max="8200" width="16.28515625" style="517" customWidth="1"/>
    <col min="8201" max="8448" width="9.140625" style="517"/>
    <col min="8449" max="8449" width="40.7109375" style="517" customWidth="1"/>
    <col min="8450" max="8450" width="15.7109375" style="517" bestFit="1" customWidth="1"/>
    <col min="8451" max="8451" width="9.7109375" style="517" customWidth="1"/>
    <col min="8452" max="8452" width="17.28515625" style="517" bestFit="1" customWidth="1"/>
    <col min="8453" max="8453" width="14" style="517" customWidth="1"/>
    <col min="8454" max="8454" width="3.28515625" style="517" customWidth="1"/>
    <col min="8455" max="8455" width="11.140625" style="517" bestFit="1" customWidth="1"/>
    <col min="8456" max="8456" width="16.28515625" style="517" customWidth="1"/>
    <col min="8457" max="8704" width="9.140625" style="517"/>
    <col min="8705" max="8705" width="40.7109375" style="517" customWidth="1"/>
    <col min="8706" max="8706" width="15.7109375" style="517" bestFit="1" customWidth="1"/>
    <col min="8707" max="8707" width="9.7109375" style="517" customWidth="1"/>
    <col min="8708" max="8708" width="17.28515625" style="517" bestFit="1" customWidth="1"/>
    <col min="8709" max="8709" width="14" style="517" customWidth="1"/>
    <col min="8710" max="8710" width="3.28515625" style="517" customWidth="1"/>
    <col min="8711" max="8711" width="11.140625" style="517" bestFit="1" customWidth="1"/>
    <col min="8712" max="8712" width="16.28515625" style="517" customWidth="1"/>
    <col min="8713" max="8960" width="9.140625" style="517"/>
    <col min="8961" max="8961" width="40.7109375" style="517" customWidth="1"/>
    <col min="8962" max="8962" width="15.7109375" style="517" bestFit="1" customWidth="1"/>
    <col min="8963" max="8963" width="9.7109375" style="517" customWidth="1"/>
    <col min="8964" max="8964" width="17.28515625" style="517" bestFit="1" customWidth="1"/>
    <col min="8965" max="8965" width="14" style="517" customWidth="1"/>
    <col min="8966" max="8966" width="3.28515625" style="517" customWidth="1"/>
    <col min="8967" max="8967" width="11.140625" style="517" bestFit="1" customWidth="1"/>
    <col min="8968" max="8968" width="16.28515625" style="517" customWidth="1"/>
    <col min="8969" max="9216" width="9.140625" style="517"/>
    <col min="9217" max="9217" width="40.7109375" style="517" customWidth="1"/>
    <col min="9218" max="9218" width="15.7109375" style="517" bestFit="1" customWidth="1"/>
    <col min="9219" max="9219" width="9.7109375" style="517" customWidth="1"/>
    <col min="9220" max="9220" width="17.28515625" style="517" bestFit="1" customWidth="1"/>
    <col min="9221" max="9221" width="14" style="517" customWidth="1"/>
    <col min="9222" max="9222" width="3.28515625" style="517" customWidth="1"/>
    <col min="9223" max="9223" width="11.140625" style="517" bestFit="1" customWidth="1"/>
    <col min="9224" max="9224" width="16.28515625" style="517" customWidth="1"/>
    <col min="9225" max="9472" width="9.140625" style="517"/>
    <col min="9473" max="9473" width="40.7109375" style="517" customWidth="1"/>
    <col min="9474" max="9474" width="15.7109375" style="517" bestFit="1" customWidth="1"/>
    <col min="9475" max="9475" width="9.7109375" style="517" customWidth="1"/>
    <col min="9476" max="9476" width="17.28515625" style="517" bestFit="1" customWidth="1"/>
    <col min="9477" max="9477" width="14" style="517" customWidth="1"/>
    <col min="9478" max="9478" width="3.28515625" style="517" customWidth="1"/>
    <col min="9479" max="9479" width="11.140625" style="517" bestFit="1" customWidth="1"/>
    <col min="9480" max="9480" width="16.28515625" style="517" customWidth="1"/>
    <col min="9481" max="9728" width="9.140625" style="517"/>
    <col min="9729" max="9729" width="40.7109375" style="517" customWidth="1"/>
    <col min="9730" max="9730" width="15.7109375" style="517" bestFit="1" customWidth="1"/>
    <col min="9731" max="9731" width="9.7109375" style="517" customWidth="1"/>
    <col min="9732" max="9732" width="17.28515625" style="517" bestFit="1" customWidth="1"/>
    <col min="9733" max="9733" width="14" style="517" customWidth="1"/>
    <col min="9734" max="9734" width="3.28515625" style="517" customWidth="1"/>
    <col min="9735" max="9735" width="11.140625" style="517" bestFit="1" customWidth="1"/>
    <col min="9736" max="9736" width="16.28515625" style="517" customWidth="1"/>
    <col min="9737" max="9984" width="9.140625" style="517"/>
    <col min="9985" max="9985" width="40.7109375" style="517" customWidth="1"/>
    <col min="9986" max="9986" width="15.7109375" style="517" bestFit="1" customWidth="1"/>
    <col min="9987" max="9987" width="9.7109375" style="517" customWidth="1"/>
    <col min="9988" max="9988" width="17.28515625" style="517" bestFit="1" customWidth="1"/>
    <col min="9989" max="9989" width="14" style="517" customWidth="1"/>
    <col min="9990" max="9990" width="3.28515625" style="517" customWidth="1"/>
    <col min="9991" max="9991" width="11.140625" style="517" bestFit="1" customWidth="1"/>
    <col min="9992" max="9992" width="16.28515625" style="517" customWidth="1"/>
    <col min="9993" max="10240" width="9.140625" style="517"/>
    <col min="10241" max="10241" width="40.7109375" style="517" customWidth="1"/>
    <col min="10242" max="10242" width="15.7109375" style="517" bestFit="1" customWidth="1"/>
    <col min="10243" max="10243" width="9.7109375" style="517" customWidth="1"/>
    <col min="10244" max="10244" width="17.28515625" style="517" bestFit="1" customWidth="1"/>
    <col min="10245" max="10245" width="14" style="517" customWidth="1"/>
    <col min="10246" max="10246" width="3.28515625" style="517" customWidth="1"/>
    <col min="10247" max="10247" width="11.140625" style="517" bestFit="1" customWidth="1"/>
    <col min="10248" max="10248" width="16.28515625" style="517" customWidth="1"/>
    <col min="10249" max="10496" width="9.140625" style="517"/>
    <col min="10497" max="10497" width="40.7109375" style="517" customWidth="1"/>
    <col min="10498" max="10498" width="15.7109375" style="517" bestFit="1" customWidth="1"/>
    <col min="10499" max="10499" width="9.7109375" style="517" customWidth="1"/>
    <col min="10500" max="10500" width="17.28515625" style="517" bestFit="1" customWidth="1"/>
    <col min="10501" max="10501" width="14" style="517" customWidth="1"/>
    <col min="10502" max="10502" width="3.28515625" style="517" customWidth="1"/>
    <col min="10503" max="10503" width="11.140625" style="517" bestFit="1" customWidth="1"/>
    <col min="10504" max="10504" width="16.28515625" style="517" customWidth="1"/>
    <col min="10505" max="10752" width="9.140625" style="517"/>
    <col min="10753" max="10753" width="40.7109375" style="517" customWidth="1"/>
    <col min="10754" max="10754" width="15.7109375" style="517" bestFit="1" customWidth="1"/>
    <col min="10755" max="10755" width="9.7109375" style="517" customWidth="1"/>
    <col min="10756" max="10756" width="17.28515625" style="517" bestFit="1" customWidth="1"/>
    <col min="10757" max="10757" width="14" style="517" customWidth="1"/>
    <col min="10758" max="10758" width="3.28515625" style="517" customWidth="1"/>
    <col min="10759" max="10759" width="11.140625" style="517" bestFit="1" customWidth="1"/>
    <col min="10760" max="10760" width="16.28515625" style="517" customWidth="1"/>
    <col min="10761" max="11008" width="9.140625" style="517"/>
    <col min="11009" max="11009" width="40.7109375" style="517" customWidth="1"/>
    <col min="11010" max="11010" width="15.7109375" style="517" bestFit="1" customWidth="1"/>
    <col min="11011" max="11011" width="9.7109375" style="517" customWidth="1"/>
    <col min="11012" max="11012" width="17.28515625" style="517" bestFit="1" customWidth="1"/>
    <col min="11013" max="11013" width="14" style="517" customWidth="1"/>
    <col min="11014" max="11014" width="3.28515625" style="517" customWidth="1"/>
    <col min="11015" max="11015" width="11.140625" style="517" bestFit="1" customWidth="1"/>
    <col min="11016" max="11016" width="16.28515625" style="517" customWidth="1"/>
    <col min="11017" max="11264" width="9.140625" style="517"/>
    <col min="11265" max="11265" width="40.7109375" style="517" customWidth="1"/>
    <col min="11266" max="11266" width="15.7109375" style="517" bestFit="1" customWidth="1"/>
    <col min="11267" max="11267" width="9.7109375" style="517" customWidth="1"/>
    <col min="11268" max="11268" width="17.28515625" style="517" bestFit="1" customWidth="1"/>
    <col min="11269" max="11269" width="14" style="517" customWidth="1"/>
    <col min="11270" max="11270" width="3.28515625" style="517" customWidth="1"/>
    <col min="11271" max="11271" width="11.140625" style="517" bestFit="1" customWidth="1"/>
    <col min="11272" max="11272" width="16.28515625" style="517" customWidth="1"/>
    <col min="11273" max="11520" width="9.140625" style="517"/>
    <col min="11521" max="11521" width="40.7109375" style="517" customWidth="1"/>
    <col min="11522" max="11522" width="15.7109375" style="517" bestFit="1" customWidth="1"/>
    <col min="11523" max="11523" width="9.7109375" style="517" customWidth="1"/>
    <col min="11524" max="11524" width="17.28515625" style="517" bestFit="1" customWidth="1"/>
    <col min="11525" max="11525" width="14" style="517" customWidth="1"/>
    <col min="11526" max="11526" width="3.28515625" style="517" customWidth="1"/>
    <col min="11527" max="11527" width="11.140625" style="517" bestFit="1" customWidth="1"/>
    <col min="11528" max="11528" width="16.28515625" style="517" customWidth="1"/>
    <col min="11529" max="11776" width="9.140625" style="517"/>
    <col min="11777" max="11777" width="40.7109375" style="517" customWidth="1"/>
    <col min="11778" max="11778" width="15.7109375" style="517" bestFit="1" customWidth="1"/>
    <col min="11779" max="11779" width="9.7109375" style="517" customWidth="1"/>
    <col min="11780" max="11780" width="17.28515625" style="517" bestFit="1" customWidth="1"/>
    <col min="11781" max="11781" width="14" style="517" customWidth="1"/>
    <col min="11782" max="11782" width="3.28515625" style="517" customWidth="1"/>
    <col min="11783" max="11783" width="11.140625" style="517" bestFit="1" customWidth="1"/>
    <col min="11784" max="11784" width="16.28515625" style="517" customWidth="1"/>
    <col min="11785" max="12032" width="9.140625" style="517"/>
    <col min="12033" max="12033" width="40.7109375" style="517" customWidth="1"/>
    <col min="12034" max="12034" width="15.7109375" style="517" bestFit="1" customWidth="1"/>
    <col min="12035" max="12035" width="9.7109375" style="517" customWidth="1"/>
    <col min="12036" max="12036" width="17.28515625" style="517" bestFit="1" customWidth="1"/>
    <col min="12037" max="12037" width="14" style="517" customWidth="1"/>
    <col min="12038" max="12038" width="3.28515625" style="517" customWidth="1"/>
    <col min="12039" max="12039" width="11.140625" style="517" bestFit="1" customWidth="1"/>
    <col min="12040" max="12040" width="16.28515625" style="517" customWidth="1"/>
    <col min="12041" max="12288" width="9.140625" style="517"/>
    <col min="12289" max="12289" width="40.7109375" style="517" customWidth="1"/>
    <col min="12290" max="12290" width="15.7109375" style="517" bestFit="1" customWidth="1"/>
    <col min="12291" max="12291" width="9.7109375" style="517" customWidth="1"/>
    <col min="12292" max="12292" width="17.28515625" style="517" bestFit="1" customWidth="1"/>
    <col min="12293" max="12293" width="14" style="517" customWidth="1"/>
    <col min="12294" max="12294" width="3.28515625" style="517" customWidth="1"/>
    <col min="12295" max="12295" width="11.140625" style="517" bestFit="1" customWidth="1"/>
    <col min="12296" max="12296" width="16.28515625" style="517" customWidth="1"/>
    <col min="12297" max="12544" width="9.140625" style="517"/>
    <col min="12545" max="12545" width="40.7109375" style="517" customWidth="1"/>
    <col min="12546" max="12546" width="15.7109375" style="517" bestFit="1" customWidth="1"/>
    <col min="12547" max="12547" width="9.7109375" style="517" customWidth="1"/>
    <col min="12548" max="12548" width="17.28515625" style="517" bestFit="1" customWidth="1"/>
    <col min="12549" max="12549" width="14" style="517" customWidth="1"/>
    <col min="12550" max="12550" width="3.28515625" style="517" customWidth="1"/>
    <col min="12551" max="12551" width="11.140625" style="517" bestFit="1" customWidth="1"/>
    <col min="12552" max="12552" width="16.28515625" style="517" customWidth="1"/>
    <col min="12553" max="12800" width="9.140625" style="517"/>
    <col min="12801" max="12801" width="40.7109375" style="517" customWidth="1"/>
    <col min="12802" max="12802" width="15.7109375" style="517" bestFit="1" customWidth="1"/>
    <col min="12803" max="12803" width="9.7109375" style="517" customWidth="1"/>
    <col min="12804" max="12804" width="17.28515625" style="517" bestFit="1" customWidth="1"/>
    <col min="12805" max="12805" width="14" style="517" customWidth="1"/>
    <col min="12806" max="12806" width="3.28515625" style="517" customWidth="1"/>
    <col min="12807" max="12807" width="11.140625" style="517" bestFit="1" customWidth="1"/>
    <col min="12808" max="12808" width="16.28515625" style="517" customWidth="1"/>
    <col min="12809" max="13056" width="9.140625" style="517"/>
    <col min="13057" max="13057" width="40.7109375" style="517" customWidth="1"/>
    <col min="13058" max="13058" width="15.7109375" style="517" bestFit="1" customWidth="1"/>
    <col min="13059" max="13059" width="9.7109375" style="517" customWidth="1"/>
    <col min="13060" max="13060" width="17.28515625" style="517" bestFit="1" customWidth="1"/>
    <col min="13061" max="13061" width="14" style="517" customWidth="1"/>
    <col min="13062" max="13062" width="3.28515625" style="517" customWidth="1"/>
    <col min="13063" max="13063" width="11.140625" style="517" bestFit="1" customWidth="1"/>
    <col min="13064" max="13064" width="16.28515625" style="517" customWidth="1"/>
    <col min="13065" max="13312" width="9.140625" style="517"/>
    <col min="13313" max="13313" width="40.7109375" style="517" customWidth="1"/>
    <col min="13314" max="13314" width="15.7109375" style="517" bestFit="1" customWidth="1"/>
    <col min="13315" max="13315" width="9.7109375" style="517" customWidth="1"/>
    <col min="13316" max="13316" width="17.28515625" style="517" bestFit="1" customWidth="1"/>
    <col min="13317" max="13317" width="14" style="517" customWidth="1"/>
    <col min="13318" max="13318" width="3.28515625" style="517" customWidth="1"/>
    <col min="13319" max="13319" width="11.140625" style="517" bestFit="1" customWidth="1"/>
    <col min="13320" max="13320" width="16.28515625" style="517" customWidth="1"/>
    <col min="13321" max="13568" width="9.140625" style="517"/>
    <col min="13569" max="13569" width="40.7109375" style="517" customWidth="1"/>
    <col min="13570" max="13570" width="15.7109375" style="517" bestFit="1" customWidth="1"/>
    <col min="13571" max="13571" width="9.7109375" style="517" customWidth="1"/>
    <col min="13572" max="13572" width="17.28515625" style="517" bestFit="1" customWidth="1"/>
    <col min="13573" max="13573" width="14" style="517" customWidth="1"/>
    <col min="13574" max="13574" width="3.28515625" style="517" customWidth="1"/>
    <col min="13575" max="13575" width="11.140625" style="517" bestFit="1" customWidth="1"/>
    <col min="13576" max="13576" width="16.28515625" style="517" customWidth="1"/>
    <col min="13577" max="13824" width="9.140625" style="517"/>
    <col min="13825" max="13825" width="40.7109375" style="517" customWidth="1"/>
    <col min="13826" max="13826" width="15.7109375" style="517" bestFit="1" customWidth="1"/>
    <col min="13827" max="13827" width="9.7109375" style="517" customWidth="1"/>
    <col min="13828" max="13828" width="17.28515625" style="517" bestFit="1" customWidth="1"/>
    <col min="13829" max="13829" width="14" style="517" customWidth="1"/>
    <col min="13830" max="13830" width="3.28515625" style="517" customWidth="1"/>
    <col min="13831" max="13831" width="11.140625" style="517" bestFit="1" customWidth="1"/>
    <col min="13832" max="13832" width="16.28515625" style="517" customWidth="1"/>
    <col min="13833" max="14080" width="9.140625" style="517"/>
    <col min="14081" max="14081" width="40.7109375" style="517" customWidth="1"/>
    <col min="14082" max="14082" width="15.7109375" style="517" bestFit="1" customWidth="1"/>
    <col min="14083" max="14083" width="9.7109375" style="517" customWidth="1"/>
    <col min="14084" max="14084" width="17.28515625" style="517" bestFit="1" customWidth="1"/>
    <col min="14085" max="14085" width="14" style="517" customWidth="1"/>
    <col min="14086" max="14086" width="3.28515625" style="517" customWidth="1"/>
    <col min="14087" max="14087" width="11.140625" style="517" bestFit="1" customWidth="1"/>
    <col min="14088" max="14088" width="16.28515625" style="517" customWidth="1"/>
    <col min="14089" max="14336" width="9.140625" style="517"/>
    <col min="14337" max="14337" width="40.7109375" style="517" customWidth="1"/>
    <col min="14338" max="14338" width="15.7109375" style="517" bestFit="1" customWidth="1"/>
    <col min="14339" max="14339" width="9.7109375" style="517" customWidth="1"/>
    <col min="14340" max="14340" width="17.28515625" style="517" bestFit="1" customWidth="1"/>
    <col min="14341" max="14341" width="14" style="517" customWidth="1"/>
    <col min="14342" max="14342" width="3.28515625" style="517" customWidth="1"/>
    <col min="14343" max="14343" width="11.140625" style="517" bestFit="1" customWidth="1"/>
    <col min="14344" max="14344" width="16.28515625" style="517" customWidth="1"/>
    <col min="14345" max="14592" width="9.140625" style="517"/>
    <col min="14593" max="14593" width="40.7109375" style="517" customWidth="1"/>
    <col min="14594" max="14594" width="15.7109375" style="517" bestFit="1" customWidth="1"/>
    <col min="14595" max="14595" width="9.7109375" style="517" customWidth="1"/>
    <col min="14596" max="14596" width="17.28515625" style="517" bestFit="1" customWidth="1"/>
    <col min="14597" max="14597" width="14" style="517" customWidth="1"/>
    <col min="14598" max="14598" width="3.28515625" style="517" customWidth="1"/>
    <col min="14599" max="14599" width="11.140625" style="517" bestFit="1" customWidth="1"/>
    <col min="14600" max="14600" width="16.28515625" style="517" customWidth="1"/>
    <col min="14601" max="14848" width="9.140625" style="517"/>
    <col min="14849" max="14849" width="40.7109375" style="517" customWidth="1"/>
    <col min="14850" max="14850" width="15.7109375" style="517" bestFit="1" customWidth="1"/>
    <col min="14851" max="14851" width="9.7109375" style="517" customWidth="1"/>
    <col min="14852" max="14852" width="17.28515625" style="517" bestFit="1" customWidth="1"/>
    <col min="14853" max="14853" width="14" style="517" customWidth="1"/>
    <col min="14854" max="14854" width="3.28515625" style="517" customWidth="1"/>
    <col min="14855" max="14855" width="11.140625" style="517" bestFit="1" customWidth="1"/>
    <col min="14856" max="14856" width="16.28515625" style="517" customWidth="1"/>
    <col min="14857" max="15104" width="9.140625" style="517"/>
    <col min="15105" max="15105" width="40.7109375" style="517" customWidth="1"/>
    <col min="15106" max="15106" width="15.7109375" style="517" bestFit="1" customWidth="1"/>
    <col min="15107" max="15107" width="9.7109375" style="517" customWidth="1"/>
    <col min="15108" max="15108" width="17.28515625" style="517" bestFit="1" customWidth="1"/>
    <col min="15109" max="15109" width="14" style="517" customWidth="1"/>
    <col min="15110" max="15110" width="3.28515625" style="517" customWidth="1"/>
    <col min="15111" max="15111" width="11.140625" style="517" bestFit="1" customWidth="1"/>
    <col min="15112" max="15112" width="16.28515625" style="517" customWidth="1"/>
    <col min="15113" max="15360" width="9.140625" style="517"/>
    <col min="15361" max="15361" width="40.7109375" style="517" customWidth="1"/>
    <col min="15362" max="15362" width="15.7109375" style="517" bestFit="1" customWidth="1"/>
    <col min="15363" max="15363" width="9.7109375" style="517" customWidth="1"/>
    <col min="15364" max="15364" width="17.28515625" style="517" bestFit="1" customWidth="1"/>
    <col min="15365" max="15365" width="14" style="517" customWidth="1"/>
    <col min="15366" max="15366" width="3.28515625" style="517" customWidth="1"/>
    <col min="15367" max="15367" width="11.140625" style="517" bestFit="1" customWidth="1"/>
    <col min="15368" max="15368" width="16.28515625" style="517" customWidth="1"/>
    <col min="15369" max="15616" width="9.140625" style="517"/>
    <col min="15617" max="15617" width="40.7109375" style="517" customWidth="1"/>
    <col min="15618" max="15618" width="15.7109375" style="517" bestFit="1" customWidth="1"/>
    <col min="15619" max="15619" width="9.7109375" style="517" customWidth="1"/>
    <col min="15620" max="15620" width="17.28515625" style="517" bestFit="1" customWidth="1"/>
    <col min="15621" max="15621" width="14" style="517" customWidth="1"/>
    <col min="15622" max="15622" width="3.28515625" style="517" customWidth="1"/>
    <col min="15623" max="15623" width="11.140625" style="517" bestFit="1" customWidth="1"/>
    <col min="15624" max="15624" width="16.28515625" style="517" customWidth="1"/>
    <col min="15625" max="15872" width="9.140625" style="517"/>
    <col min="15873" max="15873" width="40.7109375" style="517" customWidth="1"/>
    <col min="15874" max="15874" width="15.7109375" style="517" bestFit="1" customWidth="1"/>
    <col min="15875" max="15875" width="9.7109375" style="517" customWidth="1"/>
    <col min="15876" max="15876" width="17.28515625" style="517" bestFit="1" customWidth="1"/>
    <col min="15877" max="15877" width="14" style="517" customWidth="1"/>
    <col min="15878" max="15878" width="3.28515625" style="517" customWidth="1"/>
    <col min="15879" max="15879" width="11.140625" style="517" bestFit="1" customWidth="1"/>
    <col min="15880" max="15880" width="16.28515625" style="517" customWidth="1"/>
    <col min="15881" max="16128" width="9.140625" style="517"/>
    <col min="16129" max="16129" width="40.7109375" style="517" customWidth="1"/>
    <col min="16130" max="16130" width="15.7109375" style="517" bestFit="1" customWidth="1"/>
    <col min="16131" max="16131" width="9.7109375" style="517" customWidth="1"/>
    <col min="16132" max="16132" width="17.28515625" style="517" bestFit="1" customWidth="1"/>
    <col min="16133" max="16133" width="14" style="517" customWidth="1"/>
    <col min="16134" max="16134" width="3.28515625" style="517" customWidth="1"/>
    <col min="16135" max="16135" width="11.140625" style="517" bestFit="1" customWidth="1"/>
    <col min="16136" max="16136" width="16.28515625" style="517" customWidth="1"/>
    <col min="16137" max="16384" width="9.140625" style="517"/>
  </cols>
  <sheetData>
    <row r="1" spans="1:13">
      <c r="A1" s="562" t="s">
        <v>218</v>
      </c>
    </row>
    <row r="2" spans="1:13">
      <c r="A2" s="588" t="s">
        <v>733</v>
      </c>
    </row>
    <row r="3" spans="1:13">
      <c r="A3" s="578" t="s">
        <v>668</v>
      </c>
    </row>
    <row r="5" spans="1:13" ht="51">
      <c r="A5" s="589" t="s">
        <v>734</v>
      </c>
      <c r="B5" s="589" t="s">
        <v>635</v>
      </c>
      <c r="C5" s="590" t="s">
        <v>735</v>
      </c>
      <c r="D5" s="591" t="s">
        <v>736</v>
      </c>
      <c r="E5" s="591"/>
      <c r="F5" s="591"/>
      <c r="G5" s="592" t="s">
        <v>737</v>
      </c>
      <c r="H5" s="591" t="s">
        <v>738</v>
      </c>
    </row>
    <row r="6" spans="1:13">
      <c r="B6" s="558"/>
      <c r="D6" s="558"/>
      <c r="E6" s="593"/>
      <c r="F6" s="558"/>
      <c r="G6" s="594"/>
      <c r="H6" s="595"/>
    </row>
    <row r="7" spans="1:13" ht="15" customHeight="1">
      <c r="A7" s="557" t="s">
        <v>739</v>
      </c>
      <c r="L7" s="596"/>
    </row>
    <row r="8" spans="1:13">
      <c r="A8" s="517" t="s">
        <v>740</v>
      </c>
      <c r="B8" s="597">
        <v>50000000</v>
      </c>
      <c r="C8" s="598">
        <v>12</v>
      </c>
      <c r="D8" s="597">
        <f>B8*C8</f>
        <v>600000000</v>
      </c>
      <c r="E8" s="599">
        <f t="shared" ref="E8:E41" si="0">D8/D$42</f>
        <v>2.4326070625784263E-2</v>
      </c>
      <c r="F8" s="597"/>
      <c r="G8" s="600">
        <v>7.1199999999999999E-2</v>
      </c>
      <c r="H8" s="601">
        <f t="shared" ref="H8:H29" si="1">E8*G8</f>
        <v>1.7320162285558395E-3</v>
      </c>
      <c r="I8" s="579"/>
      <c r="J8" s="600"/>
      <c r="K8" s="602"/>
      <c r="L8" s="603"/>
      <c r="M8" s="602"/>
    </row>
    <row r="9" spans="1:13">
      <c r="A9" s="517" t="s">
        <v>741</v>
      </c>
      <c r="B9" s="597">
        <v>100000000</v>
      </c>
      <c r="C9" s="518">
        <f>C$8</f>
        <v>12</v>
      </c>
      <c r="D9" s="597">
        <f t="shared" ref="D9:D41" si="2">B9*C9</f>
        <v>1200000000</v>
      </c>
      <c r="E9" s="599">
        <f t="shared" si="0"/>
        <v>4.8652141251568526E-2</v>
      </c>
      <c r="F9" s="597"/>
      <c r="G9" s="600">
        <v>6.8513000000000004E-2</v>
      </c>
      <c r="H9" s="601">
        <f t="shared" si="1"/>
        <v>3.3333041535687146E-3</v>
      </c>
      <c r="I9" s="579"/>
      <c r="J9" s="600"/>
      <c r="K9" s="602"/>
      <c r="L9" s="603"/>
      <c r="M9" s="602"/>
    </row>
    <row r="10" spans="1:13">
      <c r="A10" s="517" t="s">
        <v>742</v>
      </c>
      <c r="B10" s="597">
        <v>100000000</v>
      </c>
      <c r="C10" s="518">
        <f t="shared" ref="C10:C28" si="3">C$8</f>
        <v>12</v>
      </c>
      <c r="D10" s="597">
        <f t="shared" si="2"/>
        <v>1200000000</v>
      </c>
      <c r="E10" s="599">
        <f t="shared" si="0"/>
        <v>4.8652141251568526E-2</v>
      </c>
      <c r="F10" s="597"/>
      <c r="G10" s="600">
        <v>5.6383999999999997E-2</v>
      </c>
      <c r="H10" s="601">
        <f t="shared" si="1"/>
        <v>2.7432023323284396E-3</v>
      </c>
      <c r="I10" s="579"/>
      <c r="J10" s="600"/>
      <c r="K10" s="602"/>
      <c r="L10" s="603"/>
      <c r="M10" s="602"/>
    </row>
    <row r="11" spans="1:13">
      <c r="A11" s="517" t="s">
        <v>743</v>
      </c>
      <c r="B11" s="597">
        <v>250000000</v>
      </c>
      <c r="C11" s="518">
        <f t="shared" si="3"/>
        <v>12</v>
      </c>
      <c r="D11" s="597">
        <f t="shared" si="2"/>
        <v>3000000000</v>
      </c>
      <c r="E11" s="599">
        <f t="shared" si="0"/>
        <v>0.12163035312892133</v>
      </c>
      <c r="F11" s="597"/>
      <c r="G11" s="600">
        <v>5.9595000000000002E-2</v>
      </c>
      <c r="H11" s="601">
        <f t="shared" si="1"/>
        <v>7.2485608947180672E-3</v>
      </c>
      <c r="I11" s="579"/>
      <c r="J11" s="600"/>
      <c r="K11" s="602"/>
      <c r="L11" s="603"/>
      <c r="M11" s="602"/>
    </row>
    <row r="12" spans="1:13">
      <c r="A12" s="517" t="s">
        <v>744</v>
      </c>
      <c r="B12" s="597">
        <v>200000000</v>
      </c>
      <c r="C12" s="518">
        <f t="shared" si="3"/>
        <v>12</v>
      </c>
      <c r="D12" s="597">
        <f t="shared" si="2"/>
        <v>2400000000</v>
      </c>
      <c r="E12" s="599">
        <f t="shared" si="0"/>
        <v>9.7304282503137052E-2</v>
      </c>
      <c r="F12" s="597"/>
      <c r="G12" s="600">
        <v>5.6633999999999997E-2</v>
      </c>
      <c r="H12" s="601">
        <f t="shared" si="1"/>
        <v>5.5107307352826639E-3</v>
      </c>
      <c r="I12" s="579"/>
      <c r="J12" s="600"/>
      <c r="K12" s="602"/>
      <c r="L12" s="603"/>
      <c r="M12" s="602"/>
    </row>
    <row r="13" spans="1:13">
      <c r="A13" s="517" t="s">
        <v>745</v>
      </c>
      <c r="B13" s="597">
        <v>115000000</v>
      </c>
      <c r="C13" s="518">
        <f t="shared" si="3"/>
        <v>12</v>
      </c>
      <c r="D13" s="597">
        <f t="shared" si="2"/>
        <v>1380000000</v>
      </c>
      <c r="E13" s="599">
        <f t="shared" si="0"/>
        <v>5.5949962439303808E-2</v>
      </c>
      <c r="F13" s="597"/>
      <c r="G13" s="600">
        <v>5.4828000000000002E-2</v>
      </c>
      <c r="H13" s="601">
        <f t="shared" si="1"/>
        <v>3.0676245406221492E-3</v>
      </c>
      <c r="I13" s="579"/>
      <c r="J13" s="600"/>
      <c r="K13" s="602"/>
      <c r="L13" s="603"/>
      <c r="M13" s="602"/>
    </row>
    <row r="14" spans="1:13">
      <c r="A14" s="583" t="s">
        <v>746</v>
      </c>
      <c r="B14" s="597">
        <v>35000000</v>
      </c>
      <c r="C14" s="518">
        <f t="shared" si="3"/>
        <v>12</v>
      </c>
      <c r="D14" s="597">
        <f t="shared" si="2"/>
        <v>420000000</v>
      </c>
      <c r="E14" s="599">
        <f t="shared" si="0"/>
        <v>1.7028249438048985E-2</v>
      </c>
      <c r="F14" s="597"/>
      <c r="G14" s="600">
        <v>5.4828000000000002E-2</v>
      </c>
      <c r="H14" s="601">
        <f t="shared" si="1"/>
        <v>9.3362486018934974E-4</v>
      </c>
      <c r="I14" s="579"/>
      <c r="J14" s="600"/>
      <c r="K14" s="602"/>
      <c r="L14" s="603"/>
      <c r="M14" s="602"/>
    </row>
    <row r="15" spans="1:13">
      <c r="A15" s="583" t="s">
        <v>747</v>
      </c>
      <c r="B15" s="597">
        <v>100000000</v>
      </c>
      <c r="C15" s="518">
        <f t="shared" si="3"/>
        <v>12</v>
      </c>
      <c r="D15" s="597">
        <f t="shared" si="2"/>
        <v>1200000000</v>
      </c>
      <c r="E15" s="599">
        <f t="shared" si="0"/>
        <v>4.8652141251568526E-2</v>
      </c>
      <c r="F15" s="597"/>
      <c r="G15" s="600">
        <v>4.6550000000000001E-2</v>
      </c>
      <c r="H15" s="601">
        <f t="shared" si="1"/>
        <v>2.2647571752605149E-3</v>
      </c>
      <c r="I15" s="579"/>
      <c r="J15" s="604"/>
      <c r="K15" s="602"/>
      <c r="L15" s="603"/>
      <c r="M15" s="602"/>
    </row>
    <row r="16" spans="1:13">
      <c r="A16" s="583" t="s">
        <v>748</v>
      </c>
      <c r="B16" s="597">
        <v>50000000</v>
      </c>
      <c r="C16" s="518">
        <f t="shared" si="3"/>
        <v>12</v>
      </c>
      <c r="D16" s="597">
        <f t="shared" si="2"/>
        <v>600000000</v>
      </c>
      <c r="E16" s="599">
        <f t="shared" si="0"/>
        <v>2.4326070625784263E-2</v>
      </c>
      <c r="F16" s="597"/>
      <c r="G16" s="604">
        <v>5.7703999999999998E-2</v>
      </c>
      <c r="H16" s="601">
        <f t="shared" si="1"/>
        <v>1.4037115793902552E-3</v>
      </c>
      <c r="I16" s="579"/>
      <c r="J16" s="604"/>
      <c r="K16" s="602"/>
      <c r="L16" s="603"/>
      <c r="M16" s="602"/>
    </row>
    <row r="17" spans="1:13">
      <c r="A17" s="583" t="s">
        <v>749</v>
      </c>
      <c r="B17" s="535">
        <v>75000000</v>
      </c>
      <c r="C17" s="518">
        <f t="shared" si="3"/>
        <v>12</v>
      </c>
      <c r="D17" s="597">
        <f t="shared" si="2"/>
        <v>900000000</v>
      </c>
      <c r="E17" s="599">
        <f t="shared" si="0"/>
        <v>3.6489105938676394E-2</v>
      </c>
      <c r="F17" s="597"/>
      <c r="G17" s="604">
        <v>4.2229999999999997E-2</v>
      </c>
      <c r="H17" s="601">
        <f t="shared" si="1"/>
        <v>1.540934943790304E-3</v>
      </c>
      <c r="I17" s="579"/>
      <c r="J17" s="604"/>
      <c r="K17" s="602"/>
      <c r="L17" s="603"/>
      <c r="M17" s="602"/>
    </row>
    <row r="18" spans="1:13">
      <c r="A18" s="560" t="s">
        <v>750</v>
      </c>
      <c r="B18" s="535">
        <v>75000000</v>
      </c>
      <c r="C18" s="518">
        <f t="shared" si="3"/>
        <v>12</v>
      </c>
      <c r="D18" s="597">
        <f t="shared" si="2"/>
        <v>900000000</v>
      </c>
      <c r="E18" s="599">
        <f t="shared" si="0"/>
        <v>3.6489105938676394E-2</v>
      </c>
      <c r="F18" s="597"/>
      <c r="G18" s="604">
        <v>4.3235999999999997E-2</v>
      </c>
      <c r="H18" s="601">
        <f t="shared" si="1"/>
        <v>1.5776429843646124E-3</v>
      </c>
      <c r="I18" s="579"/>
      <c r="J18" s="604"/>
      <c r="K18" s="602"/>
      <c r="L18" s="603"/>
      <c r="M18" s="602"/>
    </row>
    <row r="19" spans="1:13">
      <c r="A19" s="605" t="s">
        <v>751</v>
      </c>
      <c r="B19" s="535">
        <v>150000000</v>
      </c>
      <c r="C19" s="518">
        <f t="shared" si="3"/>
        <v>12</v>
      </c>
      <c r="D19" s="597">
        <f t="shared" si="2"/>
        <v>1800000000</v>
      </c>
      <c r="E19" s="599">
        <f t="shared" si="0"/>
        <v>7.2978211877352789E-2</v>
      </c>
      <c r="F19" s="597"/>
      <c r="G19" s="604">
        <v>5.2138999999999998E-2</v>
      </c>
      <c r="H19" s="601">
        <f t="shared" si="1"/>
        <v>3.805010989073297E-3</v>
      </c>
      <c r="I19" s="579"/>
      <c r="J19" s="604"/>
      <c r="K19" s="602"/>
      <c r="L19" s="603"/>
      <c r="M19" s="602"/>
    </row>
    <row r="20" spans="1:13">
      <c r="A20" s="606" t="s">
        <v>752</v>
      </c>
      <c r="B20" s="535">
        <v>150000000</v>
      </c>
      <c r="C20" s="518">
        <f t="shared" si="3"/>
        <v>12</v>
      </c>
      <c r="D20" s="597">
        <f t="shared" si="2"/>
        <v>1800000000</v>
      </c>
      <c r="E20" s="599">
        <f t="shared" si="0"/>
        <v>7.2978211877352789E-2</v>
      </c>
      <c r="F20" s="597"/>
      <c r="G20" s="604">
        <v>4.4116000000000002E-2</v>
      </c>
      <c r="H20" s="601">
        <f t="shared" si="1"/>
        <v>3.2195067951812958E-3</v>
      </c>
      <c r="I20" s="579"/>
      <c r="J20" s="600"/>
      <c r="K20" s="602"/>
      <c r="L20" s="603"/>
      <c r="M20" s="602"/>
    </row>
    <row r="21" spans="1:13">
      <c r="A21" s="517" t="s">
        <v>753</v>
      </c>
      <c r="B21" s="535">
        <v>50000000</v>
      </c>
      <c r="C21" s="518">
        <f t="shared" si="3"/>
        <v>12</v>
      </c>
      <c r="D21" s="597">
        <f t="shared" si="2"/>
        <v>600000000</v>
      </c>
      <c r="E21" s="599">
        <f t="shared" si="0"/>
        <v>2.4326070625784263E-2</v>
      </c>
      <c r="F21" s="597"/>
      <c r="G21" s="600">
        <v>3.7962000000000003E-2</v>
      </c>
      <c r="H21" s="601">
        <f t="shared" si="1"/>
        <v>9.2346629309602224E-4</v>
      </c>
      <c r="I21" s="579"/>
      <c r="J21" s="600"/>
      <c r="K21" s="602"/>
      <c r="L21" s="603"/>
      <c r="M21" s="602"/>
    </row>
    <row r="22" spans="1:13">
      <c r="A22" s="556" t="s">
        <v>754</v>
      </c>
      <c r="B22" s="535">
        <v>50000000</v>
      </c>
      <c r="C22" s="518">
        <f t="shared" si="3"/>
        <v>12</v>
      </c>
      <c r="D22" s="597">
        <f t="shared" si="2"/>
        <v>600000000</v>
      </c>
      <c r="E22" s="599">
        <f t="shared" si="0"/>
        <v>2.4326070625784263E-2</v>
      </c>
      <c r="F22" s="597"/>
      <c r="G22" s="600">
        <v>4.7147000000000001E-2</v>
      </c>
      <c r="H22" s="601">
        <f t="shared" si="1"/>
        <v>1.1469012517938506E-3</v>
      </c>
      <c r="I22" s="579"/>
      <c r="J22" s="604"/>
      <c r="K22" s="602"/>
      <c r="L22" s="603"/>
      <c r="M22" s="602"/>
    </row>
    <row r="23" spans="1:13" s="518" customFormat="1">
      <c r="A23" s="607" t="s">
        <v>755</v>
      </c>
      <c r="B23" s="608">
        <v>75000000</v>
      </c>
      <c r="C23" s="518">
        <f t="shared" si="3"/>
        <v>12</v>
      </c>
      <c r="D23" s="535">
        <f t="shared" si="2"/>
        <v>900000000</v>
      </c>
      <c r="E23" s="601">
        <f t="shared" si="0"/>
        <v>3.6489105938676394E-2</v>
      </c>
      <c r="F23" s="535"/>
      <c r="G23" s="604">
        <v>3.4189999999999998E-2</v>
      </c>
      <c r="H23" s="601">
        <f t="shared" si="1"/>
        <v>1.2475625320433458E-3</v>
      </c>
      <c r="I23" s="609"/>
      <c r="J23" s="600"/>
      <c r="K23" s="602"/>
      <c r="L23" s="603"/>
      <c r="M23" s="602"/>
    </row>
    <row r="24" spans="1:13" s="518" customFormat="1">
      <c r="A24" s="607" t="s">
        <v>756</v>
      </c>
      <c r="B24" s="608">
        <v>29000000</v>
      </c>
      <c r="C24" s="518">
        <f t="shared" si="3"/>
        <v>12</v>
      </c>
      <c r="D24" s="535">
        <f t="shared" si="2"/>
        <v>348000000</v>
      </c>
      <c r="E24" s="601">
        <f t="shared" si="0"/>
        <v>1.4109120962954873E-2</v>
      </c>
      <c r="F24" s="535"/>
      <c r="G24" s="604">
        <v>3.6534999999999998E-2</v>
      </c>
      <c r="H24" s="601">
        <f t="shared" si="1"/>
        <v>5.1547673438155628E-4</v>
      </c>
      <c r="I24" s="609"/>
      <c r="J24" s="600"/>
      <c r="K24" s="602"/>
      <c r="L24" s="603"/>
      <c r="M24" s="602"/>
    </row>
    <row r="25" spans="1:13" s="518" customFormat="1">
      <c r="A25" s="607" t="s">
        <v>757</v>
      </c>
      <c r="B25" s="608">
        <v>47000000</v>
      </c>
      <c r="C25" s="518">
        <f t="shared" si="3"/>
        <v>12</v>
      </c>
      <c r="D25" s="535">
        <f t="shared" si="2"/>
        <v>564000000</v>
      </c>
      <c r="E25" s="601">
        <f t="shared" si="0"/>
        <v>2.2866506388237208E-2</v>
      </c>
      <c r="F25" s="535"/>
      <c r="G25" s="604">
        <v>4.3498000000000002E-2</v>
      </c>
      <c r="H25" s="601">
        <f t="shared" si="1"/>
        <v>9.9464729487554215E-4</v>
      </c>
      <c r="I25" s="609"/>
      <c r="J25" s="600"/>
      <c r="K25" s="602"/>
      <c r="L25" s="603"/>
      <c r="M25" s="602"/>
    </row>
    <row r="26" spans="1:13" s="518" customFormat="1">
      <c r="A26" s="607" t="s">
        <v>758</v>
      </c>
      <c r="B26" s="608">
        <v>50000000</v>
      </c>
      <c r="C26" s="518">
        <f t="shared" si="3"/>
        <v>12</v>
      </c>
      <c r="D26" s="535">
        <f t="shared" si="2"/>
        <v>600000000</v>
      </c>
      <c r="E26" s="601">
        <f t="shared" si="0"/>
        <v>2.4326070625784263E-2</v>
      </c>
      <c r="F26" s="535"/>
      <c r="G26" s="604">
        <v>3.5195999999999998E-2</v>
      </c>
      <c r="H26" s="601">
        <f t="shared" si="1"/>
        <v>8.5618038174510287E-4</v>
      </c>
      <c r="I26" s="609"/>
      <c r="J26" s="600"/>
      <c r="K26" s="602"/>
      <c r="L26" s="603"/>
      <c r="M26" s="602"/>
    </row>
    <row r="27" spans="1:13">
      <c r="A27" s="607" t="s">
        <v>759</v>
      </c>
      <c r="B27" s="608">
        <v>21000000</v>
      </c>
      <c r="C27" s="518">
        <f t="shared" si="3"/>
        <v>12</v>
      </c>
      <c r="D27" s="535">
        <f t="shared" si="2"/>
        <v>252000000</v>
      </c>
      <c r="E27" s="601">
        <f t="shared" si="0"/>
        <v>1.0216949662829392E-2</v>
      </c>
      <c r="F27" s="535"/>
      <c r="G27" s="604">
        <v>3.7555999999999999E-2</v>
      </c>
      <c r="H27" s="601">
        <f t="shared" si="1"/>
        <v>3.837077615372206E-4</v>
      </c>
      <c r="I27" s="579"/>
    </row>
    <row r="28" spans="1:13">
      <c r="A28" s="607" t="s">
        <v>760</v>
      </c>
      <c r="B28" s="608">
        <v>28000000</v>
      </c>
      <c r="C28" s="518">
        <f t="shared" si="3"/>
        <v>12</v>
      </c>
      <c r="D28" s="535">
        <f>B28*C28</f>
        <v>336000000</v>
      </c>
      <c r="E28" s="601">
        <f>D28/D$42</f>
        <v>1.3622599550439188E-2</v>
      </c>
      <c r="F28" s="535"/>
      <c r="G28" s="604">
        <v>4.4517000000000001E-2</v>
      </c>
      <c r="H28" s="601">
        <f t="shared" si="1"/>
        <v>6.0643726418690134E-4</v>
      </c>
      <c r="I28" s="579"/>
    </row>
    <row r="29" spans="1:13">
      <c r="A29" s="607" t="s">
        <v>773</v>
      </c>
      <c r="B29" s="608">
        <v>75000000</v>
      </c>
      <c r="C29" s="489">
        <f>C$8-11+(16/30)</f>
        <v>1.5333333333333332</v>
      </c>
      <c r="D29" s="535">
        <f>B29*C29</f>
        <v>114999999.99999999</v>
      </c>
      <c r="E29" s="601">
        <f>D29/D$42</f>
        <v>4.6624968699419834E-3</v>
      </c>
      <c r="F29" s="535"/>
      <c r="G29" s="604">
        <v>4.0488000000000003E-2</v>
      </c>
      <c r="H29" s="601">
        <f t="shared" si="1"/>
        <v>1.8877517327021103E-4</v>
      </c>
      <c r="I29" s="579"/>
    </row>
    <row r="30" spans="1:13">
      <c r="A30" s="583" t="s">
        <v>761</v>
      </c>
      <c r="B30" s="610">
        <v>208383806.45161289</v>
      </c>
      <c r="C30" s="611">
        <v>1</v>
      </c>
      <c r="D30" s="597">
        <f t="shared" si="2"/>
        <v>208383806.45161289</v>
      </c>
      <c r="E30" s="599">
        <f t="shared" si="0"/>
        <v>8.4485986550194899E-3</v>
      </c>
      <c r="F30" s="597"/>
      <c r="G30" s="612">
        <v>4.2661107961766576E-3</v>
      </c>
      <c r="H30" s="601">
        <f>E30*G30</f>
        <v>3.6042657934742235E-5</v>
      </c>
      <c r="I30" s="579"/>
    </row>
    <row r="31" spans="1:13">
      <c r="A31" s="517" t="s">
        <v>762</v>
      </c>
      <c r="B31" s="610">
        <v>209357862.06896546</v>
      </c>
      <c r="C31" s="611">
        <v>1</v>
      </c>
      <c r="D31" s="597">
        <f t="shared" si="2"/>
        <v>209357862.06896546</v>
      </c>
      <c r="E31" s="599">
        <f t="shared" si="0"/>
        <v>8.4880902312547569E-3</v>
      </c>
      <c r="F31" s="597"/>
      <c r="G31" s="612">
        <v>4.7129773669173638E-3</v>
      </c>
      <c r="H31" s="601">
        <f t="shared" ref="H31:H41" si="4">E31*G31</f>
        <v>4.0004177148256044E-5</v>
      </c>
      <c r="I31" s="579"/>
    </row>
    <row r="32" spans="1:13">
      <c r="A32" s="517" t="s">
        <v>763</v>
      </c>
      <c r="B32" s="610">
        <v>217679645.16129035</v>
      </c>
      <c r="C32" s="611">
        <v>1</v>
      </c>
      <c r="D32" s="597">
        <f t="shared" si="2"/>
        <v>217679645.16129035</v>
      </c>
      <c r="E32" s="599">
        <f t="shared" si="0"/>
        <v>8.8254840366486786E-3</v>
      </c>
      <c r="F32" s="597"/>
      <c r="G32" s="612">
        <v>4.8771398158495415E-3</v>
      </c>
      <c r="H32" s="601">
        <f t="shared" si="4"/>
        <v>4.3043119589283803E-5</v>
      </c>
      <c r="I32" s="579"/>
    </row>
    <row r="33" spans="1:9">
      <c r="A33" s="517" t="s">
        <v>764</v>
      </c>
      <c r="B33" s="610">
        <v>215599566.66666672</v>
      </c>
      <c r="C33" s="611">
        <v>1</v>
      </c>
      <c r="D33" s="597">
        <f t="shared" si="2"/>
        <v>215599566.66666672</v>
      </c>
      <c r="E33" s="599">
        <f t="shared" si="0"/>
        <v>8.7411504760363627E-3</v>
      </c>
      <c r="F33" s="597"/>
      <c r="G33" s="612">
        <v>4.865184175540241E-3</v>
      </c>
      <c r="H33" s="601">
        <f t="shared" si="4"/>
        <v>4.2527306972028154E-5</v>
      </c>
      <c r="I33" s="579"/>
    </row>
    <row r="34" spans="1:9">
      <c r="A34" s="517" t="s">
        <v>765</v>
      </c>
      <c r="B34" s="610">
        <v>258050322.58064511</v>
      </c>
      <c r="C34" s="611">
        <v>1</v>
      </c>
      <c r="D34" s="597">
        <f t="shared" si="2"/>
        <v>258050322.58064511</v>
      </c>
      <c r="E34" s="599">
        <f t="shared" si="0"/>
        <v>1.0462250620171976E-2</v>
      </c>
      <c r="F34" s="597"/>
      <c r="G34" s="612">
        <v>4.9913045217486974E-3</v>
      </c>
      <c r="H34" s="601">
        <f t="shared" si="4"/>
        <v>5.2220278828132497E-5</v>
      </c>
      <c r="I34" s="579"/>
    </row>
    <row r="35" spans="1:9">
      <c r="A35" s="517" t="s">
        <v>766</v>
      </c>
      <c r="B35" s="610">
        <v>253880533.33333328</v>
      </c>
      <c r="C35" s="611">
        <v>1</v>
      </c>
      <c r="D35" s="597">
        <f t="shared" si="2"/>
        <v>253880533.33333328</v>
      </c>
      <c r="E35" s="599">
        <f t="shared" si="0"/>
        <v>1.0293192973964069E-2</v>
      </c>
      <c r="F35" s="597"/>
      <c r="G35" s="612">
        <v>5.4509464162671795E-3</v>
      </c>
      <c r="H35" s="601">
        <f t="shared" si="4"/>
        <v>5.6107643353375954E-5</v>
      </c>
      <c r="I35" s="579"/>
    </row>
    <row r="36" spans="1:9">
      <c r="A36" s="517" t="s">
        <v>767</v>
      </c>
      <c r="B36" s="610">
        <v>248702806.45161292</v>
      </c>
      <c r="C36" s="611">
        <v>1</v>
      </c>
      <c r="D36" s="597">
        <f t="shared" si="2"/>
        <v>248702806.45161292</v>
      </c>
      <c r="E36" s="599">
        <f t="shared" si="0"/>
        <v>1.0083270057621151E-2</v>
      </c>
      <c r="F36" s="597"/>
      <c r="G36" s="612">
        <v>5.7404842701880079E-3</v>
      </c>
      <c r="H36" s="601">
        <f t="shared" si="4"/>
        <v>5.7882853157831944E-5</v>
      </c>
      <c r="I36" s="580"/>
    </row>
    <row r="37" spans="1:9">
      <c r="A37" s="583" t="s">
        <v>768</v>
      </c>
      <c r="B37" s="610">
        <v>262729451.61290324</v>
      </c>
      <c r="C37" s="611">
        <v>1</v>
      </c>
      <c r="D37" s="597">
        <f t="shared" si="2"/>
        <v>262729451.61290324</v>
      </c>
      <c r="E37" s="599">
        <f t="shared" si="0"/>
        <v>1.065195865901509E-2</v>
      </c>
      <c r="F37" s="597"/>
      <c r="G37" s="612">
        <v>5.5845275398597825E-3</v>
      </c>
      <c r="H37" s="601">
        <f t="shared" si="4"/>
        <v>5.9486156484717653E-5</v>
      </c>
      <c r="I37" s="579"/>
    </row>
    <row r="38" spans="1:9">
      <c r="A38" s="583" t="s">
        <v>769</v>
      </c>
      <c r="B38" s="610">
        <v>269635233.33333337</v>
      </c>
      <c r="C38" s="611">
        <v>1</v>
      </c>
      <c r="D38" s="597">
        <f t="shared" si="2"/>
        <v>269635233.33333337</v>
      </c>
      <c r="E38" s="599">
        <f t="shared" si="0"/>
        <v>1.0931942882110812E-2</v>
      </c>
      <c r="F38" s="597"/>
      <c r="G38" s="612">
        <v>5.6900253638959382E-3</v>
      </c>
      <c r="H38" s="601">
        <f t="shared" si="4"/>
        <v>6.2203032275872175E-5</v>
      </c>
      <c r="I38" s="579"/>
    </row>
    <row r="39" spans="1:9">
      <c r="A39" s="583" t="s">
        <v>770</v>
      </c>
      <c r="B39" s="610">
        <v>280289483.87096775</v>
      </c>
      <c r="C39" s="611">
        <v>1</v>
      </c>
      <c r="D39" s="597">
        <f t="shared" si="2"/>
        <v>280289483.87096775</v>
      </c>
      <c r="E39" s="599">
        <f t="shared" si="0"/>
        <v>1.1363902967182968E-2</v>
      </c>
      <c r="F39" s="597"/>
      <c r="G39" s="612">
        <v>5.7920973178191117E-3</v>
      </c>
      <c r="H39" s="601">
        <f t="shared" si="4"/>
        <v>6.5820831896177111E-5</v>
      </c>
      <c r="I39" s="579"/>
    </row>
    <row r="40" spans="1:9">
      <c r="A40" s="583" t="s">
        <v>771</v>
      </c>
      <c r="B40" s="610">
        <v>271208299.99999994</v>
      </c>
      <c r="C40" s="611">
        <v>1</v>
      </c>
      <c r="D40" s="597">
        <f t="shared" si="2"/>
        <v>271208299.99999994</v>
      </c>
      <c r="E40" s="599">
        <f t="shared" si="0"/>
        <v>1.0995720433498142E-2</v>
      </c>
      <c r="F40" s="597"/>
      <c r="G40" s="612">
        <v>5.797911728119433E-3</v>
      </c>
      <c r="H40" s="601">
        <f t="shared" si="4"/>
        <v>6.3752216460501374E-5</v>
      </c>
      <c r="I40" s="579"/>
    </row>
    <row r="41" spans="1:9">
      <c r="A41" s="583" t="s">
        <v>772</v>
      </c>
      <c r="B41" s="613">
        <v>254378903.2258065</v>
      </c>
      <c r="C41" s="611">
        <v>1</v>
      </c>
      <c r="D41" s="614">
        <f t="shared" si="2"/>
        <v>254378903.2258065</v>
      </c>
      <c r="E41" s="615">
        <f t="shared" si="0"/>
        <v>1.0313398609300849E-2</v>
      </c>
      <c r="F41" s="597"/>
      <c r="G41" s="612">
        <v>6.7384288689998368E-3</v>
      </c>
      <c r="H41" s="601">
        <f t="shared" si="4"/>
        <v>6.9496102926415614E-5</v>
      </c>
      <c r="I41" s="579"/>
    </row>
    <row r="42" spans="1:9" ht="13.5" thickBot="1">
      <c r="B42" s="559">
        <f>SUM(B8:B41)</f>
        <v>4824895914.7571373</v>
      </c>
      <c r="D42" s="559">
        <f>SUM(D8:D41)</f>
        <v>24664895914.757141</v>
      </c>
      <c r="E42" s="599">
        <f>SUM(E8:E41)</f>
        <v>0.99999999999999967</v>
      </c>
      <c r="F42" s="616"/>
      <c r="G42" s="617"/>
      <c r="H42" s="618">
        <f>SUM(H8:H41)</f>
        <v>4.5892369276282596E-2</v>
      </c>
    </row>
    <row r="43" spans="1:9" ht="13.5" thickTop="1">
      <c r="G43" s="619"/>
      <c r="H43" s="518"/>
    </row>
    <row r="44" spans="1:9">
      <c r="G44" s="619"/>
      <c r="H44" s="621"/>
    </row>
    <row r="47" spans="1:9">
      <c r="H47" s="620"/>
    </row>
  </sheetData>
  <sheetProtection formatCells="0" formatColumns="0" formatRows="0" insertRows="0"/>
  <pageMargins left="0.75" right="0.75" top="1" bottom="1" header="0.5" footer="0.5"/>
  <pageSetup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2.75"/>
  <cols>
    <col min="1" max="1" width="23.28515625" style="517" customWidth="1"/>
    <col min="2" max="2" width="11.140625" style="517" customWidth="1"/>
    <col min="3" max="3" width="12.140625" style="517" customWidth="1"/>
    <col min="4" max="4" width="14.5703125" style="517" customWidth="1"/>
    <col min="5" max="5" width="9.140625" style="517"/>
    <col min="6" max="6" width="9.7109375" style="517" bestFit="1" customWidth="1"/>
    <col min="7" max="256" width="9.140625" style="517"/>
    <col min="257" max="257" width="23.28515625" style="517" customWidth="1"/>
    <col min="258" max="258" width="11.140625" style="517" customWidth="1"/>
    <col min="259" max="259" width="12.140625" style="517" customWidth="1"/>
    <col min="260" max="260" width="14.5703125" style="517" customWidth="1"/>
    <col min="261" max="261" width="9.140625" style="517"/>
    <col min="262" max="262" width="9.7109375" style="517" bestFit="1" customWidth="1"/>
    <col min="263" max="512" width="9.140625" style="517"/>
    <col min="513" max="513" width="23.28515625" style="517" customWidth="1"/>
    <col min="514" max="514" width="11.140625" style="517" customWidth="1"/>
    <col min="515" max="515" width="12.140625" style="517" customWidth="1"/>
    <col min="516" max="516" width="14.5703125" style="517" customWidth="1"/>
    <col min="517" max="517" width="9.140625" style="517"/>
    <col min="518" max="518" width="9.7109375" style="517" bestFit="1" customWidth="1"/>
    <col min="519" max="768" width="9.140625" style="517"/>
    <col min="769" max="769" width="23.28515625" style="517" customWidth="1"/>
    <col min="770" max="770" width="11.140625" style="517" customWidth="1"/>
    <col min="771" max="771" width="12.140625" style="517" customWidth="1"/>
    <col min="772" max="772" width="14.5703125" style="517" customWidth="1"/>
    <col min="773" max="773" width="9.140625" style="517"/>
    <col min="774" max="774" width="9.7109375" style="517" bestFit="1" customWidth="1"/>
    <col min="775" max="1024" width="9.140625" style="517"/>
    <col min="1025" max="1025" width="23.28515625" style="517" customWidth="1"/>
    <col min="1026" max="1026" width="11.140625" style="517" customWidth="1"/>
    <col min="1027" max="1027" width="12.140625" style="517" customWidth="1"/>
    <col min="1028" max="1028" width="14.5703125" style="517" customWidth="1"/>
    <col min="1029" max="1029" width="9.140625" style="517"/>
    <col min="1030" max="1030" width="9.7109375" style="517" bestFit="1" customWidth="1"/>
    <col min="1031" max="1280" width="9.140625" style="517"/>
    <col min="1281" max="1281" width="23.28515625" style="517" customWidth="1"/>
    <col min="1282" max="1282" width="11.140625" style="517" customWidth="1"/>
    <col min="1283" max="1283" width="12.140625" style="517" customWidth="1"/>
    <col min="1284" max="1284" width="14.5703125" style="517" customWidth="1"/>
    <col min="1285" max="1285" width="9.140625" style="517"/>
    <col min="1286" max="1286" width="9.7109375" style="517" bestFit="1" customWidth="1"/>
    <col min="1287" max="1536" width="9.140625" style="517"/>
    <col min="1537" max="1537" width="23.28515625" style="517" customWidth="1"/>
    <col min="1538" max="1538" width="11.140625" style="517" customWidth="1"/>
    <col min="1539" max="1539" width="12.140625" style="517" customWidth="1"/>
    <col min="1540" max="1540" width="14.5703125" style="517" customWidth="1"/>
    <col min="1541" max="1541" width="9.140625" style="517"/>
    <col min="1542" max="1542" width="9.7109375" style="517" bestFit="1" customWidth="1"/>
    <col min="1543" max="1792" width="9.140625" style="517"/>
    <col min="1793" max="1793" width="23.28515625" style="517" customWidth="1"/>
    <col min="1794" max="1794" width="11.140625" style="517" customWidth="1"/>
    <col min="1795" max="1795" width="12.140625" style="517" customWidth="1"/>
    <col min="1796" max="1796" width="14.5703125" style="517" customWidth="1"/>
    <col min="1797" max="1797" width="9.140625" style="517"/>
    <col min="1798" max="1798" width="9.7109375" style="517" bestFit="1" customWidth="1"/>
    <col min="1799" max="2048" width="9.140625" style="517"/>
    <col min="2049" max="2049" width="23.28515625" style="517" customWidth="1"/>
    <col min="2050" max="2050" width="11.140625" style="517" customWidth="1"/>
    <col min="2051" max="2051" width="12.140625" style="517" customWidth="1"/>
    <col min="2052" max="2052" width="14.5703125" style="517" customWidth="1"/>
    <col min="2053" max="2053" width="9.140625" style="517"/>
    <col min="2054" max="2054" width="9.7109375" style="517" bestFit="1" customWidth="1"/>
    <col min="2055" max="2304" width="9.140625" style="517"/>
    <col min="2305" max="2305" width="23.28515625" style="517" customWidth="1"/>
    <col min="2306" max="2306" width="11.140625" style="517" customWidth="1"/>
    <col min="2307" max="2307" width="12.140625" style="517" customWidth="1"/>
    <col min="2308" max="2308" width="14.5703125" style="517" customWidth="1"/>
    <col min="2309" max="2309" width="9.140625" style="517"/>
    <col min="2310" max="2310" width="9.7109375" style="517" bestFit="1" customWidth="1"/>
    <col min="2311" max="2560" width="9.140625" style="517"/>
    <col min="2561" max="2561" width="23.28515625" style="517" customWidth="1"/>
    <col min="2562" max="2562" width="11.140625" style="517" customWidth="1"/>
    <col min="2563" max="2563" width="12.140625" style="517" customWidth="1"/>
    <col min="2564" max="2564" width="14.5703125" style="517" customWidth="1"/>
    <col min="2565" max="2565" width="9.140625" style="517"/>
    <col min="2566" max="2566" width="9.7109375" style="517" bestFit="1" customWidth="1"/>
    <col min="2567" max="2816" width="9.140625" style="517"/>
    <col min="2817" max="2817" width="23.28515625" style="517" customWidth="1"/>
    <col min="2818" max="2818" width="11.140625" style="517" customWidth="1"/>
    <col min="2819" max="2819" width="12.140625" style="517" customWidth="1"/>
    <col min="2820" max="2820" width="14.5703125" style="517" customWidth="1"/>
    <col min="2821" max="2821" width="9.140625" style="517"/>
    <col min="2822" max="2822" width="9.7109375" style="517" bestFit="1" customWidth="1"/>
    <col min="2823" max="3072" width="9.140625" style="517"/>
    <col min="3073" max="3073" width="23.28515625" style="517" customWidth="1"/>
    <col min="3074" max="3074" width="11.140625" style="517" customWidth="1"/>
    <col min="3075" max="3075" width="12.140625" style="517" customWidth="1"/>
    <col min="3076" max="3076" width="14.5703125" style="517" customWidth="1"/>
    <col min="3077" max="3077" width="9.140625" style="517"/>
    <col min="3078" max="3078" width="9.7109375" style="517" bestFit="1" customWidth="1"/>
    <col min="3079" max="3328" width="9.140625" style="517"/>
    <col min="3329" max="3329" width="23.28515625" style="517" customWidth="1"/>
    <col min="3330" max="3330" width="11.140625" style="517" customWidth="1"/>
    <col min="3331" max="3331" width="12.140625" style="517" customWidth="1"/>
    <col min="3332" max="3332" width="14.5703125" style="517" customWidth="1"/>
    <col min="3333" max="3333" width="9.140625" style="517"/>
    <col min="3334" max="3334" width="9.7109375" style="517" bestFit="1" customWidth="1"/>
    <col min="3335" max="3584" width="9.140625" style="517"/>
    <col min="3585" max="3585" width="23.28515625" style="517" customWidth="1"/>
    <col min="3586" max="3586" width="11.140625" style="517" customWidth="1"/>
    <col min="3587" max="3587" width="12.140625" style="517" customWidth="1"/>
    <col min="3588" max="3588" width="14.5703125" style="517" customWidth="1"/>
    <col min="3589" max="3589" width="9.140625" style="517"/>
    <col min="3590" max="3590" width="9.7109375" style="517" bestFit="1" customWidth="1"/>
    <col min="3591" max="3840" width="9.140625" style="517"/>
    <col min="3841" max="3841" width="23.28515625" style="517" customWidth="1"/>
    <col min="3842" max="3842" width="11.140625" style="517" customWidth="1"/>
    <col min="3843" max="3843" width="12.140625" style="517" customWidth="1"/>
    <col min="3844" max="3844" width="14.5703125" style="517" customWidth="1"/>
    <col min="3845" max="3845" width="9.140625" style="517"/>
    <col min="3846" max="3846" width="9.7109375" style="517" bestFit="1" customWidth="1"/>
    <col min="3847" max="4096" width="9.140625" style="517"/>
    <col min="4097" max="4097" width="23.28515625" style="517" customWidth="1"/>
    <col min="4098" max="4098" width="11.140625" style="517" customWidth="1"/>
    <col min="4099" max="4099" width="12.140625" style="517" customWidth="1"/>
    <col min="4100" max="4100" width="14.5703125" style="517" customWidth="1"/>
    <col min="4101" max="4101" width="9.140625" style="517"/>
    <col min="4102" max="4102" width="9.7109375" style="517" bestFit="1" customWidth="1"/>
    <col min="4103" max="4352" width="9.140625" style="517"/>
    <col min="4353" max="4353" width="23.28515625" style="517" customWidth="1"/>
    <col min="4354" max="4354" width="11.140625" style="517" customWidth="1"/>
    <col min="4355" max="4355" width="12.140625" style="517" customWidth="1"/>
    <col min="4356" max="4356" width="14.5703125" style="517" customWidth="1"/>
    <col min="4357" max="4357" width="9.140625" style="517"/>
    <col min="4358" max="4358" width="9.7109375" style="517" bestFit="1" customWidth="1"/>
    <col min="4359" max="4608" width="9.140625" style="517"/>
    <col min="4609" max="4609" width="23.28515625" style="517" customWidth="1"/>
    <col min="4610" max="4610" width="11.140625" style="517" customWidth="1"/>
    <col min="4611" max="4611" width="12.140625" style="517" customWidth="1"/>
    <col min="4612" max="4612" width="14.5703125" style="517" customWidth="1"/>
    <col min="4613" max="4613" width="9.140625" style="517"/>
    <col min="4614" max="4614" width="9.7109375" style="517" bestFit="1" customWidth="1"/>
    <col min="4615" max="4864" width="9.140625" style="517"/>
    <col min="4865" max="4865" width="23.28515625" style="517" customWidth="1"/>
    <col min="4866" max="4866" width="11.140625" style="517" customWidth="1"/>
    <col min="4867" max="4867" width="12.140625" style="517" customWidth="1"/>
    <col min="4868" max="4868" width="14.5703125" style="517" customWidth="1"/>
    <col min="4869" max="4869" width="9.140625" style="517"/>
    <col min="4870" max="4870" width="9.7109375" style="517" bestFit="1" customWidth="1"/>
    <col min="4871" max="5120" width="9.140625" style="517"/>
    <col min="5121" max="5121" width="23.28515625" style="517" customWidth="1"/>
    <col min="5122" max="5122" width="11.140625" style="517" customWidth="1"/>
    <col min="5123" max="5123" width="12.140625" style="517" customWidth="1"/>
    <col min="5124" max="5124" width="14.5703125" style="517" customWidth="1"/>
    <col min="5125" max="5125" width="9.140625" style="517"/>
    <col min="5126" max="5126" width="9.7109375" style="517" bestFit="1" customWidth="1"/>
    <col min="5127" max="5376" width="9.140625" style="517"/>
    <col min="5377" max="5377" width="23.28515625" style="517" customWidth="1"/>
    <col min="5378" max="5378" width="11.140625" style="517" customWidth="1"/>
    <col min="5379" max="5379" width="12.140625" style="517" customWidth="1"/>
    <col min="5380" max="5380" width="14.5703125" style="517" customWidth="1"/>
    <col min="5381" max="5381" width="9.140625" style="517"/>
    <col min="5382" max="5382" width="9.7109375" style="517" bestFit="1" customWidth="1"/>
    <col min="5383" max="5632" width="9.140625" style="517"/>
    <col min="5633" max="5633" width="23.28515625" style="517" customWidth="1"/>
    <col min="5634" max="5634" width="11.140625" style="517" customWidth="1"/>
    <col min="5635" max="5635" width="12.140625" style="517" customWidth="1"/>
    <col min="5636" max="5636" width="14.5703125" style="517" customWidth="1"/>
    <col min="5637" max="5637" width="9.140625" style="517"/>
    <col min="5638" max="5638" width="9.7109375" style="517" bestFit="1" customWidth="1"/>
    <col min="5639" max="5888" width="9.140625" style="517"/>
    <col min="5889" max="5889" width="23.28515625" style="517" customWidth="1"/>
    <col min="5890" max="5890" width="11.140625" style="517" customWidth="1"/>
    <col min="5891" max="5891" width="12.140625" style="517" customWidth="1"/>
    <col min="5892" max="5892" width="14.5703125" style="517" customWidth="1"/>
    <col min="5893" max="5893" width="9.140625" style="517"/>
    <col min="5894" max="5894" width="9.7109375" style="517" bestFit="1" customWidth="1"/>
    <col min="5895" max="6144" width="9.140625" style="517"/>
    <col min="6145" max="6145" width="23.28515625" style="517" customWidth="1"/>
    <col min="6146" max="6146" width="11.140625" style="517" customWidth="1"/>
    <col min="6147" max="6147" width="12.140625" style="517" customWidth="1"/>
    <col min="6148" max="6148" width="14.5703125" style="517" customWidth="1"/>
    <col min="6149" max="6149" width="9.140625" style="517"/>
    <col min="6150" max="6150" width="9.7109375" style="517" bestFit="1" customWidth="1"/>
    <col min="6151" max="6400" width="9.140625" style="517"/>
    <col min="6401" max="6401" width="23.28515625" style="517" customWidth="1"/>
    <col min="6402" max="6402" width="11.140625" style="517" customWidth="1"/>
    <col min="6403" max="6403" width="12.140625" style="517" customWidth="1"/>
    <col min="6404" max="6404" width="14.5703125" style="517" customWidth="1"/>
    <col min="6405" max="6405" width="9.140625" style="517"/>
    <col min="6406" max="6406" width="9.7109375" style="517" bestFit="1" customWidth="1"/>
    <col min="6407" max="6656" width="9.140625" style="517"/>
    <col min="6657" max="6657" width="23.28515625" style="517" customWidth="1"/>
    <col min="6658" max="6658" width="11.140625" style="517" customWidth="1"/>
    <col min="6659" max="6659" width="12.140625" style="517" customWidth="1"/>
    <col min="6660" max="6660" width="14.5703125" style="517" customWidth="1"/>
    <col min="6661" max="6661" width="9.140625" style="517"/>
    <col min="6662" max="6662" width="9.7109375" style="517" bestFit="1" customWidth="1"/>
    <col min="6663" max="6912" width="9.140625" style="517"/>
    <col min="6913" max="6913" width="23.28515625" style="517" customWidth="1"/>
    <col min="6914" max="6914" width="11.140625" style="517" customWidth="1"/>
    <col min="6915" max="6915" width="12.140625" style="517" customWidth="1"/>
    <col min="6916" max="6916" width="14.5703125" style="517" customWidth="1"/>
    <col min="6917" max="6917" width="9.140625" style="517"/>
    <col min="6918" max="6918" width="9.7109375" style="517" bestFit="1" customWidth="1"/>
    <col min="6919" max="7168" width="9.140625" style="517"/>
    <col min="7169" max="7169" width="23.28515625" style="517" customWidth="1"/>
    <col min="7170" max="7170" width="11.140625" style="517" customWidth="1"/>
    <col min="7171" max="7171" width="12.140625" style="517" customWidth="1"/>
    <col min="7172" max="7172" width="14.5703125" style="517" customWidth="1"/>
    <col min="7173" max="7173" width="9.140625" style="517"/>
    <col min="7174" max="7174" width="9.7109375" style="517" bestFit="1" customWidth="1"/>
    <col min="7175" max="7424" width="9.140625" style="517"/>
    <col min="7425" max="7425" width="23.28515625" style="517" customWidth="1"/>
    <col min="7426" max="7426" width="11.140625" style="517" customWidth="1"/>
    <col min="7427" max="7427" width="12.140625" style="517" customWidth="1"/>
    <col min="7428" max="7428" width="14.5703125" style="517" customWidth="1"/>
    <col min="7429" max="7429" width="9.140625" style="517"/>
    <col min="7430" max="7430" width="9.7109375" style="517" bestFit="1" customWidth="1"/>
    <col min="7431" max="7680" width="9.140625" style="517"/>
    <col min="7681" max="7681" width="23.28515625" style="517" customWidth="1"/>
    <col min="7682" max="7682" width="11.140625" style="517" customWidth="1"/>
    <col min="7683" max="7683" width="12.140625" style="517" customWidth="1"/>
    <col min="7684" max="7684" width="14.5703125" style="517" customWidth="1"/>
    <col min="7685" max="7685" width="9.140625" style="517"/>
    <col min="7686" max="7686" width="9.7109375" style="517" bestFit="1" customWidth="1"/>
    <col min="7687" max="7936" width="9.140625" style="517"/>
    <col min="7937" max="7937" width="23.28515625" style="517" customWidth="1"/>
    <col min="7938" max="7938" width="11.140625" style="517" customWidth="1"/>
    <col min="7939" max="7939" width="12.140625" style="517" customWidth="1"/>
    <col min="7940" max="7940" width="14.5703125" style="517" customWidth="1"/>
    <col min="7941" max="7941" width="9.140625" style="517"/>
    <col min="7942" max="7942" width="9.7109375" style="517" bestFit="1" customWidth="1"/>
    <col min="7943" max="8192" width="9.140625" style="517"/>
    <col min="8193" max="8193" width="23.28515625" style="517" customWidth="1"/>
    <col min="8194" max="8194" width="11.140625" style="517" customWidth="1"/>
    <col min="8195" max="8195" width="12.140625" style="517" customWidth="1"/>
    <col min="8196" max="8196" width="14.5703125" style="517" customWidth="1"/>
    <col min="8197" max="8197" width="9.140625" style="517"/>
    <col min="8198" max="8198" width="9.7109375" style="517" bestFit="1" customWidth="1"/>
    <col min="8199" max="8448" width="9.140625" style="517"/>
    <col min="8449" max="8449" width="23.28515625" style="517" customWidth="1"/>
    <col min="8450" max="8450" width="11.140625" style="517" customWidth="1"/>
    <col min="8451" max="8451" width="12.140625" style="517" customWidth="1"/>
    <col min="8452" max="8452" width="14.5703125" style="517" customWidth="1"/>
    <col min="8453" max="8453" width="9.140625" style="517"/>
    <col min="8454" max="8454" width="9.7109375" style="517" bestFit="1" customWidth="1"/>
    <col min="8455" max="8704" width="9.140625" style="517"/>
    <col min="8705" max="8705" width="23.28515625" style="517" customWidth="1"/>
    <col min="8706" max="8706" width="11.140625" style="517" customWidth="1"/>
    <col min="8707" max="8707" width="12.140625" style="517" customWidth="1"/>
    <col min="8708" max="8708" width="14.5703125" style="517" customWidth="1"/>
    <col min="8709" max="8709" width="9.140625" style="517"/>
    <col min="8710" max="8710" width="9.7109375" style="517" bestFit="1" customWidth="1"/>
    <col min="8711" max="8960" width="9.140625" style="517"/>
    <col min="8961" max="8961" width="23.28515625" style="517" customWidth="1"/>
    <col min="8962" max="8962" width="11.140625" style="517" customWidth="1"/>
    <col min="8963" max="8963" width="12.140625" style="517" customWidth="1"/>
    <col min="8964" max="8964" width="14.5703125" style="517" customWidth="1"/>
    <col min="8965" max="8965" width="9.140625" style="517"/>
    <col min="8966" max="8966" width="9.7109375" style="517" bestFit="1" customWidth="1"/>
    <col min="8967" max="9216" width="9.140625" style="517"/>
    <col min="9217" max="9217" width="23.28515625" style="517" customWidth="1"/>
    <col min="9218" max="9218" width="11.140625" style="517" customWidth="1"/>
    <col min="9219" max="9219" width="12.140625" style="517" customWidth="1"/>
    <col min="9220" max="9220" width="14.5703125" style="517" customWidth="1"/>
    <col min="9221" max="9221" width="9.140625" style="517"/>
    <col min="9222" max="9222" width="9.7109375" style="517" bestFit="1" customWidth="1"/>
    <col min="9223" max="9472" width="9.140625" style="517"/>
    <col min="9473" max="9473" width="23.28515625" style="517" customWidth="1"/>
    <col min="9474" max="9474" width="11.140625" style="517" customWidth="1"/>
    <col min="9475" max="9475" width="12.140625" style="517" customWidth="1"/>
    <col min="9476" max="9476" width="14.5703125" style="517" customWidth="1"/>
    <col min="9477" max="9477" width="9.140625" style="517"/>
    <col min="9478" max="9478" width="9.7109375" style="517" bestFit="1" customWidth="1"/>
    <col min="9479" max="9728" width="9.140625" style="517"/>
    <col min="9729" max="9729" width="23.28515625" style="517" customWidth="1"/>
    <col min="9730" max="9730" width="11.140625" style="517" customWidth="1"/>
    <col min="9731" max="9731" width="12.140625" style="517" customWidth="1"/>
    <col min="9732" max="9732" width="14.5703125" style="517" customWidth="1"/>
    <col min="9733" max="9733" width="9.140625" style="517"/>
    <col min="9734" max="9734" width="9.7109375" style="517" bestFit="1" customWidth="1"/>
    <col min="9735" max="9984" width="9.140625" style="517"/>
    <col min="9985" max="9985" width="23.28515625" style="517" customWidth="1"/>
    <col min="9986" max="9986" width="11.140625" style="517" customWidth="1"/>
    <col min="9987" max="9987" width="12.140625" style="517" customWidth="1"/>
    <col min="9988" max="9988" width="14.5703125" style="517" customWidth="1"/>
    <col min="9989" max="9989" width="9.140625" style="517"/>
    <col min="9990" max="9990" width="9.7109375" style="517" bestFit="1" customWidth="1"/>
    <col min="9991" max="10240" width="9.140625" style="517"/>
    <col min="10241" max="10241" width="23.28515625" style="517" customWidth="1"/>
    <col min="10242" max="10242" width="11.140625" style="517" customWidth="1"/>
    <col min="10243" max="10243" width="12.140625" style="517" customWidth="1"/>
    <col min="10244" max="10244" width="14.5703125" style="517" customWidth="1"/>
    <col min="10245" max="10245" width="9.140625" style="517"/>
    <col min="10246" max="10246" width="9.7109375" style="517" bestFit="1" customWidth="1"/>
    <col min="10247" max="10496" width="9.140625" style="517"/>
    <col min="10497" max="10497" width="23.28515625" style="517" customWidth="1"/>
    <col min="10498" max="10498" width="11.140625" style="517" customWidth="1"/>
    <col min="10499" max="10499" width="12.140625" style="517" customWidth="1"/>
    <col min="10500" max="10500" width="14.5703125" style="517" customWidth="1"/>
    <col min="10501" max="10501" width="9.140625" style="517"/>
    <col min="10502" max="10502" width="9.7109375" style="517" bestFit="1" customWidth="1"/>
    <col min="10503" max="10752" width="9.140625" style="517"/>
    <col min="10753" max="10753" width="23.28515625" style="517" customWidth="1"/>
    <col min="10754" max="10754" width="11.140625" style="517" customWidth="1"/>
    <col min="10755" max="10755" width="12.140625" style="517" customWidth="1"/>
    <col min="10756" max="10756" width="14.5703125" style="517" customWidth="1"/>
    <col min="10757" max="10757" width="9.140625" style="517"/>
    <col min="10758" max="10758" width="9.7109375" style="517" bestFit="1" customWidth="1"/>
    <col min="10759" max="11008" width="9.140625" style="517"/>
    <col min="11009" max="11009" width="23.28515625" style="517" customWidth="1"/>
    <col min="11010" max="11010" width="11.140625" style="517" customWidth="1"/>
    <col min="11011" max="11011" width="12.140625" style="517" customWidth="1"/>
    <col min="11012" max="11012" width="14.5703125" style="517" customWidth="1"/>
    <col min="11013" max="11013" width="9.140625" style="517"/>
    <col min="11014" max="11014" width="9.7109375" style="517" bestFit="1" customWidth="1"/>
    <col min="11015" max="11264" width="9.140625" style="517"/>
    <col min="11265" max="11265" width="23.28515625" style="517" customWidth="1"/>
    <col min="11266" max="11266" width="11.140625" style="517" customWidth="1"/>
    <col min="11267" max="11267" width="12.140625" style="517" customWidth="1"/>
    <col min="11268" max="11268" width="14.5703125" style="517" customWidth="1"/>
    <col min="11269" max="11269" width="9.140625" style="517"/>
    <col min="11270" max="11270" width="9.7109375" style="517" bestFit="1" customWidth="1"/>
    <col min="11271" max="11520" width="9.140625" style="517"/>
    <col min="11521" max="11521" width="23.28515625" style="517" customWidth="1"/>
    <col min="11522" max="11522" width="11.140625" style="517" customWidth="1"/>
    <col min="11523" max="11523" width="12.140625" style="517" customWidth="1"/>
    <col min="11524" max="11524" width="14.5703125" style="517" customWidth="1"/>
    <col min="11525" max="11525" width="9.140625" style="517"/>
    <col min="11526" max="11526" width="9.7109375" style="517" bestFit="1" customWidth="1"/>
    <col min="11527" max="11776" width="9.140625" style="517"/>
    <col min="11777" max="11777" width="23.28515625" style="517" customWidth="1"/>
    <col min="11778" max="11778" width="11.140625" style="517" customWidth="1"/>
    <col min="11779" max="11779" width="12.140625" style="517" customWidth="1"/>
    <col min="11780" max="11780" width="14.5703125" style="517" customWidth="1"/>
    <col min="11781" max="11781" width="9.140625" style="517"/>
    <col min="11782" max="11782" width="9.7109375" style="517" bestFit="1" customWidth="1"/>
    <col min="11783" max="12032" width="9.140625" style="517"/>
    <col min="12033" max="12033" width="23.28515625" style="517" customWidth="1"/>
    <col min="12034" max="12034" width="11.140625" style="517" customWidth="1"/>
    <col min="12035" max="12035" width="12.140625" style="517" customWidth="1"/>
    <col min="12036" max="12036" width="14.5703125" style="517" customWidth="1"/>
    <col min="12037" max="12037" width="9.140625" style="517"/>
    <col min="12038" max="12038" width="9.7109375" style="517" bestFit="1" customWidth="1"/>
    <col min="12039" max="12288" width="9.140625" style="517"/>
    <col min="12289" max="12289" width="23.28515625" style="517" customWidth="1"/>
    <col min="12290" max="12290" width="11.140625" style="517" customWidth="1"/>
    <col min="12291" max="12291" width="12.140625" style="517" customWidth="1"/>
    <col min="12292" max="12292" width="14.5703125" style="517" customWidth="1"/>
    <col min="12293" max="12293" width="9.140625" style="517"/>
    <col min="12294" max="12294" width="9.7109375" style="517" bestFit="1" customWidth="1"/>
    <col min="12295" max="12544" width="9.140625" style="517"/>
    <col min="12545" max="12545" width="23.28515625" style="517" customWidth="1"/>
    <col min="12546" max="12546" width="11.140625" style="517" customWidth="1"/>
    <col min="12547" max="12547" width="12.140625" style="517" customWidth="1"/>
    <col min="12548" max="12548" width="14.5703125" style="517" customWidth="1"/>
    <col min="12549" max="12549" width="9.140625" style="517"/>
    <col min="12550" max="12550" width="9.7109375" style="517" bestFit="1" customWidth="1"/>
    <col min="12551" max="12800" width="9.140625" style="517"/>
    <col min="12801" max="12801" width="23.28515625" style="517" customWidth="1"/>
    <col min="12802" max="12802" width="11.140625" style="517" customWidth="1"/>
    <col min="12803" max="12803" width="12.140625" style="517" customWidth="1"/>
    <col min="12804" max="12804" width="14.5703125" style="517" customWidth="1"/>
    <col min="12805" max="12805" width="9.140625" style="517"/>
    <col min="12806" max="12806" width="9.7109375" style="517" bestFit="1" customWidth="1"/>
    <col min="12807" max="13056" width="9.140625" style="517"/>
    <col min="13057" max="13057" width="23.28515625" style="517" customWidth="1"/>
    <col min="13058" max="13058" width="11.140625" style="517" customWidth="1"/>
    <col min="13059" max="13059" width="12.140625" style="517" customWidth="1"/>
    <col min="13060" max="13060" width="14.5703125" style="517" customWidth="1"/>
    <col min="13061" max="13061" width="9.140625" style="517"/>
    <col min="13062" max="13062" width="9.7109375" style="517" bestFit="1" customWidth="1"/>
    <col min="13063" max="13312" width="9.140625" style="517"/>
    <col min="13313" max="13313" width="23.28515625" style="517" customWidth="1"/>
    <col min="13314" max="13314" width="11.140625" style="517" customWidth="1"/>
    <col min="13315" max="13315" width="12.140625" style="517" customWidth="1"/>
    <col min="13316" max="13316" width="14.5703125" style="517" customWidth="1"/>
    <col min="13317" max="13317" width="9.140625" style="517"/>
    <col min="13318" max="13318" width="9.7109375" style="517" bestFit="1" customWidth="1"/>
    <col min="13319" max="13568" width="9.140625" style="517"/>
    <col min="13569" max="13569" width="23.28515625" style="517" customWidth="1"/>
    <col min="13570" max="13570" width="11.140625" style="517" customWidth="1"/>
    <col min="13571" max="13571" width="12.140625" style="517" customWidth="1"/>
    <col min="13572" max="13572" width="14.5703125" style="517" customWidth="1"/>
    <col min="13573" max="13573" width="9.140625" style="517"/>
    <col min="13574" max="13574" width="9.7109375" style="517" bestFit="1" customWidth="1"/>
    <col min="13575" max="13824" width="9.140625" style="517"/>
    <col min="13825" max="13825" width="23.28515625" style="517" customWidth="1"/>
    <col min="13826" max="13826" width="11.140625" style="517" customWidth="1"/>
    <col min="13827" max="13827" width="12.140625" style="517" customWidth="1"/>
    <col min="13828" max="13828" width="14.5703125" style="517" customWidth="1"/>
    <col min="13829" max="13829" width="9.140625" style="517"/>
    <col min="13830" max="13830" width="9.7109375" style="517" bestFit="1" customWidth="1"/>
    <col min="13831" max="14080" width="9.140625" style="517"/>
    <col min="14081" max="14081" width="23.28515625" style="517" customWidth="1"/>
    <col min="14082" max="14082" width="11.140625" style="517" customWidth="1"/>
    <col min="14083" max="14083" width="12.140625" style="517" customWidth="1"/>
    <col min="14084" max="14084" width="14.5703125" style="517" customWidth="1"/>
    <col min="14085" max="14085" width="9.140625" style="517"/>
    <col min="14086" max="14086" width="9.7109375" style="517" bestFit="1" customWidth="1"/>
    <col min="14087" max="14336" width="9.140625" style="517"/>
    <col min="14337" max="14337" width="23.28515625" style="517" customWidth="1"/>
    <col min="14338" max="14338" width="11.140625" style="517" customWidth="1"/>
    <col min="14339" max="14339" width="12.140625" style="517" customWidth="1"/>
    <col min="14340" max="14340" width="14.5703125" style="517" customWidth="1"/>
    <col min="14341" max="14341" width="9.140625" style="517"/>
    <col min="14342" max="14342" width="9.7109375" style="517" bestFit="1" customWidth="1"/>
    <col min="14343" max="14592" width="9.140625" style="517"/>
    <col min="14593" max="14593" width="23.28515625" style="517" customWidth="1"/>
    <col min="14594" max="14594" width="11.140625" style="517" customWidth="1"/>
    <col min="14595" max="14595" width="12.140625" style="517" customWidth="1"/>
    <col min="14596" max="14596" width="14.5703125" style="517" customWidth="1"/>
    <col min="14597" max="14597" width="9.140625" style="517"/>
    <col min="14598" max="14598" width="9.7109375" style="517" bestFit="1" customWidth="1"/>
    <col min="14599" max="14848" width="9.140625" style="517"/>
    <col min="14849" max="14849" width="23.28515625" style="517" customWidth="1"/>
    <col min="14850" max="14850" width="11.140625" style="517" customWidth="1"/>
    <col min="14851" max="14851" width="12.140625" style="517" customWidth="1"/>
    <col min="14852" max="14852" width="14.5703125" style="517" customWidth="1"/>
    <col min="14853" max="14853" width="9.140625" style="517"/>
    <col min="14854" max="14854" width="9.7109375" style="517" bestFit="1" customWidth="1"/>
    <col min="14855" max="15104" width="9.140625" style="517"/>
    <col min="15105" max="15105" width="23.28515625" style="517" customWidth="1"/>
    <col min="15106" max="15106" width="11.140625" style="517" customWidth="1"/>
    <col min="15107" max="15107" width="12.140625" style="517" customWidth="1"/>
    <col min="15108" max="15108" width="14.5703125" style="517" customWidth="1"/>
    <col min="15109" max="15109" width="9.140625" style="517"/>
    <col min="15110" max="15110" width="9.7109375" style="517" bestFit="1" customWidth="1"/>
    <col min="15111" max="15360" width="9.140625" style="517"/>
    <col min="15361" max="15361" width="23.28515625" style="517" customWidth="1"/>
    <col min="15362" max="15362" width="11.140625" style="517" customWidth="1"/>
    <col min="15363" max="15363" width="12.140625" style="517" customWidth="1"/>
    <col min="15364" max="15364" width="14.5703125" style="517" customWidth="1"/>
    <col min="15365" max="15365" width="9.140625" style="517"/>
    <col min="15366" max="15366" width="9.7109375" style="517" bestFit="1" customWidth="1"/>
    <col min="15367" max="15616" width="9.140625" style="517"/>
    <col min="15617" max="15617" width="23.28515625" style="517" customWidth="1"/>
    <col min="15618" max="15618" width="11.140625" style="517" customWidth="1"/>
    <col min="15619" max="15619" width="12.140625" style="517" customWidth="1"/>
    <col min="15620" max="15620" width="14.5703125" style="517" customWidth="1"/>
    <col min="15621" max="15621" width="9.140625" style="517"/>
    <col min="15622" max="15622" width="9.7109375" style="517" bestFit="1" customWidth="1"/>
    <col min="15623" max="15872" width="9.140625" style="517"/>
    <col min="15873" max="15873" width="23.28515625" style="517" customWidth="1"/>
    <col min="15874" max="15874" width="11.140625" style="517" customWidth="1"/>
    <col min="15875" max="15875" width="12.140625" style="517" customWidth="1"/>
    <col min="15876" max="15876" width="14.5703125" style="517" customWidth="1"/>
    <col min="15877" max="15877" width="9.140625" style="517"/>
    <col min="15878" max="15878" width="9.7109375" style="517" bestFit="1" customWidth="1"/>
    <col min="15879" max="16128" width="9.140625" style="517"/>
    <col min="16129" max="16129" width="23.28515625" style="517" customWidth="1"/>
    <col min="16130" max="16130" width="11.140625" style="517" customWidth="1"/>
    <col min="16131" max="16131" width="12.140625" style="517" customWidth="1"/>
    <col min="16132" max="16132" width="14.5703125" style="517" customWidth="1"/>
    <col min="16133" max="16133" width="9.140625" style="517"/>
    <col min="16134" max="16134" width="9.7109375" style="517" bestFit="1" customWidth="1"/>
    <col min="16135" max="16384" width="9.140625" style="517"/>
  </cols>
  <sheetData>
    <row r="1" spans="1:8">
      <c r="A1" s="562" t="s">
        <v>218</v>
      </c>
    </row>
    <row r="2" spans="1:8">
      <c r="A2" s="588" t="s">
        <v>961</v>
      </c>
    </row>
    <row r="3" spans="1:8">
      <c r="A3" s="959" t="s">
        <v>668</v>
      </c>
      <c r="H3" s="916"/>
    </row>
    <row r="4" spans="1:8">
      <c r="H4" s="916"/>
    </row>
    <row r="5" spans="1:8">
      <c r="H5" s="916"/>
    </row>
    <row r="6" spans="1:8">
      <c r="H6" s="916"/>
    </row>
    <row r="7" spans="1:8">
      <c r="B7" s="561" t="s">
        <v>10</v>
      </c>
      <c r="C7" s="561" t="s">
        <v>962</v>
      </c>
      <c r="D7" s="561" t="s">
        <v>963</v>
      </c>
      <c r="F7" s="561" t="s">
        <v>964</v>
      </c>
      <c r="H7" s="916"/>
    </row>
    <row r="8" spans="1:8">
      <c r="A8" s="517" t="s">
        <v>965</v>
      </c>
    </row>
    <row r="10" spans="1:8">
      <c r="A10" s="517" t="s">
        <v>966</v>
      </c>
      <c r="B10" s="517">
        <v>0</v>
      </c>
      <c r="C10" s="917">
        <f>F10/12*E10</f>
        <v>715248</v>
      </c>
      <c r="E10" s="517">
        <v>12</v>
      </c>
      <c r="F10" s="918">
        <v>715248</v>
      </c>
    </row>
    <row r="11" spans="1:8">
      <c r="F11" s="518"/>
    </row>
    <row r="12" spans="1:8">
      <c r="A12" s="556" t="s">
        <v>967</v>
      </c>
      <c r="D12" s="919">
        <f>+F12/12*E12</f>
        <v>9800</v>
      </c>
      <c r="E12" s="517">
        <f>+E10</f>
        <v>12</v>
      </c>
      <c r="F12" s="920">
        <v>9800</v>
      </c>
    </row>
    <row r="14" spans="1:8">
      <c r="C14" s="921">
        <f>SUM(C10:C13)</f>
        <v>715248</v>
      </c>
      <c r="D14" s="921">
        <f>SUM(D10:D13)</f>
        <v>9800</v>
      </c>
    </row>
    <row r="15" spans="1:8">
      <c r="A15" s="517" t="s">
        <v>968</v>
      </c>
      <c r="C15" s="922">
        <f>'ATC Attach O ER15-358'!D185</f>
        <v>0.3685213792710586</v>
      </c>
      <c r="D15" s="960">
        <f>+C15-('ATC Attach O ER15-358'!D312*(1-'ATC Attach O ER15-358'!D315))</f>
        <v>4.509204295597441E-2</v>
      </c>
    </row>
    <row r="17" spans="1:4">
      <c r="A17" s="517" t="s">
        <v>10</v>
      </c>
      <c r="B17" s="923">
        <f>SUM(C17:D17)</f>
        <v>264026</v>
      </c>
      <c r="C17" s="921">
        <f>ROUND(C15*C14,0)</f>
        <v>263584</v>
      </c>
      <c r="D17" s="921">
        <f>ROUND(D15*D14,0)</f>
        <v>442</v>
      </c>
    </row>
    <row r="19" spans="1:4">
      <c r="B19" s="582"/>
    </row>
  </sheetData>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P35"/>
  <sheetViews>
    <sheetView workbookViewId="0"/>
  </sheetViews>
  <sheetFormatPr defaultColWidth="8.85546875" defaultRowHeight="15"/>
  <cols>
    <col min="1" max="1" width="26" style="966" customWidth="1"/>
    <col min="2" max="2" width="2.7109375" style="966" customWidth="1"/>
    <col min="3" max="4" width="20.28515625" style="966" customWidth="1"/>
    <col min="5" max="5" width="2.7109375" style="966" customWidth="1"/>
    <col min="6" max="6" width="20.28515625" style="966" customWidth="1"/>
    <col min="7" max="7" width="2.7109375" style="966" customWidth="1"/>
    <col min="8" max="8" width="19" style="966" customWidth="1"/>
    <col min="9" max="9" width="2.42578125" style="966" customWidth="1"/>
    <col min="10" max="10" width="19" style="966" customWidth="1"/>
    <col min="11" max="11" width="2.5703125" style="966" customWidth="1"/>
    <col min="12" max="12" width="19.28515625" style="966" customWidth="1"/>
    <col min="13" max="13" width="2.28515625" style="966" customWidth="1"/>
    <col min="14" max="14" width="19.28515625" style="966" customWidth="1"/>
    <col min="15" max="15" width="2.28515625" style="966" customWidth="1"/>
    <col min="16" max="16" width="25.42578125" style="966" customWidth="1"/>
    <col min="17" max="17" width="2.28515625" style="966" customWidth="1"/>
    <col min="18" max="16384" width="8.85546875" style="966"/>
  </cols>
  <sheetData>
    <row r="4" spans="1:16">
      <c r="F4" s="967"/>
      <c r="J4" s="967" t="s">
        <v>969</v>
      </c>
      <c r="L4" s="967"/>
      <c r="M4" s="967"/>
      <c r="P4" s="967" t="s">
        <v>1021</v>
      </c>
    </row>
    <row r="5" spans="1:16">
      <c r="A5" s="968"/>
      <c r="C5" s="967" t="s">
        <v>970</v>
      </c>
      <c r="F5" s="967" t="s">
        <v>971</v>
      </c>
      <c r="J5" s="967" t="s">
        <v>972</v>
      </c>
      <c r="K5" s="967"/>
      <c r="N5" s="967" t="s">
        <v>1022</v>
      </c>
      <c r="P5" s="967" t="s">
        <v>1023</v>
      </c>
    </row>
    <row r="6" spans="1:16">
      <c r="A6" s="968" t="s">
        <v>973</v>
      </c>
      <c r="B6" s="968"/>
      <c r="C6" s="969">
        <v>4259130</v>
      </c>
      <c r="D6" s="969"/>
      <c r="F6" s="969">
        <v>7301297</v>
      </c>
      <c r="J6" s="970">
        <f>SUM(C6:F6)</f>
        <v>11560427</v>
      </c>
      <c r="K6" s="970"/>
      <c r="N6" s="969">
        <f>-464391-695</f>
        <v>-465086</v>
      </c>
      <c r="P6" s="967" t="s">
        <v>1024</v>
      </c>
    </row>
    <row r="7" spans="1:16">
      <c r="A7" s="968"/>
      <c r="B7" s="968"/>
      <c r="C7" s="969"/>
      <c r="D7" s="969"/>
      <c r="F7" s="969"/>
      <c r="L7" s="970"/>
      <c r="M7" s="970"/>
    </row>
    <row r="8" spans="1:16">
      <c r="B8" s="968"/>
      <c r="C8" s="971" t="s">
        <v>974</v>
      </c>
      <c r="D8" s="972" t="s">
        <v>975</v>
      </c>
      <c r="F8" s="973" t="s">
        <v>974</v>
      </c>
      <c r="H8" s="973" t="s">
        <v>975</v>
      </c>
      <c r="I8" s="974"/>
      <c r="J8" s="973" t="s">
        <v>974</v>
      </c>
      <c r="K8" s="974"/>
      <c r="L8" s="973" t="s">
        <v>975</v>
      </c>
      <c r="M8" s="974"/>
    </row>
    <row r="9" spans="1:16">
      <c r="A9" s="968" t="s">
        <v>976</v>
      </c>
      <c r="B9" s="968"/>
      <c r="C9" s="969">
        <f t="shared" ref="C9:C18" si="0">ROUND($C$6/10,0)</f>
        <v>425913</v>
      </c>
      <c r="D9" s="969">
        <f>C6-C9</f>
        <v>3833217</v>
      </c>
      <c r="F9" s="970">
        <f>ROUND(F6/22,0)</f>
        <v>331877</v>
      </c>
      <c r="H9" s="970">
        <f>F6-F9</f>
        <v>6969420</v>
      </c>
      <c r="I9" s="970"/>
      <c r="J9" s="970">
        <f t="shared" ref="J9:J30" si="1">C9+F9</f>
        <v>757790</v>
      </c>
      <c r="K9" s="970"/>
      <c r="L9" s="970">
        <f>J6-J9</f>
        <v>10802637</v>
      </c>
      <c r="M9" s="970"/>
      <c r="N9" s="969"/>
    </row>
    <row r="10" spans="1:16">
      <c r="A10" s="968" t="s">
        <v>977</v>
      </c>
      <c r="B10" s="968"/>
      <c r="C10" s="969">
        <f t="shared" si="0"/>
        <v>425913</v>
      </c>
      <c r="D10" s="969">
        <f t="shared" ref="D10:D18" si="2">D9-C10</f>
        <v>3407304</v>
      </c>
      <c r="F10" s="970">
        <f>F9</f>
        <v>331877</v>
      </c>
      <c r="H10" s="970">
        <f t="shared" ref="H10:H30" si="3">H9-F10</f>
        <v>6637543</v>
      </c>
      <c r="I10" s="970"/>
      <c r="J10" s="970">
        <f t="shared" si="1"/>
        <v>757790</v>
      </c>
      <c r="K10" s="970"/>
      <c r="L10" s="970">
        <f t="shared" ref="L10:L30" si="4">L9-J10</f>
        <v>10044847</v>
      </c>
      <c r="M10" s="970"/>
      <c r="N10" s="969">
        <f>ROUND($N$6/22,0)</f>
        <v>-21140</v>
      </c>
      <c r="P10" s="975">
        <f>J10+N10</f>
        <v>736650</v>
      </c>
    </row>
    <row r="11" spans="1:16">
      <c r="A11" s="968" t="s">
        <v>978</v>
      </c>
      <c r="B11" s="968"/>
      <c r="C11" s="969">
        <f t="shared" si="0"/>
        <v>425913</v>
      </c>
      <c r="D11" s="969">
        <f t="shared" si="2"/>
        <v>2981391</v>
      </c>
      <c r="F11" s="970">
        <f>F10</f>
        <v>331877</v>
      </c>
      <c r="H11" s="970">
        <f t="shared" si="3"/>
        <v>6305666</v>
      </c>
      <c r="I11" s="970"/>
      <c r="J11" s="970">
        <f t="shared" si="1"/>
        <v>757790</v>
      </c>
      <c r="K11" s="970"/>
      <c r="L11" s="970">
        <f t="shared" si="4"/>
        <v>9287057</v>
      </c>
      <c r="M11" s="970"/>
      <c r="N11" s="969">
        <f t="shared" ref="N11:N30" si="5">ROUND($N$6/22,0)</f>
        <v>-21140</v>
      </c>
      <c r="P11" s="970">
        <f t="shared" ref="P11:P31" si="6">J11+N11</f>
        <v>736650</v>
      </c>
    </row>
    <row r="12" spans="1:16">
      <c r="A12" s="968" t="s">
        <v>979</v>
      </c>
      <c r="B12" s="968"/>
      <c r="C12" s="969">
        <f t="shared" si="0"/>
        <v>425913</v>
      </c>
      <c r="D12" s="969">
        <f t="shared" si="2"/>
        <v>2555478</v>
      </c>
      <c r="F12" s="970">
        <f t="shared" ref="F12:F29" si="7">F11</f>
        <v>331877</v>
      </c>
      <c r="H12" s="970">
        <f t="shared" si="3"/>
        <v>5973789</v>
      </c>
      <c r="I12" s="970"/>
      <c r="J12" s="970">
        <f t="shared" si="1"/>
        <v>757790</v>
      </c>
      <c r="K12" s="970"/>
      <c r="L12" s="970">
        <f t="shared" si="4"/>
        <v>8529267</v>
      </c>
      <c r="M12" s="970"/>
      <c r="N12" s="969">
        <f t="shared" si="5"/>
        <v>-21140</v>
      </c>
      <c r="P12" s="970">
        <f t="shared" si="6"/>
        <v>736650</v>
      </c>
    </row>
    <row r="13" spans="1:16">
      <c r="A13" s="968" t="s">
        <v>980</v>
      </c>
      <c r="B13" s="968"/>
      <c r="C13" s="969">
        <f t="shared" si="0"/>
        <v>425913</v>
      </c>
      <c r="D13" s="969">
        <f t="shared" si="2"/>
        <v>2129565</v>
      </c>
      <c r="F13" s="970">
        <f t="shared" si="7"/>
        <v>331877</v>
      </c>
      <c r="H13" s="970">
        <f t="shared" si="3"/>
        <v>5641912</v>
      </c>
      <c r="I13" s="970"/>
      <c r="J13" s="970">
        <f t="shared" si="1"/>
        <v>757790</v>
      </c>
      <c r="K13" s="970"/>
      <c r="L13" s="970">
        <f t="shared" si="4"/>
        <v>7771477</v>
      </c>
      <c r="M13" s="970"/>
      <c r="N13" s="969">
        <f>ROUND($N$6/22,0)-1</f>
        <v>-21141</v>
      </c>
      <c r="P13" s="970">
        <f t="shared" si="6"/>
        <v>736649</v>
      </c>
    </row>
    <row r="14" spans="1:16">
      <c r="A14" s="968" t="s">
        <v>981</v>
      </c>
      <c r="B14" s="968"/>
      <c r="C14" s="969">
        <f t="shared" si="0"/>
        <v>425913</v>
      </c>
      <c r="D14" s="969">
        <f t="shared" si="2"/>
        <v>1703652</v>
      </c>
      <c r="F14" s="970">
        <f t="shared" si="7"/>
        <v>331877</v>
      </c>
      <c r="H14" s="970">
        <f t="shared" si="3"/>
        <v>5310035</v>
      </c>
      <c r="I14" s="970"/>
      <c r="J14" s="970">
        <f t="shared" si="1"/>
        <v>757790</v>
      </c>
      <c r="K14" s="970"/>
      <c r="L14" s="970">
        <f t="shared" si="4"/>
        <v>7013687</v>
      </c>
      <c r="M14" s="970"/>
      <c r="N14" s="969">
        <f t="shared" si="5"/>
        <v>-21140</v>
      </c>
      <c r="P14" s="970">
        <f t="shared" si="6"/>
        <v>736650</v>
      </c>
    </row>
    <row r="15" spans="1:16">
      <c r="A15" s="968" t="s">
        <v>982</v>
      </c>
      <c r="B15" s="968"/>
      <c r="C15" s="969">
        <f t="shared" si="0"/>
        <v>425913</v>
      </c>
      <c r="D15" s="969">
        <f t="shared" si="2"/>
        <v>1277739</v>
      </c>
      <c r="F15" s="970">
        <f t="shared" si="7"/>
        <v>331877</v>
      </c>
      <c r="H15" s="970">
        <f t="shared" si="3"/>
        <v>4978158</v>
      </c>
      <c r="I15" s="970"/>
      <c r="J15" s="970">
        <f t="shared" si="1"/>
        <v>757790</v>
      </c>
      <c r="K15" s="970"/>
      <c r="L15" s="970">
        <f t="shared" si="4"/>
        <v>6255897</v>
      </c>
      <c r="M15" s="970"/>
      <c r="N15" s="969">
        <f t="shared" si="5"/>
        <v>-21140</v>
      </c>
      <c r="P15" s="970">
        <f t="shared" si="6"/>
        <v>736650</v>
      </c>
    </row>
    <row r="16" spans="1:16">
      <c r="A16" s="968" t="s">
        <v>983</v>
      </c>
      <c r="B16" s="968"/>
      <c r="C16" s="969">
        <f t="shared" si="0"/>
        <v>425913</v>
      </c>
      <c r="D16" s="969">
        <f t="shared" si="2"/>
        <v>851826</v>
      </c>
      <c r="F16" s="970">
        <f t="shared" si="7"/>
        <v>331877</v>
      </c>
      <c r="H16" s="970">
        <f t="shared" si="3"/>
        <v>4646281</v>
      </c>
      <c r="I16" s="970"/>
      <c r="J16" s="970">
        <f t="shared" si="1"/>
        <v>757790</v>
      </c>
      <c r="K16" s="970"/>
      <c r="L16" s="970">
        <f t="shared" si="4"/>
        <v>5498107</v>
      </c>
      <c r="M16" s="970"/>
      <c r="N16" s="969">
        <f t="shared" si="5"/>
        <v>-21140</v>
      </c>
      <c r="P16" s="970">
        <f t="shared" si="6"/>
        <v>736650</v>
      </c>
    </row>
    <row r="17" spans="1:16">
      <c r="A17" s="968" t="s">
        <v>984</v>
      </c>
      <c r="B17" s="968"/>
      <c r="C17" s="969">
        <f t="shared" si="0"/>
        <v>425913</v>
      </c>
      <c r="D17" s="969">
        <f t="shared" si="2"/>
        <v>425913</v>
      </c>
      <c r="F17" s="970">
        <f t="shared" si="7"/>
        <v>331877</v>
      </c>
      <c r="H17" s="970">
        <f t="shared" si="3"/>
        <v>4314404</v>
      </c>
      <c r="I17" s="970"/>
      <c r="J17" s="970">
        <f t="shared" si="1"/>
        <v>757790</v>
      </c>
      <c r="K17" s="970"/>
      <c r="L17" s="970">
        <f t="shared" si="4"/>
        <v>4740317</v>
      </c>
      <c r="M17" s="970"/>
      <c r="N17" s="969">
        <f>ROUND($N$6/22,0)-1</f>
        <v>-21141</v>
      </c>
      <c r="P17" s="970">
        <f t="shared" si="6"/>
        <v>736649</v>
      </c>
    </row>
    <row r="18" spans="1:16">
      <c r="A18" s="968" t="s">
        <v>985</v>
      </c>
      <c r="B18" s="968"/>
      <c r="C18" s="969">
        <f t="shared" si="0"/>
        <v>425913</v>
      </c>
      <c r="D18" s="969">
        <f t="shared" si="2"/>
        <v>0</v>
      </c>
      <c r="F18" s="970">
        <f t="shared" si="7"/>
        <v>331877</v>
      </c>
      <c r="H18" s="970">
        <f t="shared" si="3"/>
        <v>3982527</v>
      </c>
      <c r="I18" s="970"/>
      <c r="J18" s="970">
        <f t="shared" si="1"/>
        <v>757790</v>
      </c>
      <c r="K18" s="970"/>
      <c r="L18" s="970">
        <f t="shared" si="4"/>
        <v>3982527</v>
      </c>
      <c r="M18" s="970"/>
      <c r="N18" s="969">
        <f t="shared" si="5"/>
        <v>-21140</v>
      </c>
      <c r="P18" s="970">
        <f t="shared" si="6"/>
        <v>736650</v>
      </c>
    </row>
    <row r="19" spans="1:16">
      <c r="A19" s="968" t="s">
        <v>986</v>
      </c>
      <c r="B19" s="968"/>
      <c r="C19" s="976"/>
      <c r="D19" s="976"/>
      <c r="F19" s="970">
        <f t="shared" si="7"/>
        <v>331877</v>
      </c>
      <c r="H19" s="970">
        <f t="shared" si="3"/>
        <v>3650650</v>
      </c>
      <c r="I19" s="970"/>
      <c r="J19" s="970">
        <f t="shared" si="1"/>
        <v>331877</v>
      </c>
      <c r="K19" s="970"/>
      <c r="L19" s="970">
        <f t="shared" si="4"/>
        <v>3650650</v>
      </c>
      <c r="M19" s="970"/>
      <c r="N19" s="969">
        <f t="shared" si="5"/>
        <v>-21140</v>
      </c>
      <c r="P19" s="970">
        <f t="shared" si="6"/>
        <v>310737</v>
      </c>
    </row>
    <row r="20" spans="1:16">
      <c r="A20" s="968" t="s">
        <v>987</v>
      </c>
      <c r="F20" s="970">
        <f t="shared" si="7"/>
        <v>331877</v>
      </c>
      <c r="H20" s="970">
        <f t="shared" si="3"/>
        <v>3318773</v>
      </c>
      <c r="I20" s="970"/>
      <c r="J20" s="970">
        <f t="shared" si="1"/>
        <v>331877</v>
      </c>
      <c r="K20" s="970"/>
      <c r="L20" s="970">
        <f t="shared" si="4"/>
        <v>3318773</v>
      </c>
      <c r="M20" s="970"/>
      <c r="N20" s="969">
        <f t="shared" si="5"/>
        <v>-21140</v>
      </c>
      <c r="P20" s="970">
        <f t="shared" si="6"/>
        <v>310737</v>
      </c>
    </row>
    <row r="21" spans="1:16">
      <c r="A21" s="968" t="s">
        <v>988</v>
      </c>
      <c r="F21" s="970">
        <f t="shared" si="7"/>
        <v>331877</v>
      </c>
      <c r="H21" s="970">
        <f t="shared" si="3"/>
        <v>2986896</v>
      </c>
      <c r="I21" s="970"/>
      <c r="J21" s="970">
        <f t="shared" si="1"/>
        <v>331877</v>
      </c>
      <c r="K21" s="970"/>
      <c r="L21" s="970">
        <f t="shared" si="4"/>
        <v>2986896</v>
      </c>
      <c r="M21" s="970"/>
      <c r="N21" s="969">
        <f>ROUND($N$6/22,0)-1</f>
        <v>-21141</v>
      </c>
      <c r="P21" s="970">
        <f t="shared" si="6"/>
        <v>310736</v>
      </c>
    </row>
    <row r="22" spans="1:16">
      <c r="A22" s="968" t="s">
        <v>989</v>
      </c>
      <c r="F22" s="970">
        <f t="shared" si="7"/>
        <v>331877</v>
      </c>
      <c r="H22" s="970">
        <f t="shared" si="3"/>
        <v>2655019</v>
      </c>
      <c r="I22" s="970"/>
      <c r="J22" s="970">
        <f t="shared" si="1"/>
        <v>331877</v>
      </c>
      <c r="K22" s="970"/>
      <c r="L22" s="970">
        <f t="shared" si="4"/>
        <v>2655019</v>
      </c>
      <c r="M22" s="970"/>
      <c r="N22" s="969">
        <f t="shared" si="5"/>
        <v>-21140</v>
      </c>
      <c r="P22" s="970">
        <f t="shared" si="6"/>
        <v>310737</v>
      </c>
    </row>
    <row r="23" spans="1:16">
      <c r="A23" s="968" t="s">
        <v>990</v>
      </c>
      <c r="F23" s="970">
        <f t="shared" si="7"/>
        <v>331877</v>
      </c>
      <c r="H23" s="970">
        <f t="shared" si="3"/>
        <v>2323142</v>
      </c>
      <c r="I23" s="970"/>
      <c r="J23" s="970">
        <f t="shared" si="1"/>
        <v>331877</v>
      </c>
      <c r="K23" s="970"/>
      <c r="L23" s="970">
        <f t="shared" si="4"/>
        <v>2323142</v>
      </c>
      <c r="M23" s="970"/>
      <c r="N23" s="969">
        <f t="shared" si="5"/>
        <v>-21140</v>
      </c>
      <c r="P23" s="970">
        <f t="shared" si="6"/>
        <v>310737</v>
      </c>
    </row>
    <row r="24" spans="1:16">
      <c r="A24" s="968" t="s">
        <v>991</v>
      </c>
      <c r="F24" s="970">
        <f t="shared" si="7"/>
        <v>331877</v>
      </c>
      <c r="H24" s="970">
        <f t="shared" si="3"/>
        <v>1991265</v>
      </c>
      <c r="I24" s="970"/>
      <c r="J24" s="970">
        <f t="shared" si="1"/>
        <v>331877</v>
      </c>
      <c r="K24" s="970"/>
      <c r="L24" s="970">
        <f t="shared" si="4"/>
        <v>1991265</v>
      </c>
      <c r="M24" s="970"/>
      <c r="N24" s="969">
        <f t="shared" si="5"/>
        <v>-21140</v>
      </c>
      <c r="P24" s="970">
        <f t="shared" si="6"/>
        <v>310737</v>
      </c>
    </row>
    <row r="25" spans="1:16">
      <c r="A25" s="968" t="s">
        <v>992</v>
      </c>
      <c r="F25" s="970">
        <f t="shared" si="7"/>
        <v>331877</v>
      </c>
      <c r="H25" s="970">
        <f t="shared" si="3"/>
        <v>1659388</v>
      </c>
      <c r="I25" s="970"/>
      <c r="J25" s="970">
        <f t="shared" si="1"/>
        <v>331877</v>
      </c>
      <c r="K25" s="970"/>
      <c r="L25" s="970">
        <f t="shared" si="4"/>
        <v>1659388</v>
      </c>
      <c r="M25" s="970"/>
      <c r="N25" s="969">
        <f>ROUND($N$6/22,0)-1</f>
        <v>-21141</v>
      </c>
      <c r="P25" s="970">
        <f t="shared" si="6"/>
        <v>310736</v>
      </c>
    </row>
    <row r="26" spans="1:16">
      <c r="A26" s="968" t="s">
        <v>993</v>
      </c>
      <c r="F26" s="970">
        <f t="shared" si="7"/>
        <v>331877</v>
      </c>
      <c r="H26" s="970">
        <f t="shared" si="3"/>
        <v>1327511</v>
      </c>
      <c r="I26" s="970"/>
      <c r="J26" s="970">
        <f t="shared" si="1"/>
        <v>331877</v>
      </c>
      <c r="K26" s="970"/>
      <c r="L26" s="970">
        <f t="shared" si="4"/>
        <v>1327511</v>
      </c>
      <c r="M26" s="970"/>
      <c r="N26" s="969">
        <f>ROUND($N$6/22,0)</f>
        <v>-21140</v>
      </c>
      <c r="P26" s="970">
        <f t="shared" si="6"/>
        <v>310737</v>
      </c>
    </row>
    <row r="27" spans="1:16">
      <c r="A27" s="968" t="s">
        <v>994</v>
      </c>
      <c r="F27" s="970">
        <f t="shared" si="7"/>
        <v>331877</v>
      </c>
      <c r="H27" s="970">
        <f t="shared" si="3"/>
        <v>995634</v>
      </c>
      <c r="I27" s="970"/>
      <c r="J27" s="970">
        <f t="shared" si="1"/>
        <v>331877</v>
      </c>
      <c r="K27" s="970"/>
      <c r="L27" s="970">
        <f t="shared" si="4"/>
        <v>995634</v>
      </c>
      <c r="M27" s="970"/>
      <c r="N27" s="969">
        <f t="shared" si="5"/>
        <v>-21140</v>
      </c>
      <c r="P27" s="970">
        <f t="shared" si="6"/>
        <v>310737</v>
      </c>
    </row>
    <row r="28" spans="1:16">
      <c r="A28" s="968" t="s">
        <v>995</v>
      </c>
      <c r="F28" s="970">
        <f t="shared" si="7"/>
        <v>331877</v>
      </c>
      <c r="H28" s="970">
        <f t="shared" si="3"/>
        <v>663757</v>
      </c>
      <c r="I28" s="970"/>
      <c r="J28" s="970">
        <f t="shared" si="1"/>
        <v>331877</v>
      </c>
      <c r="K28" s="970"/>
      <c r="L28" s="970">
        <f t="shared" si="4"/>
        <v>663757</v>
      </c>
      <c r="M28" s="970"/>
      <c r="N28" s="969">
        <f>ROUND($N$6/22,0)-1</f>
        <v>-21141</v>
      </c>
      <c r="P28" s="970">
        <f t="shared" si="6"/>
        <v>310736</v>
      </c>
    </row>
    <row r="29" spans="1:16">
      <c r="A29" s="968" t="s">
        <v>996</v>
      </c>
      <c r="F29" s="970">
        <f t="shared" si="7"/>
        <v>331877</v>
      </c>
      <c r="H29" s="970">
        <f t="shared" si="3"/>
        <v>331880</v>
      </c>
      <c r="I29" s="970"/>
      <c r="J29" s="970">
        <f t="shared" si="1"/>
        <v>331877</v>
      </c>
      <c r="K29" s="970"/>
      <c r="L29" s="970">
        <f t="shared" si="4"/>
        <v>331880</v>
      </c>
      <c r="M29" s="970"/>
      <c r="N29" s="969">
        <f t="shared" si="5"/>
        <v>-21140</v>
      </c>
      <c r="P29" s="970">
        <f t="shared" si="6"/>
        <v>310737</v>
      </c>
    </row>
    <row r="30" spans="1:16">
      <c r="A30" s="968" t="s">
        <v>997</v>
      </c>
      <c r="F30" s="970">
        <f>F29+3</f>
        <v>331880</v>
      </c>
      <c r="H30" s="970">
        <f t="shared" si="3"/>
        <v>0</v>
      </c>
      <c r="I30" s="970"/>
      <c r="J30" s="970">
        <f t="shared" si="1"/>
        <v>331880</v>
      </c>
      <c r="K30" s="970"/>
      <c r="L30" s="970">
        <f t="shared" si="4"/>
        <v>0</v>
      </c>
      <c r="M30" s="970"/>
      <c r="N30" s="969">
        <f t="shared" si="5"/>
        <v>-21140</v>
      </c>
      <c r="P30" s="970">
        <f t="shared" si="6"/>
        <v>310740</v>
      </c>
    </row>
    <row r="31" spans="1:16">
      <c r="A31" s="968" t="s">
        <v>1025</v>
      </c>
      <c r="E31" s="970"/>
      <c r="N31" s="969">
        <f>ROUND($N$6/22,0)-1</f>
        <v>-21141</v>
      </c>
      <c r="P31" s="970">
        <f t="shared" si="6"/>
        <v>-21141</v>
      </c>
    </row>
    <row r="32" spans="1:16">
      <c r="E32" s="970"/>
    </row>
    <row r="33" spans="5:5">
      <c r="E33" s="970"/>
    </row>
    <row r="34" spans="5:5">
      <c r="E34" s="970"/>
    </row>
    <row r="35" spans="5:5">
      <c r="E35" s="970"/>
    </row>
  </sheetData>
  <pageMargins left="0.7" right="0.7" top="0.75" bottom="0.75" header="0.3" footer="0.3"/>
  <pageSetup scale="7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heetViews>
  <sheetFormatPr defaultColWidth="9.140625" defaultRowHeight="12.75"/>
  <cols>
    <col min="1" max="1" width="46" style="924" customWidth="1"/>
    <col min="2" max="4" width="13.140625" style="924" customWidth="1"/>
    <col min="5" max="16384" width="9.140625" style="924"/>
  </cols>
  <sheetData>
    <row r="1" spans="1:4">
      <c r="A1" s="927" t="s">
        <v>218</v>
      </c>
    </row>
    <row r="2" spans="1:4">
      <c r="A2" s="927" t="s">
        <v>998</v>
      </c>
      <c r="B2" s="925"/>
      <c r="C2" s="928"/>
    </row>
    <row r="3" spans="1:4">
      <c r="A3" s="929" t="s">
        <v>1019</v>
      </c>
    </row>
    <row r="4" spans="1:4">
      <c r="A4" s="930"/>
    </row>
    <row r="5" spans="1:4">
      <c r="A5" s="931"/>
      <c r="B5" s="932"/>
      <c r="C5" s="926"/>
      <c r="D5" s="926"/>
    </row>
    <row r="6" spans="1:4" ht="13.5" thickBot="1">
      <c r="A6" s="926" t="s">
        <v>724</v>
      </c>
      <c r="C6" s="926"/>
      <c r="D6" s="933">
        <v>0.35</v>
      </c>
    </row>
    <row r="7" spans="1:4" ht="13.5" thickTop="1">
      <c r="A7" s="926"/>
      <c r="B7" s="926"/>
      <c r="C7" s="926"/>
      <c r="D7" s="926"/>
    </row>
    <row r="8" spans="1:4">
      <c r="A8" s="926"/>
      <c r="B8" s="926"/>
      <c r="C8" s="926"/>
      <c r="D8" s="926"/>
    </row>
    <row r="9" spans="1:4" ht="38.25">
      <c r="A9" s="926" t="s">
        <v>999</v>
      </c>
      <c r="B9" s="934" t="s">
        <v>1000</v>
      </c>
      <c r="C9" s="934" t="s">
        <v>1001</v>
      </c>
      <c r="D9" s="935" t="s">
        <v>1002</v>
      </c>
    </row>
    <row r="10" spans="1:4">
      <c r="A10" s="926"/>
      <c r="B10" s="926"/>
      <c r="C10" s="926"/>
      <c r="D10" s="936"/>
    </row>
    <row r="11" spans="1:4">
      <c r="A11" s="926" t="s">
        <v>1003</v>
      </c>
      <c r="B11" s="937">
        <v>7.9000000000000001E-2</v>
      </c>
      <c r="C11" s="938">
        <v>0.81633250000000002</v>
      </c>
      <c r="D11" s="936">
        <f t="shared" ref="D11:D15" si="0">B11*C11</f>
        <v>6.4490267500000004E-2</v>
      </c>
    </row>
    <row r="12" spans="1:4">
      <c r="A12" s="926" t="s">
        <v>1004</v>
      </c>
      <c r="B12" s="937">
        <v>9.8000000000000004E-2</v>
      </c>
      <c r="C12" s="939">
        <v>4.9372399999999997E-2</v>
      </c>
      <c r="D12" s="936">
        <f t="shared" si="0"/>
        <v>4.8384952E-3</v>
      </c>
    </row>
    <row r="13" spans="1:4">
      <c r="A13" s="926" t="s">
        <v>1005</v>
      </c>
      <c r="B13" s="937">
        <v>7.7499999999999999E-2</v>
      </c>
      <c r="C13" s="940">
        <v>5.0175999999999997E-3</v>
      </c>
      <c r="D13" s="936">
        <f t="shared" si="0"/>
        <v>3.88864E-4</v>
      </c>
    </row>
    <row r="14" spans="1:4">
      <c r="A14" s="941" t="s">
        <v>1006</v>
      </c>
      <c r="B14" s="942">
        <v>0.06</v>
      </c>
      <c r="C14" s="939">
        <v>8.9231500000000005E-2</v>
      </c>
      <c r="D14" s="936">
        <f t="shared" si="0"/>
        <v>5.35389E-3</v>
      </c>
    </row>
    <row r="15" spans="1:4">
      <c r="A15" s="943" t="s">
        <v>1007</v>
      </c>
      <c r="B15" s="942">
        <v>0.04</v>
      </c>
      <c r="C15" s="939">
        <v>0</v>
      </c>
      <c r="D15" s="936">
        <f t="shared" si="0"/>
        <v>0</v>
      </c>
    </row>
    <row r="16" spans="1:4">
      <c r="A16" s="944"/>
      <c r="B16" s="932"/>
      <c r="C16" s="932"/>
      <c r="D16" s="926"/>
    </row>
    <row r="17" spans="1:4" ht="13.5" thickBot="1">
      <c r="A17" s="944"/>
      <c r="B17" s="932"/>
      <c r="C17" s="945">
        <f>SUM(C11:C16)</f>
        <v>0.95995399999999997</v>
      </c>
      <c r="D17" s="963">
        <f>SUM(D11:D16)</f>
        <v>7.5071516700000007E-2</v>
      </c>
    </row>
    <row r="18" spans="1:4" ht="13.5" thickTop="1">
      <c r="A18" s="944"/>
      <c r="B18" s="932"/>
      <c r="C18" s="932"/>
      <c r="D18" s="926"/>
    </row>
    <row r="19" spans="1:4">
      <c r="A19" s="926"/>
      <c r="B19" s="926"/>
      <c r="C19" s="926"/>
      <c r="D19" s="926"/>
    </row>
    <row r="20" spans="1:4">
      <c r="A20" s="946" t="s">
        <v>845</v>
      </c>
      <c r="B20" s="947"/>
      <c r="C20" s="947"/>
      <c r="D20" s="926"/>
    </row>
    <row r="21" spans="1:4">
      <c r="A21" s="926"/>
      <c r="B21" s="926"/>
      <c r="C21" s="926"/>
      <c r="D21" s="926"/>
    </row>
    <row r="22" spans="1:4">
      <c r="A22" s="926" t="s">
        <v>1008</v>
      </c>
      <c r="B22" s="926"/>
      <c r="C22" s="926"/>
      <c r="D22" s="926"/>
    </row>
  </sheetData>
  <pageMargins left="0.7" right="0.7" top="0.75" bottom="0.75" header="0.3" footer="0.3"/>
  <pageSetup scale="96" fitToHeight="0"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defaultColWidth="9.140625" defaultRowHeight="12.75"/>
  <cols>
    <col min="1" max="1" width="52.5703125" style="949" customWidth="1"/>
    <col min="2" max="2" width="13.42578125" style="949" customWidth="1"/>
    <col min="3" max="3" width="15.42578125" style="949" bestFit="1" customWidth="1"/>
    <col min="4" max="4" width="9.140625" style="949"/>
    <col min="5" max="5" width="11.85546875" style="949" bestFit="1" customWidth="1"/>
    <col min="6" max="16384" width="9.140625" style="949"/>
  </cols>
  <sheetData>
    <row r="1" spans="1:5">
      <c r="A1" s="948" t="s">
        <v>218</v>
      </c>
      <c r="B1" s="948"/>
    </row>
    <row r="2" spans="1:5">
      <c r="A2" s="948" t="s">
        <v>1009</v>
      </c>
      <c r="B2" s="948"/>
    </row>
    <row r="3" spans="1:5">
      <c r="A3" s="950" t="s">
        <v>1019</v>
      </c>
      <c r="B3" s="948"/>
    </row>
    <row r="6" spans="1:5">
      <c r="A6" s="951" t="s">
        <v>1010</v>
      </c>
      <c r="B6" s="952"/>
      <c r="C6" s="953">
        <v>267395629.80036601</v>
      </c>
      <c r="E6" s="582">
        <f>ROUND(C6-'ATC Attach O ER15-358'!I199,2)</f>
        <v>0</v>
      </c>
    </row>
    <row r="8" spans="1:5">
      <c r="A8" s="949" t="s">
        <v>1011</v>
      </c>
      <c r="B8" s="581">
        <v>5.9200000000000003E-2</v>
      </c>
      <c r="E8" s="582">
        <f>ROUND(B8-'ATC Attach O ER15-358'!I270,10)</f>
        <v>0</v>
      </c>
    </row>
    <row r="9" spans="1:5">
      <c r="A9" s="949" t="s">
        <v>1012</v>
      </c>
      <c r="B9" s="581">
        <v>8.2146184638141301E-2</v>
      </c>
      <c r="E9" s="582">
        <f>ROUND(B9-'ATC Attach O ER15-358'!I271,10)</f>
        <v>0</v>
      </c>
    </row>
    <row r="10" spans="1:5">
      <c r="A10" s="949" t="s">
        <v>1013</v>
      </c>
      <c r="C10" s="585">
        <f>B8/B9</f>
        <v>0.72066645895703407</v>
      </c>
    </row>
    <row r="12" spans="1:5">
      <c r="A12" s="949" t="s">
        <v>1014</v>
      </c>
      <c r="C12" s="953">
        <f>C6*C10</f>
        <v>192703061.66881576</v>
      </c>
    </row>
    <row r="14" spans="1:5">
      <c r="A14" s="949" t="s">
        <v>1015</v>
      </c>
      <c r="C14" s="954">
        <v>111462695.28111255</v>
      </c>
      <c r="E14" s="582">
        <f>ROUND(C14-'ATC Attach O ER15-358'!I197,2)</f>
        <v>0</v>
      </c>
    </row>
    <row r="16" spans="1:5">
      <c r="A16" s="949" t="s">
        <v>1016</v>
      </c>
      <c r="C16" s="953">
        <f>SUM(C12:C15)</f>
        <v>304165756.94992828</v>
      </c>
      <c r="E16" s="582"/>
    </row>
    <row r="18" spans="1:5">
      <c r="A18" s="949" t="s">
        <v>1017</v>
      </c>
      <c r="C18" s="955">
        <v>23091102.949669648</v>
      </c>
      <c r="E18" s="956"/>
    </row>
    <row r="20" spans="1:5" ht="13.5" thickBot="1">
      <c r="A20" s="957" t="s">
        <v>1018</v>
      </c>
      <c r="C20" s="964">
        <f>C18/C16</f>
        <v>7.5916181956902209E-2</v>
      </c>
      <c r="E20" s="581">
        <f>ROUND(C20-'ATC Attach O ER15-358'!D315,10)</f>
        <v>0</v>
      </c>
    </row>
    <row r="21" spans="1:5" ht="13.5" thickTop="1"/>
    <row r="22" spans="1:5">
      <c r="C22" s="958"/>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37"/>
  <sheetViews>
    <sheetView zoomScale="80" zoomScaleNormal="80" zoomScaleSheetLayoutView="80" workbookViewId="0"/>
  </sheetViews>
  <sheetFormatPr defaultColWidth="9.140625" defaultRowHeight="15.75"/>
  <cols>
    <col min="1" max="1" width="5.7109375" style="8" customWidth="1"/>
    <col min="2" max="2" width="35.42578125" style="8" customWidth="1"/>
    <col min="3" max="3" width="42.5703125" style="8" customWidth="1"/>
    <col min="4" max="4" width="16.28515625" style="8" customWidth="1"/>
    <col min="5" max="5" width="5.7109375" style="8" customWidth="1"/>
    <col min="6" max="6" width="7.28515625" style="8" customWidth="1"/>
    <col min="7" max="7" width="16.7109375" style="8" bestFit="1" customWidth="1"/>
    <col min="8" max="8" width="4.85546875" style="8" customWidth="1"/>
    <col min="9" max="9" width="18.7109375" style="8" bestFit="1" customWidth="1"/>
    <col min="10" max="10" width="2.5703125" style="8" customWidth="1"/>
    <col min="11" max="11" width="11.42578125" style="8" customWidth="1"/>
    <col min="12" max="12" width="19.85546875" style="8" customWidth="1"/>
    <col min="13" max="15" width="9.140625" style="8"/>
    <col min="16" max="16" width="13.5703125" style="8" customWidth="1"/>
    <col min="17" max="16384" width="9.140625" style="8"/>
  </cols>
  <sheetData>
    <row r="1" spans="1:17">
      <c r="K1" s="9" t="s">
        <v>213</v>
      </c>
      <c r="M1" s="915"/>
      <c r="N1" s="915"/>
      <c r="O1" s="915"/>
      <c r="P1" s="915"/>
      <c r="Q1" s="915"/>
    </row>
    <row r="2" spans="1:17">
      <c r="M2" s="915"/>
      <c r="N2" s="915"/>
      <c r="O2" s="915"/>
      <c r="P2" s="915"/>
      <c r="Q2" s="915"/>
    </row>
    <row r="3" spans="1:17">
      <c r="A3" s="10"/>
      <c r="B3" s="11" t="s">
        <v>0</v>
      </c>
      <c r="C3" s="11"/>
      <c r="D3" s="12" t="s">
        <v>284</v>
      </c>
      <c r="E3" s="11"/>
      <c r="F3" s="11"/>
      <c r="G3" s="149"/>
      <c r="H3" s="150"/>
      <c r="I3" s="151"/>
      <c r="J3" s="14"/>
      <c r="K3" s="148" t="s">
        <v>632</v>
      </c>
      <c r="L3" s="15"/>
      <c r="M3" s="915"/>
      <c r="N3" s="915"/>
      <c r="O3" s="915"/>
      <c r="P3" s="915"/>
      <c r="Q3" s="915"/>
    </row>
    <row r="4" spans="1:17">
      <c r="A4" s="10"/>
      <c r="B4" s="11"/>
      <c r="C4" s="16" t="s">
        <v>1</v>
      </c>
      <c r="D4" s="16" t="s">
        <v>285</v>
      </c>
      <c r="E4" s="16"/>
      <c r="F4" s="16"/>
      <c r="G4" s="16"/>
      <c r="H4" s="13"/>
      <c r="I4" s="13"/>
      <c r="J4" s="15"/>
      <c r="K4" s="15"/>
      <c r="L4" s="15"/>
      <c r="M4" s="915"/>
      <c r="N4" s="915"/>
      <c r="O4" s="915"/>
      <c r="P4" s="915"/>
      <c r="Q4" s="915"/>
    </row>
    <row r="5" spans="1:17">
      <c r="A5" s="10"/>
      <c r="B5" s="15"/>
      <c r="C5" s="15"/>
      <c r="D5" s="15"/>
      <c r="E5" s="15"/>
      <c r="F5" s="15"/>
      <c r="G5" s="15"/>
      <c r="H5" s="15"/>
      <c r="I5" s="15"/>
      <c r="J5" s="15"/>
      <c r="K5" s="15"/>
      <c r="L5" s="15"/>
    </row>
    <row r="6" spans="1:17">
      <c r="A6" s="982" t="s">
        <v>218</v>
      </c>
      <c r="B6" s="982"/>
      <c r="C6" s="982"/>
      <c r="D6" s="982"/>
      <c r="E6" s="982"/>
      <c r="F6" s="982"/>
      <c r="G6" s="982"/>
      <c r="H6" s="982"/>
      <c r="I6" s="982"/>
      <c r="J6" s="982"/>
      <c r="K6" s="982"/>
      <c r="L6" s="15"/>
    </row>
    <row r="7" spans="1:17">
      <c r="A7" s="1"/>
      <c r="B7" s="17" t="s">
        <v>2</v>
      </c>
      <c r="C7" s="15"/>
      <c r="D7" s="18"/>
      <c r="E7" s="15"/>
      <c r="F7" s="15"/>
      <c r="G7" s="15"/>
      <c r="H7" s="15"/>
      <c r="I7" s="15"/>
      <c r="J7" s="15"/>
      <c r="K7" s="15"/>
      <c r="L7" s="15"/>
    </row>
    <row r="8" spans="1:17">
      <c r="A8" s="1"/>
      <c r="B8" s="17" t="s">
        <v>3</v>
      </c>
      <c r="C8" s="15"/>
      <c r="D8" s="19"/>
      <c r="E8" s="15"/>
      <c r="F8" s="15"/>
      <c r="G8" s="15"/>
      <c r="H8" s="15"/>
      <c r="I8" s="15"/>
      <c r="J8" s="15"/>
      <c r="K8" s="15"/>
      <c r="L8" s="15"/>
    </row>
    <row r="9" spans="1:17">
      <c r="A9" s="1" t="s">
        <v>4</v>
      </c>
      <c r="B9" s="15"/>
      <c r="C9" s="15"/>
      <c r="D9" s="19"/>
      <c r="E9" s="15"/>
      <c r="F9" s="15"/>
      <c r="G9" s="15"/>
      <c r="H9" s="15"/>
      <c r="I9" s="1" t="s">
        <v>5</v>
      </c>
      <c r="J9" s="15"/>
      <c r="K9" s="15"/>
      <c r="L9" s="15"/>
    </row>
    <row r="10" spans="1:17" ht="16.5" thickBot="1">
      <c r="A10" s="20" t="s">
        <v>6</v>
      </c>
      <c r="B10" s="15"/>
      <c r="C10" s="15"/>
      <c r="D10" s="15"/>
      <c r="E10" s="15"/>
      <c r="F10" s="15"/>
      <c r="G10" s="15"/>
      <c r="H10" s="15"/>
      <c r="I10" s="20" t="s">
        <v>7</v>
      </c>
      <c r="J10" s="15"/>
      <c r="K10" s="15"/>
      <c r="L10" s="15"/>
    </row>
    <row r="11" spans="1:17">
      <c r="A11" s="1">
        <v>1</v>
      </c>
      <c r="B11" s="15" t="s">
        <v>287</v>
      </c>
      <c r="C11" s="15"/>
      <c r="D11" s="21"/>
      <c r="E11" s="15"/>
      <c r="F11" s="15"/>
      <c r="G11" s="15"/>
      <c r="H11" s="15"/>
      <c r="I11" s="22">
        <f>+I211</f>
        <v>577275311.5636636</v>
      </c>
      <c r="J11" s="15"/>
      <c r="K11" s="15"/>
      <c r="L11" s="15"/>
    </row>
    <row r="12" spans="1:17">
      <c r="A12" s="1"/>
      <c r="B12" s="15"/>
      <c r="C12" s="15"/>
      <c r="D12" s="15"/>
      <c r="E12" s="15"/>
      <c r="F12" s="15"/>
      <c r="G12" s="15"/>
      <c r="H12" s="15"/>
      <c r="I12" s="21"/>
      <c r="J12" s="15"/>
      <c r="K12" s="15"/>
      <c r="L12" s="15"/>
    </row>
    <row r="13" spans="1:17" ht="16.5" thickBot="1">
      <c r="A13" s="1" t="s">
        <v>1</v>
      </c>
      <c r="B13" s="23" t="s">
        <v>8</v>
      </c>
      <c r="C13" s="24" t="s">
        <v>9</v>
      </c>
      <c r="D13" s="20" t="s">
        <v>10</v>
      </c>
      <c r="E13" s="16"/>
      <c r="F13" s="25" t="s">
        <v>11</v>
      </c>
      <c r="G13" s="25"/>
      <c r="H13" s="15"/>
      <c r="I13" s="21"/>
      <c r="J13" s="15"/>
      <c r="K13" s="15"/>
      <c r="L13" s="15"/>
    </row>
    <row r="14" spans="1:17">
      <c r="A14" s="1">
        <v>2</v>
      </c>
      <c r="B14" s="23" t="s">
        <v>12</v>
      </c>
      <c r="C14" s="16" t="s">
        <v>13</v>
      </c>
      <c r="D14" s="24">
        <f>I280</f>
        <v>1670030.24</v>
      </c>
      <c r="E14" s="16"/>
      <c r="F14" s="16" t="s">
        <v>14</v>
      </c>
      <c r="G14" s="26">
        <f>I231</f>
        <v>1</v>
      </c>
      <c r="H14" s="27"/>
      <c r="I14" s="27">
        <f>+G14*D14</f>
        <v>1670030.24</v>
      </c>
      <c r="J14" s="15"/>
      <c r="K14" s="15"/>
      <c r="L14" s="15"/>
    </row>
    <row r="15" spans="1:17">
      <c r="A15" s="1">
        <v>3</v>
      </c>
      <c r="B15" s="23" t="s">
        <v>235</v>
      </c>
      <c r="C15" s="16" t="s">
        <v>15</v>
      </c>
      <c r="D15" s="24">
        <f>I287</f>
        <v>7772761.4472507089</v>
      </c>
      <c r="E15" s="16"/>
      <c r="F15" s="16" t="s">
        <v>14</v>
      </c>
      <c r="G15" s="26">
        <f>+G14</f>
        <v>1</v>
      </c>
      <c r="H15" s="27"/>
      <c r="I15" s="27">
        <f>+G15*D15</f>
        <v>7772761.4472507089</v>
      </c>
      <c r="J15" s="15"/>
      <c r="K15" s="15"/>
      <c r="L15" s="15"/>
    </row>
    <row r="16" spans="1:17">
      <c r="A16" s="1">
        <v>4</v>
      </c>
      <c r="B16" s="28" t="s">
        <v>16</v>
      </c>
      <c r="C16" s="16"/>
      <c r="D16" s="29">
        <v>0</v>
      </c>
      <c r="E16" s="16"/>
      <c r="F16" s="16" t="s">
        <v>14</v>
      </c>
      <c r="G16" s="26">
        <f>+G15</f>
        <v>1</v>
      </c>
      <c r="H16" s="27"/>
      <c r="I16" s="27">
        <f>+G16*D16</f>
        <v>0</v>
      </c>
      <c r="J16" s="15"/>
      <c r="K16" s="15"/>
      <c r="L16" s="15"/>
    </row>
    <row r="17" spans="1:12" ht="16.5" thickBot="1">
      <c r="A17" s="1">
        <v>5</v>
      </c>
      <c r="B17" s="28" t="s">
        <v>17</v>
      </c>
      <c r="C17" s="16"/>
      <c r="D17" s="29">
        <v>0</v>
      </c>
      <c r="E17" s="16"/>
      <c r="F17" s="16" t="s">
        <v>14</v>
      </c>
      <c r="G17" s="26">
        <f>+G16</f>
        <v>1</v>
      </c>
      <c r="H17" s="27"/>
      <c r="I17" s="30">
        <f>+G17*D17</f>
        <v>0</v>
      </c>
      <c r="J17" s="15"/>
      <c r="K17" s="15"/>
      <c r="L17" s="15"/>
    </row>
    <row r="18" spans="1:12">
      <c r="A18" s="1">
        <v>6</v>
      </c>
      <c r="B18" s="23" t="s">
        <v>18</v>
      </c>
      <c r="C18" s="15"/>
      <c r="D18" s="31" t="s">
        <v>1</v>
      </c>
      <c r="E18" s="16"/>
      <c r="F18" s="16"/>
      <c r="G18" s="26"/>
      <c r="H18" s="27"/>
      <c r="I18" s="27">
        <f>SUM(I14:I17)</f>
        <v>9442791.6872507092</v>
      </c>
      <c r="J18" s="15"/>
      <c r="K18" s="15"/>
      <c r="L18" s="15"/>
    </row>
    <row r="19" spans="1:12">
      <c r="A19" s="1"/>
      <c r="B19" s="10"/>
      <c r="C19" s="15"/>
      <c r="D19" s="16" t="s">
        <v>1</v>
      </c>
      <c r="E19" s="15"/>
      <c r="F19" s="15"/>
      <c r="G19" s="32"/>
      <c r="H19" s="15"/>
      <c r="I19" s="10"/>
      <c r="J19" s="15"/>
      <c r="K19" s="15"/>
      <c r="L19" s="15"/>
    </row>
    <row r="20" spans="1:12" ht="16.5" thickBot="1">
      <c r="A20" s="1">
        <v>7</v>
      </c>
      <c r="B20" s="23" t="s">
        <v>19</v>
      </c>
      <c r="C20" s="15" t="s">
        <v>20</v>
      </c>
      <c r="D20" s="31" t="s">
        <v>1</v>
      </c>
      <c r="E20" s="16"/>
      <c r="F20" s="16"/>
      <c r="G20" s="16"/>
      <c r="H20" s="16"/>
      <c r="I20" s="33">
        <f>I11-I18</f>
        <v>567832519.87641287</v>
      </c>
      <c r="J20" s="15"/>
      <c r="K20" s="15"/>
    </row>
    <row r="21" spans="1:12" ht="16.5" thickTop="1">
      <c r="A21" s="1"/>
      <c r="B21" s="10"/>
      <c r="C21" s="15"/>
      <c r="D21" s="31"/>
      <c r="E21" s="16"/>
      <c r="F21" s="16"/>
      <c r="G21" s="16"/>
      <c r="H21" s="16"/>
      <c r="I21" s="10"/>
      <c r="J21" s="15"/>
      <c r="K21" s="15"/>
      <c r="L21" s="15"/>
    </row>
    <row r="22" spans="1:12">
      <c r="A22" s="1"/>
      <c r="B22" s="23" t="s">
        <v>21</v>
      </c>
      <c r="C22" s="15"/>
      <c r="D22" s="21"/>
      <c r="E22" s="15"/>
      <c r="F22" s="15"/>
      <c r="G22" s="15"/>
      <c r="H22" s="15"/>
      <c r="I22" s="21"/>
      <c r="J22" s="15"/>
      <c r="K22" s="15"/>
      <c r="L22" s="15"/>
    </row>
    <row r="23" spans="1:12">
      <c r="A23" s="1">
        <v>8</v>
      </c>
      <c r="B23" s="23" t="s">
        <v>22</v>
      </c>
      <c r="C23" s="10"/>
      <c r="D23" s="21"/>
      <c r="E23" s="15"/>
      <c r="F23" s="15"/>
      <c r="G23" s="34" t="s">
        <v>23</v>
      </c>
      <c r="H23" s="15"/>
      <c r="I23" s="35">
        <v>0</v>
      </c>
      <c r="J23" s="15"/>
      <c r="K23" s="15"/>
      <c r="L23" s="10"/>
    </row>
    <row r="24" spans="1:12">
      <c r="A24" s="1">
        <v>9</v>
      </c>
      <c r="B24" s="23" t="s">
        <v>24</v>
      </c>
      <c r="C24" s="16"/>
      <c r="D24" s="16"/>
      <c r="E24" s="16"/>
      <c r="F24" s="16"/>
      <c r="G24" s="24" t="s">
        <v>25</v>
      </c>
      <c r="H24" s="16"/>
      <c r="I24" s="35">
        <v>0</v>
      </c>
      <c r="J24" s="15"/>
      <c r="K24" s="15"/>
      <c r="L24" s="10"/>
    </row>
    <row r="25" spans="1:12">
      <c r="A25" s="1">
        <v>10</v>
      </c>
      <c r="B25" s="28" t="s">
        <v>26</v>
      </c>
      <c r="C25" s="15"/>
      <c r="D25" s="15"/>
      <c r="E25" s="15"/>
      <c r="F25" s="10"/>
      <c r="G25" s="34" t="s">
        <v>27</v>
      </c>
      <c r="H25" s="15"/>
      <c r="I25" s="35">
        <v>0</v>
      </c>
      <c r="J25" s="15"/>
      <c r="K25" s="15"/>
      <c r="L25" s="10"/>
    </row>
    <row r="26" spans="1:12">
      <c r="A26" s="1">
        <v>11</v>
      </c>
      <c r="B26" s="23" t="s">
        <v>28</v>
      </c>
      <c r="C26" s="15"/>
      <c r="D26" s="15"/>
      <c r="E26" s="15"/>
      <c r="F26" s="10"/>
      <c r="G26" s="34" t="s">
        <v>29</v>
      </c>
      <c r="H26" s="15"/>
      <c r="I26" s="36">
        <v>0</v>
      </c>
      <c r="J26" s="15"/>
      <c r="K26" s="15"/>
      <c r="L26" s="10"/>
    </row>
    <row r="27" spans="1:12">
      <c r="A27" s="1">
        <v>12</v>
      </c>
      <c r="B27" s="28" t="s">
        <v>30</v>
      </c>
      <c r="C27" s="15"/>
      <c r="D27" s="15"/>
      <c r="E27" s="15"/>
      <c r="F27" s="15"/>
      <c r="G27" s="13"/>
      <c r="H27" s="15"/>
      <c r="I27" s="36">
        <v>0</v>
      </c>
      <c r="J27" s="15"/>
      <c r="K27" s="15"/>
      <c r="L27" s="10"/>
    </row>
    <row r="28" spans="1:12">
      <c r="A28" s="1">
        <v>13</v>
      </c>
      <c r="B28" s="28" t="s">
        <v>245</v>
      </c>
      <c r="C28" s="15"/>
      <c r="D28" s="15"/>
      <c r="E28" s="15"/>
      <c r="F28" s="15"/>
      <c r="G28" s="34"/>
      <c r="H28" s="15"/>
      <c r="I28" s="36">
        <v>0</v>
      </c>
      <c r="J28" s="15"/>
      <c r="K28" s="15"/>
      <c r="L28" s="10"/>
    </row>
    <row r="29" spans="1:12" ht="16.5" thickBot="1">
      <c r="A29" s="1">
        <v>14</v>
      </c>
      <c r="B29" s="28" t="s">
        <v>31</v>
      </c>
      <c r="C29" s="15"/>
      <c r="D29" s="15"/>
      <c r="E29" s="15"/>
      <c r="F29" s="15"/>
      <c r="G29" s="13"/>
      <c r="H29" s="15"/>
      <c r="I29" s="37">
        <v>0</v>
      </c>
      <c r="J29" s="15"/>
      <c r="K29" s="15"/>
      <c r="L29" s="10"/>
    </row>
    <row r="30" spans="1:12">
      <c r="A30" s="1">
        <v>15</v>
      </c>
      <c r="B30" s="11" t="s">
        <v>32</v>
      </c>
      <c r="C30" s="15"/>
      <c r="D30" s="15"/>
      <c r="E30" s="15"/>
      <c r="F30" s="15"/>
      <c r="G30" s="15"/>
      <c r="H30" s="15"/>
      <c r="I30" s="21">
        <f>SUM(I23:I29)</f>
        <v>0</v>
      </c>
      <c r="J30" s="15"/>
      <c r="K30" s="15"/>
      <c r="L30" s="15"/>
    </row>
    <row r="31" spans="1:12">
      <c r="A31" s="1"/>
      <c r="B31" s="23"/>
      <c r="C31" s="15"/>
      <c r="D31" s="15"/>
      <c r="E31" s="15"/>
      <c r="F31" s="15"/>
      <c r="G31" s="15"/>
      <c r="H31" s="15"/>
      <c r="I31" s="21"/>
      <c r="J31" s="15"/>
      <c r="K31" s="15"/>
      <c r="L31" s="15"/>
    </row>
    <row r="32" spans="1:12">
      <c r="A32" s="1">
        <v>16</v>
      </c>
      <c r="B32" s="23" t="s">
        <v>33</v>
      </c>
      <c r="C32" s="15" t="s">
        <v>34</v>
      </c>
      <c r="D32" s="38">
        <f>IF(I30&gt;0,I20/I30,0)</f>
        <v>0</v>
      </c>
      <c r="E32" s="15"/>
      <c r="F32" s="15"/>
      <c r="G32" s="15"/>
      <c r="H32" s="15"/>
      <c r="I32" s="10"/>
      <c r="J32" s="15"/>
      <c r="K32" s="15"/>
      <c r="L32" s="15"/>
    </row>
    <row r="33" spans="1:12">
      <c r="A33" s="1">
        <v>17</v>
      </c>
      <c r="B33" s="23" t="s">
        <v>35</v>
      </c>
      <c r="C33" s="15" t="s">
        <v>36</v>
      </c>
      <c r="D33" s="38">
        <f>+D32/12</f>
        <v>0</v>
      </c>
      <c r="E33" s="15"/>
      <c r="F33" s="15"/>
      <c r="G33" s="15"/>
      <c r="H33" s="15"/>
      <c r="I33" s="10"/>
      <c r="J33" s="15"/>
      <c r="K33" s="15"/>
      <c r="L33" s="15"/>
    </row>
    <row r="34" spans="1:12">
      <c r="A34" s="1"/>
      <c r="B34" s="23"/>
      <c r="C34" s="15"/>
      <c r="D34" s="39"/>
      <c r="E34" s="15"/>
      <c r="F34" s="15"/>
      <c r="G34" s="15"/>
      <c r="H34" s="15"/>
      <c r="I34" s="10"/>
      <c r="J34" s="15"/>
      <c r="K34" s="15"/>
      <c r="L34" s="15"/>
    </row>
    <row r="35" spans="1:12">
      <c r="A35" s="1"/>
      <c r="B35" s="23"/>
      <c r="C35" s="15"/>
      <c r="D35" s="40" t="s">
        <v>37</v>
      </c>
      <c r="E35" s="15"/>
      <c r="F35" s="15"/>
      <c r="G35" s="15"/>
      <c r="H35" s="15"/>
      <c r="I35" s="41" t="s">
        <v>38</v>
      </c>
      <c r="J35" s="15"/>
      <c r="K35" s="15"/>
      <c r="L35" s="15"/>
    </row>
    <row r="36" spans="1:12">
      <c r="A36" s="1">
        <v>18</v>
      </c>
      <c r="B36" s="23" t="s">
        <v>39</v>
      </c>
      <c r="C36" s="42" t="s">
        <v>40</v>
      </c>
      <c r="D36" s="38">
        <f>+D32/52</f>
        <v>0</v>
      </c>
      <c r="E36" s="15"/>
      <c r="F36" s="15"/>
      <c r="G36" s="15"/>
      <c r="H36" s="15"/>
      <c r="I36" s="43">
        <f>+D32/52</f>
        <v>0</v>
      </c>
      <c r="J36" s="15"/>
      <c r="K36" s="15"/>
      <c r="L36" s="15"/>
    </row>
    <row r="37" spans="1:12">
      <c r="A37" s="1">
        <v>19</v>
      </c>
      <c r="B37" s="23" t="s">
        <v>41</v>
      </c>
      <c r="C37" s="42" t="s">
        <v>288</v>
      </c>
      <c r="D37" s="38">
        <f>+D36/5</f>
        <v>0</v>
      </c>
      <c r="E37" s="15" t="s">
        <v>42</v>
      </c>
      <c r="F37" s="10"/>
      <c r="G37" s="15"/>
      <c r="H37" s="15"/>
      <c r="I37" s="43">
        <f>+D32/365</f>
        <v>0</v>
      </c>
      <c r="J37" s="15"/>
      <c r="K37" s="15"/>
      <c r="L37" s="15"/>
    </row>
    <row r="38" spans="1:12">
      <c r="A38" s="1">
        <v>20</v>
      </c>
      <c r="B38" s="23" t="s">
        <v>43</v>
      </c>
      <c r="C38" s="42" t="s">
        <v>289</v>
      </c>
      <c r="D38" s="38">
        <f>+D37/16*1000</f>
        <v>0</v>
      </c>
      <c r="E38" s="15" t="s">
        <v>44</v>
      </c>
      <c r="F38" s="10"/>
      <c r="G38" s="15"/>
      <c r="H38" s="15"/>
      <c r="I38" s="43">
        <f>+I37/24*1000</f>
        <v>0</v>
      </c>
      <c r="J38" s="15"/>
      <c r="K38" s="15" t="s">
        <v>1</v>
      </c>
      <c r="L38" s="15"/>
    </row>
    <row r="39" spans="1:12">
      <c r="A39" s="1"/>
      <c r="B39" s="23"/>
      <c r="C39" s="15" t="s">
        <v>45</v>
      </c>
      <c r="D39" s="15"/>
      <c r="E39" s="15" t="s">
        <v>46</v>
      </c>
      <c r="F39" s="10"/>
      <c r="G39" s="15"/>
      <c r="H39" s="15"/>
      <c r="I39" s="10"/>
      <c r="J39" s="15"/>
      <c r="K39" s="15" t="s">
        <v>1</v>
      </c>
      <c r="L39" s="15"/>
    </row>
    <row r="40" spans="1:12">
      <c r="A40" s="1"/>
      <c r="B40" s="23"/>
      <c r="C40" s="15"/>
      <c r="D40" s="15"/>
      <c r="E40" s="15"/>
      <c r="F40" s="10"/>
      <c r="G40" s="15"/>
      <c r="H40" s="15"/>
      <c r="I40" s="10"/>
      <c r="J40" s="15"/>
      <c r="K40" s="15" t="s">
        <v>1</v>
      </c>
      <c r="L40" s="15"/>
    </row>
    <row r="41" spans="1:12">
      <c r="A41" s="1">
        <v>21</v>
      </c>
      <c r="B41" s="23" t="s">
        <v>247</v>
      </c>
      <c r="C41" s="15" t="s">
        <v>246</v>
      </c>
      <c r="D41" s="44">
        <v>0</v>
      </c>
      <c r="E41" s="45" t="s">
        <v>47</v>
      </c>
      <c r="F41" s="45"/>
      <c r="G41" s="45"/>
      <c r="H41" s="45"/>
      <c r="I41" s="45">
        <v>0</v>
      </c>
      <c r="J41" s="45" t="s">
        <v>47</v>
      </c>
      <c r="K41" s="15"/>
      <c r="L41" s="15"/>
    </row>
    <row r="42" spans="1:12">
      <c r="A42" s="1">
        <v>22</v>
      </c>
      <c r="B42" s="23"/>
      <c r="C42" s="15"/>
      <c r="D42" s="44">
        <v>0</v>
      </c>
      <c r="E42" s="45" t="s">
        <v>48</v>
      </c>
      <c r="F42" s="45"/>
      <c r="G42" s="45"/>
      <c r="H42" s="45"/>
      <c r="I42" s="45">
        <v>0</v>
      </c>
      <c r="J42" s="45" t="s">
        <v>48</v>
      </c>
      <c r="K42" s="15"/>
      <c r="L42" s="15"/>
    </row>
    <row r="43" spans="1:12">
      <c r="A43" s="1"/>
      <c r="B43" s="23"/>
      <c r="C43" s="15"/>
      <c r="D43" s="144"/>
      <c r="E43" s="45"/>
      <c r="F43" s="45"/>
      <c r="G43" s="45"/>
      <c r="H43" s="45"/>
      <c r="I43" s="45"/>
      <c r="J43" s="45"/>
      <c r="K43" s="15"/>
      <c r="L43" s="15"/>
    </row>
    <row r="44" spans="1:12">
      <c r="A44" s="1"/>
      <c r="B44" s="23"/>
      <c r="C44" s="15"/>
      <c r="D44" s="144"/>
      <c r="E44" s="45"/>
      <c r="F44" s="45"/>
      <c r="G44" s="45"/>
      <c r="H44" s="45"/>
      <c r="I44" s="45"/>
      <c r="J44" s="45"/>
      <c r="K44" s="15"/>
      <c r="L44" s="15"/>
    </row>
    <row r="45" spans="1:12">
      <c r="A45" s="1"/>
      <c r="B45" s="23"/>
      <c r="C45" s="15"/>
      <c r="D45" s="144"/>
      <c r="E45" s="45"/>
      <c r="F45" s="45"/>
      <c r="G45" s="45"/>
      <c r="H45" s="45"/>
      <c r="I45" s="45"/>
      <c r="J45" s="45"/>
      <c r="K45" s="15"/>
      <c r="L45" s="15"/>
    </row>
    <row r="46" spans="1:12">
      <c r="A46" s="1"/>
      <c r="B46" s="23"/>
      <c r="C46" s="15"/>
      <c r="D46" s="144"/>
      <c r="E46" s="45"/>
      <c r="F46" s="45"/>
      <c r="G46" s="45"/>
      <c r="H46" s="45"/>
      <c r="I46" s="45"/>
      <c r="J46" s="45"/>
      <c r="K46" s="15"/>
      <c r="L46" s="15"/>
    </row>
    <row r="47" spans="1:12">
      <c r="A47" s="1"/>
      <c r="B47" s="23"/>
      <c r="C47" s="15"/>
      <c r="D47" s="144"/>
      <c r="E47" s="45"/>
      <c r="F47" s="45"/>
      <c r="G47" s="45"/>
      <c r="H47" s="45"/>
      <c r="I47" s="45"/>
      <c r="J47" s="45"/>
      <c r="K47" s="15"/>
      <c r="L47" s="15"/>
    </row>
    <row r="48" spans="1:12">
      <c r="A48" s="1"/>
      <c r="B48" s="23"/>
      <c r="C48" s="15"/>
      <c r="D48" s="144"/>
      <c r="E48" s="45"/>
      <c r="F48" s="45"/>
      <c r="G48" s="45"/>
      <c r="H48" s="45"/>
      <c r="I48" s="45"/>
      <c r="J48" s="45"/>
      <c r="K48" s="15"/>
      <c r="L48" s="15"/>
    </row>
    <row r="49" spans="1:12">
      <c r="A49" s="1"/>
      <c r="B49" s="23"/>
      <c r="C49" s="15"/>
      <c r="D49" s="144"/>
      <c r="E49" s="45"/>
      <c r="F49" s="45"/>
      <c r="G49" s="45"/>
      <c r="H49" s="45"/>
      <c r="I49" s="45"/>
      <c r="J49" s="45"/>
      <c r="K49" s="15"/>
      <c r="L49" s="15"/>
    </row>
    <row r="50" spans="1:12">
      <c r="A50" s="1"/>
      <c r="B50" s="23"/>
      <c r="C50" s="15"/>
      <c r="D50" s="144"/>
      <c r="E50" s="45"/>
      <c r="F50" s="45"/>
      <c r="G50" s="45"/>
      <c r="H50" s="45"/>
      <c r="I50" s="45"/>
      <c r="J50" s="45"/>
      <c r="K50" s="15"/>
      <c r="L50" s="15"/>
    </row>
    <row r="51" spans="1:12">
      <c r="A51" s="1"/>
      <c r="B51" s="23"/>
      <c r="C51" s="15"/>
      <c r="D51" s="144"/>
      <c r="E51" s="45"/>
      <c r="F51" s="45"/>
      <c r="G51" s="45"/>
      <c r="H51" s="45"/>
      <c r="I51" s="45"/>
      <c r="J51" s="45"/>
      <c r="K51" s="15"/>
      <c r="L51" s="15"/>
    </row>
    <row r="52" spans="1:12">
      <c r="A52" s="1"/>
      <c r="B52" s="23"/>
      <c r="C52" s="15"/>
      <c r="D52" s="144"/>
      <c r="E52" s="45"/>
      <c r="F52" s="45"/>
      <c r="G52" s="45"/>
      <c r="H52" s="45"/>
      <c r="I52" s="45"/>
      <c r="J52" s="45"/>
      <c r="K52" s="15"/>
      <c r="L52" s="15"/>
    </row>
    <row r="53" spans="1:12">
      <c r="A53" s="1"/>
      <c r="B53" s="23"/>
      <c r="C53" s="15"/>
      <c r="D53" s="144"/>
      <c r="E53" s="45"/>
      <c r="F53" s="45"/>
      <c r="G53" s="45"/>
      <c r="H53" s="45"/>
      <c r="I53" s="45"/>
      <c r="J53" s="45"/>
      <c r="K53" s="15"/>
      <c r="L53" s="15"/>
    </row>
    <row r="54" spans="1:12">
      <c r="A54" s="1"/>
      <c r="B54" s="23"/>
      <c r="C54" s="15"/>
      <c r="D54" s="144"/>
      <c r="E54" s="45"/>
      <c r="F54" s="45"/>
      <c r="G54" s="45"/>
      <c r="H54" s="45"/>
      <c r="I54" s="45"/>
      <c r="J54" s="45"/>
      <c r="K54" s="15"/>
      <c r="L54" s="15"/>
    </row>
    <row r="55" spans="1:12">
      <c r="A55" s="1"/>
      <c r="B55" s="23"/>
      <c r="C55" s="15"/>
      <c r="D55" s="144"/>
      <c r="E55" s="45"/>
      <c r="F55" s="45"/>
      <c r="G55" s="45"/>
      <c r="H55" s="45"/>
      <c r="I55" s="45"/>
      <c r="J55" s="45"/>
      <c r="K55" s="15"/>
      <c r="L55" s="15"/>
    </row>
    <row r="56" spans="1:12">
      <c r="A56" s="1"/>
      <c r="B56" s="23"/>
      <c r="C56" s="15"/>
      <c r="D56" s="144"/>
      <c r="E56" s="45"/>
      <c r="F56" s="45"/>
      <c r="G56" s="45"/>
      <c r="H56" s="45"/>
      <c r="I56" s="45"/>
      <c r="J56" s="45"/>
      <c r="K56" s="15"/>
      <c r="L56" s="15"/>
    </row>
    <row r="57" spans="1:12">
      <c r="A57" s="1"/>
      <c r="B57" s="23"/>
      <c r="C57" s="15"/>
      <c r="D57" s="144"/>
      <c r="E57" s="45"/>
      <c r="F57" s="45"/>
      <c r="G57" s="45"/>
      <c r="H57" s="45"/>
      <c r="I57" s="45"/>
      <c r="J57" s="45"/>
      <c r="K57" s="15"/>
      <c r="L57" s="15"/>
    </row>
    <row r="58" spans="1:12">
      <c r="A58" s="1"/>
      <c r="B58" s="23"/>
      <c r="C58" s="15"/>
      <c r="D58" s="144"/>
      <c r="E58" s="45"/>
      <c r="F58" s="45"/>
      <c r="G58" s="45"/>
      <c r="H58" s="45"/>
      <c r="I58" s="45"/>
      <c r="J58" s="45"/>
      <c r="K58" s="15"/>
      <c r="L58" s="15"/>
    </row>
    <row r="59" spans="1:12">
      <c r="A59" s="1"/>
      <c r="B59" s="23"/>
      <c r="C59" s="15"/>
      <c r="D59" s="144"/>
      <c r="E59" s="45"/>
      <c r="F59" s="45"/>
      <c r="G59" s="45"/>
      <c r="H59" s="45"/>
      <c r="I59" s="45"/>
      <c r="J59" s="45"/>
      <c r="K59" s="15"/>
      <c r="L59" s="15"/>
    </row>
    <row r="60" spans="1:12">
      <c r="A60" s="1"/>
      <c r="B60" s="23"/>
      <c r="C60" s="15"/>
      <c r="D60" s="144"/>
      <c r="E60" s="45"/>
      <c r="F60" s="45"/>
      <c r="G60" s="45"/>
      <c r="H60" s="45"/>
      <c r="I60" s="45"/>
      <c r="J60" s="45"/>
      <c r="K60" s="15"/>
      <c r="L60" s="15"/>
    </row>
    <row r="61" spans="1:12">
      <c r="A61" s="1"/>
      <c r="B61" s="23"/>
      <c r="C61" s="15"/>
      <c r="D61" s="144"/>
      <c r="E61" s="45"/>
      <c r="F61" s="45"/>
      <c r="G61" s="45"/>
      <c r="H61" s="45"/>
      <c r="I61" s="45"/>
      <c r="J61" s="45"/>
      <c r="K61" s="15"/>
      <c r="L61" s="15"/>
    </row>
    <row r="62" spans="1:12">
      <c r="A62" s="1"/>
      <c r="B62" s="23"/>
      <c r="C62" s="15"/>
      <c r="D62" s="144"/>
      <c r="E62" s="45"/>
      <c r="F62" s="45"/>
      <c r="G62" s="45"/>
      <c r="H62" s="45"/>
      <c r="I62" s="45"/>
      <c r="J62" s="45"/>
      <c r="K62" s="15"/>
      <c r="L62" s="15"/>
    </row>
    <row r="63" spans="1:12">
      <c r="A63" s="1"/>
      <c r="B63" s="23"/>
      <c r="C63" s="15"/>
      <c r="D63" s="144"/>
      <c r="E63" s="45"/>
      <c r="F63" s="45"/>
      <c r="G63" s="45"/>
      <c r="H63" s="45"/>
      <c r="I63" s="45"/>
      <c r="J63" s="45"/>
      <c r="K63" s="15"/>
      <c r="L63" s="15"/>
    </row>
    <row r="64" spans="1:12">
      <c r="A64" s="1"/>
      <c r="B64" s="23"/>
      <c r="C64" s="15"/>
      <c r="D64" s="144"/>
      <c r="E64" s="45"/>
      <c r="F64" s="45"/>
      <c r="G64" s="45"/>
      <c r="H64" s="45"/>
      <c r="I64" s="45"/>
      <c r="J64" s="45"/>
      <c r="K64" s="15"/>
      <c r="L64" s="15"/>
    </row>
    <row r="65" spans="1:12">
      <c r="A65" s="1"/>
      <c r="B65" s="23"/>
      <c r="C65" s="15"/>
      <c r="D65" s="144"/>
      <c r="E65" s="45"/>
      <c r="F65" s="45"/>
      <c r="G65" s="45"/>
      <c r="H65" s="45"/>
      <c r="I65" s="45"/>
      <c r="J65" s="45"/>
      <c r="K65" s="15"/>
      <c r="L65" s="15"/>
    </row>
    <row r="66" spans="1:12">
      <c r="A66" s="1"/>
      <c r="B66" s="23"/>
      <c r="C66" s="15"/>
      <c r="D66" s="144"/>
      <c r="E66" s="45"/>
      <c r="F66" s="45"/>
      <c r="G66" s="45"/>
      <c r="H66" s="45"/>
      <c r="I66" s="45"/>
      <c r="J66" s="45"/>
      <c r="K66" s="15"/>
      <c r="L66" s="15"/>
    </row>
    <row r="67" spans="1:12">
      <c r="A67" s="1"/>
      <c r="B67" s="23"/>
      <c r="C67" s="15"/>
      <c r="D67" s="144"/>
      <c r="E67" s="45"/>
      <c r="F67" s="45"/>
      <c r="G67" s="45"/>
      <c r="H67" s="45"/>
      <c r="I67" s="45"/>
      <c r="J67" s="45"/>
      <c r="K67" s="15"/>
      <c r="L67" s="15"/>
    </row>
    <row r="68" spans="1:12">
      <c r="A68" s="1"/>
      <c r="B68" s="23"/>
      <c r="C68" s="15"/>
      <c r="D68" s="144"/>
      <c r="E68" s="45"/>
      <c r="F68" s="45"/>
      <c r="G68" s="45"/>
      <c r="H68" s="45"/>
      <c r="I68" s="45"/>
      <c r="J68" s="45"/>
      <c r="K68" s="15"/>
      <c r="L68" s="15"/>
    </row>
    <row r="69" spans="1:12">
      <c r="A69" s="1"/>
      <c r="B69" s="23"/>
      <c r="C69" s="15"/>
      <c r="D69" s="144"/>
      <c r="E69" s="45"/>
      <c r="F69" s="45"/>
      <c r="G69" s="45"/>
      <c r="H69" s="45"/>
      <c r="I69" s="45"/>
      <c r="J69" s="45"/>
      <c r="K69" s="15"/>
      <c r="L69" s="15"/>
    </row>
    <row r="70" spans="1:12">
      <c r="A70" s="1"/>
      <c r="B70" s="23"/>
      <c r="C70" s="15"/>
      <c r="D70" s="144"/>
      <c r="E70" s="45"/>
      <c r="F70" s="45"/>
      <c r="G70" s="45"/>
      <c r="H70" s="45"/>
      <c r="I70" s="45"/>
      <c r="J70" s="45"/>
      <c r="K70" s="15"/>
      <c r="L70" s="15"/>
    </row>
    <row r="71" spans="1:12">
      <c r="A71" s="1"/>
      <c r="B71" s="23"/>
      <c r="C71" s="15"/>
      <c r="D71" s="144"/>
      <c r="E71" s="45"/>
      <c r="F71" s="45"/>
      <c r="G71" s="45"/>
      <c r="H71" s="45"/>
      <c r="I71" s="45"/>
      <c r="J71" s="45"/>
      <c r="K71" s="15"/>
      <c r="L71" s="15"/>
    </row>
    <row r="72" spans="1:12">
      <c r="A72" s="1"/>
      <c r="B72" s="23"/>
      <c r="C72" s="15"/>
      <c r="D72" s="144"/>
      <c r="E72" s="45"/>
      <c r="F72" s="45"/>
      <c r="G72" s="45"/>
      <c r="H72" s="45"/>
      <c r="I72" s="45"/>
      <c r="J72" s="45"/>
      <c r="K72" s="15"/>
      <c r="L72" s="15"/>
    </row>
    <row r="73" spans="1:12">
      <c r="A73" s="1"/>
      <c r="B73" s="23"/>
      <c r="C73" s="15"/>
      <c r="D73" s="144"/>
      <c r="E73" s="45"/>
      <c r="F73" s="45"/>
      <c r="G73" s="45"/>
      <c r="H73" s="45"/>
      <c r="I73" s="45"/>
      <c r="J73" s="45"/>
      <c r="K73" s="15"/>
      <c r="L73" s="15"/>
    </row>
    <row r="74" spans="1:12">
      <c r="A74" s="1"/>
      <c r="B74" s="23"/>
      <c r="C74" s="15"/>
      <c r="D74" s="144"/>
      <c r="E74" s="45"/>
      <c r="F74" s="45"/>
      <c r="G74" s="45"/>
      <c r="H74" s="45"/>
      <c r="I74" s="45"/>
      <c r="J74" s="45"/>
      <c r="K74" s="15"/>
      <c r="L74" s="15"/>
    </row>
    <row r="75" spans="1:12">
      <c r="A75" s="10"/>
      <c r="B75" s="23"/>
      <c r="C75" s="15"/>
      <c r="D75" s="15"/>
      <c r="E75" s="15"/>
      <c r="F75" s="15"/>
      <c r="G75" s="15"/>
      <c r="H75" s="15"/>
      <c r="I75" s="46"/>
      <c r="J75" s="15"/>
      <c r="K75" s="47" t="s">
        <v>214</v>
      </c>
      <c r="L75" s="15"/>
    </row>
    <row r="76" spans="1:12">
      <c r="A76" s="10"/>
      <c r="B76" s="15"/>
      <c r="C76" s="15"/>
      <c r="D76" s="15"/>
      <c r="E76" s="15"/>
      <c r="F76" s="15"/>
      <c r="G76" s="15"/>
      <c r="H76" s="15"/>
      <c r="I76" s="15"/>
      <c r="J76" s="15"/>
      <c r="K76" s="15"/>
      <c r="L76" s="15"/>
    </row>
    <row r="77" spans="1:12">
      <c r="A77" s="10"/>
      <c r="B77" s="23" t="s">
        <v>0</v>
      </c>
      <c r="C77" s="23"/>
      <c r="D77" s="42" t="s">
        <v>284</v>
      </c>
      <c r="E77" s="23"/>
      <c r="F77" s="23"/>
      <c r="G77" s="23"/>
      <c r="H77" s="23"/>
      <c r="J77" s="23"/>
      <c r="K77" s="47" t="str">
        <f>K3</f>
        <v>For the 12 months ended 12/31/2016</v>
      </c>
      <c r="L77" s="23"/>
    </row>
    <row r="78" spans="1:12">
      <c r="A78" s="10"/>
      <c r="B78" s="23" t="s">
        <v>302</v>
      </c>
      <c r="C78" s="16"/>
      <c r="D78" s="16" t="s">
        <v>285</v>
      </c>
      <c r="E78" s="16"/>
      <c r="F78" s="16"/>
      <c r="G78" s="16"/>
      <c r="H78" s="16"/>
      <c r="I78" s="16"/>
      <c r="J78" s="16"/>
      <c r="K78" s="16"/>
      <c r="L78" s="15"/>
    </row>
    <row r="79" spans="1:12">
      <c r="A79" s="10"/>
      <c r="B79" s="23"/>
      <c r="C79" s="16" t="s">
        <v>1</v>
      </c>
      <c r="D79" s="16" t="s">
        <v>1</v>
      </c>
      <c r="E79" s="16"/>
      <c r="F79" s="16"/>
      <c r="G79" s="16" t="s">
        <v>1</v>
      </c>
      <c r="H79" s="16"/>
      <c r="I79" s="16"/>
      <c r="J79" s="16"/>
      <c r="K79" s="16"/>
      <c r="L79" s="16"/>
    </row>
    <row r="80" spans="1:12">
      <c r="A80" s="983" t="str">
        <f>A6</f>
        <v>American Transmission Company LLC</v>
      </c>
      <c r="B80" s="983"/>
      <c r="C80" s="983"/>
      <c r="D80" s="983"/>
      <c r="E80" s="983"/>
      <c r="F80" s="983"/>
      <c r="G80" s="983"/>
      <c r="H80" s="983"/>
      <c r="I80" s="983"/>
      <c r="J80" s="983"/>
      <c r="K80" s="983"/>
      <c r="L80" s="16"/>
    </row>
    <row r="81" spans="1:12">
      <c r="A81" s="10"/>
      <c r="B81" s="49" t="s">
        <v>49</v>
      </c>
      <c r="C81" s="49" t="s">
        <v>50</v>
      </c>
      <c r="D81" s="49" t="s">
        <v>51</v>
      </c>
      <c r="E81" s="16" t="s">
        <v>1</v>
      </c>
      <c r="F81" s="16"/>
      <c r="G81" s="50" t="s">
        <v>52</v>
      </c>
      <c r="H81" s="16"/>
      <c r="I81" s="18" t="s">
        <v>53</v>
      </c>
      <c r="J81" s="16"/>
      <c r="K81" s="49"/>
      <c r="L81" s="49"/>
    </row>
    <row r="82" spans="1:12">
      <c r="A82" s="10"/>
      <c r="B82" s="23"/>
      <c r="C82" s="51" t="s">
        <v>54</v>
      </c>
      <c r="D82" s="16"/>
      <c r="E82" s="16"/>
      <c r="F82" s="16"/>
      <c r="G82" s="1"/>
      <c r="H82" s="16"/>
      <c r="I82" s="52" t="s">
        <v>55</v>
      </c>
      <c r="J82" s="16"/>
      <c r="K82" s="49"/>
      <c r="L82" s="49"/>
    </row>
    <row r="83" spans="1:12">
      <c r="A83" s="1" t="s">
        <v>4</v>
      </c>
      <c r="B83" s="23"/>
      <c r="C83" s="53" t="s">
        <v>56</v>
      </c>
      <c r="D83" s="52" t="s">
        <v>57</v>
      </c>
      <c r="E83" s="54"/>
      <c r="F83" s="52" t="s">
        <v>58</v>
      </c>
      <c r="G83" s="10"/>
      <c r="H83" s="54"/>
      <c r="I83" s="1" t="s">
        <v>59</v>
      </c>
      <c r="J83" s="16"/>
      <c r="K83" s="49"/>
      <c r="L83" s="49"/>
    </row>
    <row r="84" spans="1:12" ht="16.5" thickBot="1">
      <c r="A84" s="20" t="s">
        <v>6</v>
      </c>
      <c r="B84" s="55" t="s">
        <v>294</v>
      </c>
      <c r="C84" s="16"/>
      <c r="D84" s="16"/>
      <c r="E84" s="16"/>
      <c r="F84" s="16"/>
      <c r="G84" s="16"/>
      <c r="H84" s="16"/>
      <c r="I84" s="16"/>
      <c r="J84" s="16"/>
      <c r="K84" s="16"/>
      <c r="L84" s="16"/>
    </row>
    <row r="85" spans="1:12">
      <c r="A85" s="1"/>
      <c r="B85" s="23" t="s">
        <v>60</v>
      </c>
      <c r="C85" s="16"/>
      <c r="D85" s="16"/>
      <c r="E85" s="16"/>
      <c r="F85" s="16"/>
      <c r="G85" s="16"/>
      <c r="H85" s="16"/>
      <c r="I85" s="16"/>
      <c r="J85" s="16"/>
      <c r="K85" s="16"/>
      <c r="L85" s="16"/>
    </row>
    <row r="86" spans="1:12">
      <c r="A86" s="1">
        <v>1</v>
      </c>
      <c r="B86" s="23" t="s">
        <v>61</v>
      </c>
      <c r="C86" s="27" t="s">
        <v>236</v>
      </c>
      <c r="D86" s="29">
        <v>0</v>
      </c>
      <c r="E86" s="16"/>
      <c r="F86" s="16" t="s">
        <v>62</v>
      </c>
      <c r="G86" s="56" t="s">
        <v>1</v>
      </c>
      <c r="H86" s="16"/>
      <c r="I86" s="16">
        <v>0</v>
      </c>
      <c r="J86" s="16"/>
      <c r="K86" s="16"/>
      <c r="L86" s="10"/>
    </row>
    <row r="87" spans="1:12">
      <c r="A87" s="1" t="s">
        <v>63</v>
      </c>
      <c r="B87" s="23" t="s">
        <v>329</v>
      </c>
      <c r="C87" s="27" t="s">
        <v>330</v>
      </c>
      <c r="D87" s="29">
        <v>4767684101</v>
      </c>
      <c r="E87" s="16"/>
      <c r="F87" s="16" t="s">
        <v>14</v>
      </c>
      <c r="G87" s="57">
        <f>I231</f>
        <v>1</v>
      </c>
      <c r="H87" s="27"/>
      <c r="I87" s="27">
        <f>+G87*D87</f>
        <v>4767684101</v>
      </c>
      <c r="J87" s="16"/>
      <c r="K87" s="16"/>
      <c r="L87" s="10"/>
    </row>
    <row r="88" spans="1:12">
      <c r="A88" s="1" t="s">
        <v>64</v>
      </c>
      <c r="B88" s="42" t="s">
        <v>299</v>
      </c>
      <c r="C88" s="16"/>
      <c r="D88" s="29">
        <f>CWIP!P58</f>
        <v>291158019</v>
      </c>
      <c r="E88" s="16"/>
      <c r="F88" s="16" t="s">
        <v>14</v>
      </c>
      <c r="G88" s="57">
        <f>G87</f>
        <v>1</v>
      </c>
      <c r="H88" s="27"/>
      <c r="I88" s="27">
        <f>+G88*D88</f>
        <v>291158019</v>
      </c>
      <c r="J88" s="16"/>
      <c r="K88" s="16"/>
      <c r="L88" s="10"/>
    </row>
    <row r="89" spans="1:12">
      <c r="A89" s="1">
        <v>3</v>
      </c>
      <c r="B89" s="23" t="s">
        <v>65</v>
      </c>
      <c r="C89" s="27" t="s">
        <v>220</v>
      </c>
      <c r="D89" s="29">
        <v>0</v>
      </c>
      <c r="E89" s="16"/>
      <c r="F89" s="16" t="s">
        <v>62</v>
      </c>
      <c r="G89" s="57" t="s">
        <v>1</v>
      </c>
      <c r="H89" s="27"/>
      <c r="I89" s="27">
        <v>0</v>
      </c>
      <c r="J89" s="16"/>
      <c r="K89" s="16"/>
      <c r="L89" s="10"/>
    </row>
    <row r="90" spans="1:12">
      <c r="A90" s="1">
        <v>4</v>
      </c>
      <c r="B90" s="23" t="s">
        <v>327</v>
      </c>
      <c r="C90" s="27" t="s">
        <v>328</v>
      </c>
      <c r="D90" s="29">
        <v>141204294.08000001</v>
      </c>
      <c r="E90" s="16"/>
      <c r="F90" s="16" t="s">
        <v>66</v>
      </c>
      <c r="G90" s="57">
        <f>I248</f>
        <v>1</v>
      </c>
      <c r="H90" s="27"/>
      <c r="I90" s="27">
        <f>+G90*D90</f>
        <v>141204294.08000001</v>
      </c>
      <c r="J90" s="16"/>
      <c r="K90" s="16"/>
      <c r="L90" s="10"/>
    </row>
    <row r="91" spans="1:12" ht="16.5" thickBot="1">
      <c r="A91" s="1">
        <v>5</v>
      </c>
      <c r="B91" s="23" t="s">
        <v>67</v>
      </c>
      <c r="C91" s="16" t="s">
        <v>68</v>
      </c>
      <c r="D91" s="58">
        <v>0</v>
      </c>
      <c r="E91" s="16"/>
      <c r="F91" s="16" t="s">
        <v>69</v>
      </c>
      <c r="G91" s="57">
        <f>K252</f>
        <v>1</v>
      </c>
      <c r="H91" s="27"/>
      <c r="I91" s="30">
        <f>+G91*D91</f>
        <v>0</v>
      </c>
      <c r="J91" s="16"/>
      <c r="K91" s="16"/>
      <c r="L91" s="10"/>
    </row>
    <row r="92" spans="1:12">
      <c r="A92" s="1">
        <v>6</v>
      </c>
      <c r="B92" s="11" t="s">
        <v>248</v>
      </c>
      <c r="C92" s="16"/>
      <c r="D92" s="16">
        <f>SUM(D86:D91)</f>
        <v>5200046414.0799999</v>
      </c>
      <c r="E92" s="16"/>
      <c r="F92" s="16" t="s">
        <v>70</v>
      </c>
      <c r="G92" s="59">
        <f>IF(I92&gt;0,I92/D92,0)</f>
        <v>1</v>
      </c>
      <c r="H92" s="27"/>
      <c r="I92" s="27">
        <f>SUM(I86:I91)</f>
        <v>5200046414.0799999</v>
      </c>
      <c r="J92" s="16"/>
      <c r="K92" s="60"/>
      <c r="L92" s="16"/>
    </row>
    <row r="93" spans="1:12">
      <c r="A93" s="10"/>
      <c r="B93" s="23"/>
      <c r="C93" s="16"/>
      <c r="D93" s="16"/>
      <c r="E93" s="16"/>
      <c r="F93" s="16"/>
      <c r="G93" s="60"/>
      <c r="H93" s="16"/>
      <c r="I93" s="16"/>
      <c r="J93" s="16"/>
      <c r="K93" s="60"/>
      <c r="L93" s="16"/>
    </row>
    <row r="94" spans="1:12">
      <c r="A94" s="10"/>
      <c r="B94" s="23" t="s">
        <v>71</v>
      </c>
      <c r="C94" s="16"/>
      <c r="D94" s="16"/>
      <c r="E94" s="16"/>
      <c r="F94" s="16"/>
      <c r="G94" s="16"/>
      <c r="H94" s="16"/>
      <c r="I94" s="16"/>
      <c r="J94" s="16"/>
      <c r="K94" s="16"/>
      <c r="L94" s="16"/>
    </row>
    <row r="95" spans="1:12">
      <c r="A95" s="1">
        <v>7</v>
      </c>
      <c r="B95" s="23" t="s">
        <v>61</v>
      </c>
      <c r="C95" s="16" t="s">
        <v>221</v>
      </c>
      <c r="D95" s="29">
        <v>0</v>
      </c>
      <c r="E95" s="16"/>
      <c r="F95" s="16" t="s">
        <v>62</v>
      </c>
      <c r="G95" s="56" t="s">
        <v>1</v>
      </c>
      <c r="H95" s="16"/>
      <c r="I95" s="16">
        <v>0</v>
      </c>
      <c r="J95" s="16"/>
      <c r="K95" s="16"/>
      <c r="L95" s="16"/>
    </row>
    <row r="96" spans="1:12">
      <c r="A96" s="1" t="s">
        <v>72</v>
      </c>
      <c r="B96" s="23" t="s">
        <v>329</v>
      </c>
      <c r="C96" s="16" t="s">
        <v>331</v>
      </c>
      <c r="D96" s="61">
        <v>1260378700.3099999</v>
      </c>
      <c r="E96" s="16"/>
      <c r="F96" s="16" t="s">
        <v>14</v>
      </c>
      <c r="G96" s="57">
        <f>+G87</f>
        <v>1</v>
      </c>
      <c r="H96" s="27"/>
      <c r="I96" s="27">
        <f>+G96*D96</f>
        <v>1260378700.3099999</v>
      </c>
      <c r="J96" s="16"/>
      <c r="K96" s="16"/>
      <c r="L96" s="16"/>
    </row>
    <row r="97" spans="1:12">
      <c r="A97" s="1" t="s">
        <v>73</v>
      </c>
      <c r="B97" s="42" t="s">
        <v>299</v>
      </c>
      <c r="C97" s="16"/>
      <c r="D97" s="61">
        <v>0</v>
      </c>
      <c r="E97" s="16"/>
      <c r="F97" s="16" t="s">
        <v>14</v>
      </c>
      <c r="G97" s="57">
        <f>G96</f>
        <v>1</v>
      </c>
      <c r="H97" s="27"/>
      <c r="I97" s="27">
        <f>+G97*D97</f>
        <v>0</v>
      </c>
      <c r="J97" s="16"/>
      <c r="K97" s="16"/>
      <c r="L97" s="16"/>
    </row>
    <row r="98" spans="1:12">
      <c r="A98" s="1">
        <v>9</v>
      </c>
      <c r="B98" s="23" t="s">
        <v>65</v>
      </c>
      <c r="C98" s="16" t="s">
        <v>222</v>
      </c>
      <c r="D98" s="29">
        <v>0</v>
      </c>
      <c r="E98" s="16"/>
      <c r="F98" s="16" t="s">
        <v>62</v>
      </c>
      <c r="G98" s="57" t="str">
        <f>+G89</f>
        <v xml:space="preserve"> </v>
      </c>
      <c r="H98" s="27"/>
      <c r="I98" s="27" t="s">
        <v>1</v>
      </c>
      <c r="J98" s="16"/>
      <c r="K98" s="16"/>
      <c r="L98" s="16"/>
    </row>
    <row r="99" spans="1:12">
      <c r="A99" s="1">
        <v>10</v>
      </c>
      <c r="B99" s="23" t="s">
        <v>327</v>
      </c>
      <c r="C99" s="16" t="s">
        <v>340</v>
      </c>
      <c r="D99" s="29">
        <v>44945553.619999997</v>
      </c>
      <c r="E99" s="16"/>
      <c r="F99" s="16" t="s">
        <v>66</v>
      </c>
      <c r="G99" s="57">
        <f>+G90</f>
        <v>1</v>
      </c>
      <c r="H99" s="27"/>
      <c r="I99" s="27">
        <f>+G99*D99</f>
        <v>44945553.619999997</v>
      </c>
      <c r="J99" s="16"/>
      <c r="K99" s="16"/>
      <c r="L99" s="16"/>
    </row>
    <row r="100" spans="1:12" ht="16.5" thickBot="1">
      <c r="A100" s="1">
        <v>11</v>
      </c>
      <c r="B100" s="23" t="s">
        <v>67</v>
      </c>
      <c r="C100" s="16" t="s">
        <v>68</v>
      </c>
      <c r="D100" s="58">
        <v>0</v>
      </c>
      <c r="E100" s="16"/>
      <c r="F100" s="16" t="s">
        <v>69</v>
      </c>
      <c r="G100" s="57">
        <f>+G91</f>
        <v>1</v>
      </c>
      <c r="H100" s="27"/>
      <c r="I100" s="30">
        <f>+G100*D100</f>
        <v>0</v>
      </c>
      <c r="J100" s="16"/>
      <c r="K100" s="16"/>
      <c r="L100" s="16"/>
    </row>
    <row r="101" spans="1:12">
      <c r="A101" s="1">
        <v>12</v>
      </c>
      <c r="B101" s="23" t="s">
        <v>249</v>
      </c>
      <c r="C101" s="16"/>
      <c r="D101" s="62">
        <f>SUM(D95:D100)</f>
        <v>1305324253.9299998</v>
      </c>
      <c r="E101" s="16"/>
      <c r="F101" s="16"/>
      <c r="G101" s="27"/>
      <c r="H101" s="27"/>
      <c r="I101" s="27">
        <f>SUM(I95:I100)</f>
        <v>1305324253.9299998</v>
      </c>
      <c r="J101" s="16"/>
      <c r="K101" s="16"/>
      <c r="L101" s="63"/>
    </row>
    <row r="102" spans="1:12">
      <c r="A102" s="1"/>
      <c r="B102" s="10"/>
      <c r="C102" s="16" t="s">
        <v>1</v>
      </c>
      <c r="D102" s="10"/>
      <c r="E102" s="16"/>
      <c r="F102" s="16"/>
      <c r="G102" s="60"/>
      <c r="H102" s="16"/>
      <c r="I102" s="10"/>
      <c r="J102" s="16"/>
      <c r="K102" s="60"/>
      <c r="L102" s="16"/>
    </row>
    <row r="103" spans="1:12">
      <c r="A103" s="1"/>
      <c r="B103" s="23" t="s">
        <v>74</v>
      </c>
      <c r="C103" s="16"/>
      <c r="D103" s="16"/>
      <c r="E103" s="16"/>
      <c r="F103" s="16"/>
      <c r="G103" s="16"/>
      <c r="H103" s="16"/>
      <c r="I103" s="16"/>
      <c r="J103" s="16"/>
      <c r="K103" s="16"/>
      <c r="L103" s="16"/>
    </row>
    <row r="104" spans="1:12">
      <c r="A104" s="1">
        <v>13</v>
      </c>
      <c r="B104" s="23" t="s">
        <v>61</v>
      </c>
      <c r="C104" s="16" t="s">
        <v>262</v>
      </c>
      <c r="D104" s="27">
        <f t="shared" ref="D104:D109" si="0">D86-D95</f>
        <v>0</v>
      </c>
      <c r="E104" s="27"/>
      <c r="F104" s="27"/>
      <c r="G104" s="59"/>
      <c r="H104" s="27"/>
      <c r="I104" s="27" t="s">
        <v>1</v>
      </c>
      <c r="J104" s="16"/>
      <c r="K104" s="60"/>
      <c r="L104" s="16"/>
    </row>
    <row r="105" spans="1:12">
      <c r="A105" s="1" t="s">
        <v>75</v>
      </c>
      <c r="B105" s="23" t="s">
        <v>329</v>
      </c>
      <c r="C105" s="16" t="s">
        <v>341</v>
      </c>
      <c r="D105" s="27">
        <f t="shared" si="0"/>
        <v>3507305400.6900001</v>
      </c>
      <c r="E105" s="27"/>
      <c r="F105" s="27"/>
      <c r="G105" s="57"/>
      <c r="H105" s="27"/>
      <c r="I105" s="27">
        <f>I87-I96</f>
        <v>3507305400.6900001</v>
      </c>
      <c r="J105" s="16"/>
      <c r="K105" s="60"/>
      <c r="L105" s="16"/>
    </row>
    <row r="106" spans="1:12">
      <c r="A106" s="1" t="s">
        <v>76</v>
      </c>
      <c r="B106" s="42" t="s">
        <v>299</v>
      </c>
      <c r="C106" s="16"/>
      <c r="D106" s="27">
        <f t="shared" si="0"/>
        <v>291158019</v>
      </c>
      <c r="E106" s="27"/>
      <c r="F106" s="27"/>
      <c r="G106" s="57"/>
      <c r="H106" s="27"/>
      <c r="I106" s="27">
        <f>I88-I97</f>
        <v>291158019</v>
      </c>
      <c r="J106" s="16"/>
      <c r="K106" s="60"/>
      <c r="L106" s="16"/>
    </row>
    <row r="107" spans="1:12">
      <c r="A107" s="1">
        <v>15</v>
      </c>
      <c r="B107" s="23" t="s">
        <v>65</v>
      </c>
      <c r="C107" s="16" t="s">
        <v>263</v>
      </c>
      <c r="D107" s="27">
        <f t="shared" si="0"/>
        <v>0</v>
      </c>
      <c r="E107" s="27"/>
      <c r="F107" s="27"/>
      <c r="G107" s="59"/>
      <c r="H107" s="27"/>
      <c r="I107" s="27" t="s">
        <v>1</v>
      </c>
      <c r="J107" s="16"/>
      <c r="K107" s="60"/>
      <c r="L107" s="16"/>
    </row>
    <row r="108" spans="1:12">
      <c r="A108" s="1">
        <v>16</v>
      </c>
      <c r="B108" s="23" t="s">
        <v>342</v>
      </c>
      <c r="C108" s="16" t="s">
        <v>264</v>
      </c>
      <c r="D108" s="27">
        <f t="shared" si="0"/>
        <v>96258740.460000008</v>
      </c>
      <c r="E108" s="27"/>
      <c r="F108" s="27"/>
      <c r="G108" s="59"/>
      <c r="H108" s="27"/>
      <c r="I108" s="27">
        <f>I90-I99</f>
        <v>96258740.460000008</v>
      </c>
      <c r="J108" s="16"/>
      <c r="K108" s="60"/>
      <c r="L108" s="16"/>
    </row>
    <row r="109" spans="1:12" ht="16.5" thickBot="1">
      <c r="A109" s="1">
        <v>17</v>
      </c>
      <c r="B109" s="23" t="s">
        <v>67</v>
      </c>
      <c r="C109" s="16" t="s">
        <v>265</v>
      </c>
      <c r="D109" s="30">
        <f t="shared" si="0"/>
        <v>0</v>
      </c>
      <c r="E109" s="27"/>
      <c r="F109" s="27"/>
      <c r="G109" s="59"/>
      <c r="H109" s="27"/>
      <c r="I109" s="30">
        <f>I91-I100</f>
        <v>0</v>
      </c>
      <c r="J109" s="16"/>
      <c r="K109" s="60"/>
      <c r="L109" s="16"/>
    </row>
    <row r="110" spans="1:12">
      <c r="A110" s="1">
        <v>18</v>
      </c>
      <c r="B110" s="23" t="s">
        <v>274</v>
      </c>
      <c r="C110" s="16"/>
      <c r="D110" s="27">
        <f>SUM(D104:D109)</f>
        <v>3894722160.1500001</v>
      </c>
      <c r="E110" s="27"/>
      <c r="F110" s="27" t="s">
        <v>77</v>
      </c>
      <c r="G110" s="59">
        <f>IF(I110&gt;0,I110/D110,0)</f>
        <v>1</v>
      </c>
      <c r="H110" s="27"/>
      <c r="I110" s="27">
        <f>SUM(I104:I109)</f>
        <v>3894722160.1500001</v>
      </c>
      <c r="J110" s="16"/>
      <c r="K110" s="16"/>
      <c r="L110" s="31"/>
    </row>
    <row r="111" spans="1:12">
      <c r="A111" s="1"/>
      <c r="B111" s="10"/>
      <c r="C111" s="16"/>
      <c r="D111" s="10"/>
      <c r="E111" s="16"/>
      <c r="F111" s="10"/>
      <c r="G111" s="10"/>
      <c r="H111" s="16"/>
      <c r="I111" s="10"/>
      <c r="J111" s="16"/>
      <c r="K111" s="60"/>
      <c r="L111" s="16"/>
    </row>
    <row r="112" spans="1:12">
      <c r="A112" s="1"/>
      <c r="B112" s="11" t="s">
        <v>250</v>
      </c>
      <c r="C112" s="16"/>
      <c r="D112" s="16"/>
      <c r="E112" s="16"/>
      <c r="F112" s="16"/>
      <c r="G112" s="16"/>
      <c r="H112" s="16"/>
      <c r="I112" s="16"/>
      <c r="J112" s="16"/>
      <c r="K112" s="16"/>
      <c r="L112" s="16"/>
    </row>
    <row r="113" spans="1:12">
      <c r="A113" s="1">
        <v>19</v>
      </c>
      <c r="B113" s="23" t="s">
        <v>78</v>
      </c>
      <c r="C113" s="16" t="s">
        <v>79</v>
      </c>
      <c r="D113" s="29">
        <v>0</v>
      </c>
      <c r="E113" s="24"/>
      <c r="F113" s="24" t="s">
        <v>62</v>
      </c>
      <c r="G113" s="64" t="s">
        <v>80</v>
      </c>
      <c r="H113" s="27"/>
      <c r="I113" s="27">
        <v>0</v>
      </c>
      <c r="J113" s="16"/>
      <c r="K113" s="60"/>
      <c r="L113" s="60"/>
    </row>
    <row r="114" spans="1:12">
      <c r="A114" s="1">
        <v>20</v>
      </c>
      <c r="B114" s="23" t="s">
        <v>225</v>
      </c>
      <c r="C114" s="16" t="s">
        <v>300</v>
      </c>
      <c r="D114" s="65">
        <f>'Def. Tax Avg Calc'!C37</f>
        <v>-691296406.23076928</v>
      </c>
      <c r="E114" s="16"/>
      <c r="F114" s="16" t="s">
        <v>81</v>
      </c>
      <c r="G114" s="57">
        <f>+G110</f>
        <v>1</v>
      </c>
      <c r="H114" s="27"/>
      <c r="I114" s="27">
        <f>D114*G114</f>
        <v>-691296406.23076928</v>
      </c>
      <c r="J114" s="16"/>
      <c r="K114" s="60"/>
      <c r="L114" s="60"/>
    </row>
    <row r="115" spans="1:12">
      <c r="A115" s="1">
        <v>21</v>
      </c>
      <c r="B115" s="23" t="s">
        <v>82</v>
      </c>
      <c r="C115" s="16" t="s">
        <v>83</v>
      </c>
      <c r="D115" s="65">
        <f>'Def. Tax Avg Calc'!C53</f>
        <v>-4336448.076923077</v>
      </c>
      <c r="E115" s="16"/>
      <c r="F115" s="16" t="s">
        <v>81</v>
      </c>
      <c r="G115" s="57">
        <f>+G114</f>
        <v>1</v>
      </c>
      <c r="H115" s="27"/>
      <c r="I115" s="27">
        <f>D115*G115</f>
        <v>-4336448.076923077</v>
      </c>
      <c r="J115" s="16"/>
      <c r="K115" s="60"/>
      <c r="L115" s="60"/>
    </row>
    <row r="116" spans="1:12">
      <c r="A116" s="1">
        <v>22</v>
      </c>
      <c r="B116" s="23" t="s">
        <v>84</v>
      </c>
      <c r="C116" s="16" t="s">
        <v>85</v>
      </c>
      <c r="D116" s="66">
        <f>'Def. Tax Avg Calc'!C21</f>
        <v>14219459.538461538</v>
      </c>
      <c r="E116" s="16"/>
      <c r="F116" s="16" t="s">
        <v>81</v>
      </c>
      <c r="G116" s="57">
        <f>+G115</f>
        <v>1</v>
      </c>
      <c r="H116" s="27"/>
      <c r="I116" s="27">
        <f>D116*G116</f>
        <v>14219459.538461538</v>
      </c>
      <c r="J116" s="16"/>
      <c r="K116" s="60"/>
      <c r="L116" s="60"/>
    </row>
    <row r="117" spans="1:12" ht="16.5" thickBot="1">
      <c r="A117" s="1">
        <v>23</v>
      </c>
      <c r="B117" s="10" t="s">
        <v>86</v>
      </c>
      <c r="C117" s="10" t="s">
        <v>223</v>
      </c>
      <c r="D117" s="58">
        <v>0</v>
      </c>
      <c r="E117" s="16"/>
      <c r="F117" s="16" t="s">
        <v>81</v>
      </c>
      <c r="G117" s="57">
        <f>+G115</f>
        <v>1</v>
      </c>
      <c r="H117" s="27"/>
      <c r="I117" s="30">
        <f>D117*G117</f>
        <v>0</v>
      </c>
      <c r="J117" s="16"/>
      <c r="K117" s="60"/>
      <c r="L117" s="60"/>
    </row>
    <row r="118" spans="1:12">
      <c r="A118" s="1">
        <v>24</v>
      </c>
      <c r="B118" s="23" t="s">
        <v>87</v>
      </c>
      <c r="C118" s="16"/>
      <c r="D118" s="67">
        <f>SUM(D113:D117)</f>
        <v>-681413394.76923084</v>
      </c>
      <c r="E118" s="16"/>
      <c r="F118" s="16"/>
      <c r="G118" s="27"/>
      <c r="H118" s="27"/>
      <c r="I118" s="27">
        <f>SUM(I113:I117)</f>
        <v>-681413394.76923084</v>
      </c>
      <c r="J118" s="16"/>
      <c r="K118" s="16"/>
      <c r="L118" s="63"/>
    </row>
    <row r="119" spans="1:12">
      <c r="A119" s="1"/>
      <c r="B119" s="10"/>
      <c r="C119" s="16"/>
      <c r="D119" s="10"/>
      <c r="E119" s="16"/>
      <c r="F119" s="16"/>
      <c r="G119" s="60"/>
      <c r="H119" s="16"/>
      <c r="I119" s="10"/>
      <c r="J119" s="16"/>
      <c r="K119" s="60"/>
      <c r="L119" s="16"/>
    </row>
    <row r="120" spans="1:12">
      <c r="A120" s="1">
        <v>25</v>
      </c>
      <c r="B120" s="11" t="s">
        <v>88</v>
      </c>
      <c r="C120" s="178" t="s">
        <v>292</v>
      </c>
      <c r="D120" s="29">
        <v>13813656.460000001</v>
      </c>
      <c r="E120" s="16"/>
      <c r="F120" s="16" t="s">
        <v>14</v>
      </c>
      <c r="G120" s="57">
        <f>+G96</f>
        <v>1</v>
      </c>
      <c r="H120" s="27"/>
      <c r="I120" s="27">
        <f>+G120*D120</f>
        <v>13813656.460000001</v>
      </c>
      <c r="J120" s="16"/>
      <c r="K120" s="16"/>
      <c r="L120" s="16"/>
    </row>
    <row r="121" spans="1:12">
      <c r="A121" s="1"/>
      <c r="B121" s="23"/>
      <c r="C121" s="16"/>
      <c r="D121" s="16"/>
      <c r="E121" s="16"/>
      <c r="F121" s="16"/>
      <c r="G121" s="27"/>
      <c r="H121" s="27"/>
      <c r="I121" s="27"/>
      <c r="J121" s="16"/>
      <c r="K121" s="16"/>
      <c r="L121" s="16"/>
    </row>
    <row r="122" spans="1:12">
      <c r="A122" s="1"/>
      <c r="B122" s="23" t="s">
        <v>89</v>
      </c>
      <c r="C122" s="16" t="s">
        <v>1</v>
      </c>
      <c r="D122" s="16"/>
      <c r="E122" s="16"/>
      <c r="F122" s="16"/>
      <c r="G122" s="27"/>
      <c r="H122" s="27"/>
      <c r="I122" s="27"/>
      <c r="J122" s="16"/>
      <c r="K122" s="16"/>
      <c r="L122" s="16"/>
    </row>
    <row r="123" spans="1:12">
      <c r="A123" s="1">
        <v>26</v>
      </c>
      <c r="B123" s="23" t="s">
        <v>295</v>
      </c>
      <c r="C123" s="10" t="s">
        <v>212</v>
      </c>
      <c r="D123" s="24">
        <f>+D165/8</f>
        <v>19674410.146249998</v>
      </c>
      <c r="E123" s="24"/>
      <c r="F123" s="24"/>
      <c r="G123" s="75"/>
      <c r="H123" s="90"/>
      <c r="I123" s="90">
        <f>+I165/8</f>
        <v>17659681.734940756</v>
      </c>
      <c r="J123" s="15"/>
      <c r="K123" s="60"/>
      <c r="L123" s="48"/>
    </row>
    <row r="124" spans="1:12">
      <c r="A124" s="1">
        <v>27</v>
      </c>
      <c r="B124" s="23" t="s">
        <v>90</v>
      </c>
      <c r="C124" s="178" t="s">
        <v>303</v>
      </c>
      <c r="D124" s="29">
        <v>3062848.0453846199</v>
      </c>
      <c r="E124" s="16"/>
      <c r="F124" s="16" t="s">
        <v>91</v>
      </c>
      <c r="G124" s="57">
        <f>I240</f>
        <v>0.85974554550430482</v>
      </c>
      <c r="H124" s="27"/>
      <c r="I124" s="27">
        <f>+G124*D124</f>
        <v>2633269.9635759937</v>
      </c>
      <c r="J124" s="16" t="s">
        <v>1</v>
      </c>
      <c r="K124" s="60"/>
      <c r="L124" s="48"/>
    </row>
    <row r="125" spans="1:12" ht="16.5" thickBot="1">
      <c r="A125" s="1">
        <v>28</v>
      </c>
      <c r="B125" s="23" t="s">
        <v>92</v>
      </c>
      <c r="C125" s="27" t="s">
        <v>224</v>
      </c>
      <c r="D125" s="58">
        <v>7703911.4069230799</v>
      </c>
      <c r="E125" s="16"/>
      <c r="F125" s="16" t="s">
        <v>93</v>
      </c>
      <c r="G125" s="57">
        <f>+G92</f>
        <v>1</v>
      </c>
      <c r="H125" s="27"/>
      <c r="I125" s="30">
        <f>+G125*D125</f>
        <v>7703911.4069230799</v>
      </c>
      <c r="J125" s="16"/>
      <c r="K125" s="60"/>
      <c r="L125" s="48"/>
    </row>
    <row r="126" spans="1:12">
      <c r="A126" s="1">
        <v>29</v>
      </c>
      <c r="B126" s="23" t="s">
        <v>275</v>
      </c>
      <c r="C126" s="15"/>
      <c r="D126" s="16">
        <f>SUM(D123:D125)</f>
        <v>30441169.598557696</v>
      </c>
      <c r="E126" s="15"/>
      <c r="F126" s="15"/>
      <c r="G126" s="6"/>
      <c r="H126" s="6"/>
      <c r="I126" s="27">
        <f>I123+I124+I125</f>
        <v>27996863.105439827</v>
      </c>
      <c r="J126" s="15"/>
      <c r="K126" s="15"/>
      <c r="L126" s="63"/>
    </row>
    <row r="127" spans="1:12" ht="16.5" thickBot="1">
      <c r="A127" s="10"/>
      <c r="B127" s="10"/>
      <c r="C127" s="16"/>
      <c r="D127" s="68"/>
      <c r="E127" s="16"/>
      <c r="F127" s="16"/>
      <c r="G127" s="16"/>
      <c r="H127" s="16"/>
      <c r="I127" s="68"/>
      <c r="J127" s="16"/>
      <c r="K127" s="16"/>
      <c r="L127" s="16"/>
    </row>
    <row r="128" spans="1:12" ht="16.5" thickBot="1">
      <c r="A128" s="1">
        <v>30</v>
      </c>
      <c r="B128" s="23" t="s">
        <v>94</v>
      </c>
      <c r="C128" s="16"/>
      <c r="D128" s="69">
        <f>+D126+D120+D118+D110</f>
        <v>3257563591.4393272</v>
      </c>
      <c r="E128" s="27"/>
      <c r="F128" s="27"/>
      <c r="G128" s="59"/>
      <c r="H128" s="27"/>
      <c r="I128" s="69">
        <f>+I126+I120+I118+I110</f>
        <v>3255119284.946209</v>
      </c>
      <c r="J128" s="16"/>
      <c r="K128" s="60"/>
      <c r="L128" s="16"/>
    </row>
    <row r="129" spans="1:12" ht="16.5" thickTop="1">
      <c r="A129" s="1"/>
      <c r="B129" s="23"/>
      <c r="C129" s="16"/>
      <c r="D129" s="70"/>
      <c r="E129" s="27"/>
      <c r="F129" s="27"/>
      <c r="G129" s="59"/>
      <c r="H129" s="27"/>
      <c r="I129" s="70"/>
      <c r="J129" s="16"/>
      <c r="K129" s="60"/>
      <c r="L129" s="16"/>
    </row>
    <row r="130" spans="1:12">
      <c r="A130" s="1"/>
      <c r="B130" s="23"/>
      <c r="C130" s="16"/>
      <c r="D130" s="70"/>
      <c r="E130" s="27"/>
      <c r="F130" s="27"/>
      <c r="G130" s="59"/>
      <c r="H130" s="27"/>
      <c r="I130" s="70"/>
      <c r="J130" s="16"/>
      <c r="K130" s="60"/>
      <c r="L130" s="16"/>
    </row>
    <row r="131" spans="1:12">
      <c r="A131" s="1"/>
      <c r="B131" s="23"/>
      <c r="C131" s="16"/>
      <c r="D131" s="70"/>
      <c r="E131" s="27"/>
      <c r="F131" s="27"/>
      <c r="G131" s="59"/>
      <c r="H131" s="27"/>
      <c r="I131" s="70"/>
      <c r="J131" s="16"/>
      <c r="K131" s="60"/>
      <c r="L131" s="16"/>
    </row>
    <row r="132" spans="1:12">
      <c r="A132" s="1"/>
      <c r="B132" s="23"/>
      <c r="C132" s="16"/>
      <c r="D132" s="70"/>
      <c r="E132" s="27"/>
      <c r="F132" s="27"/>
      <c r="G132" s="59"/>
      <c r="H132" s="27"/>
      <c r="I132" s="70"/>
      <c r="J132" s="16"/>
      <c r="K132" s="60"/>
      <c r="L132" s="16"/>
    </row>
    <row r="133" spans="1:12">
      <c r="A133" s="1"/>
      <c r="B133" s="23"/>
      <c r="C133" s="16"/>
      <c r="D133" s="70"/>
      <c r="E133" s="27"/>
      <c r="F133" s="27"/>
      <c r="G133" s="59"/>
      <c r="H133" s="27"/>
      <c r="I133" s="70"/>
      <c r="J133" s="16"/>
      <c r="K133" s="60"/>
      <c r="L133" s="16"/>
    </row>
    <row r="134" spans="1:12">
      <c r="A134" s="1"/>
      <c r="B134" s="23"/>
      <c r="C134" s="16"/>
      <c r="D134" s="70"/>
      <c r="E134" s="27"/>
      <c r="F134" s="27"/>
      <c r="G134" s="59"/>
      <c r="H134" s="27"/>
      <c r="I134" s="70"/>
      <c r="J134" s="16"/>
      <c r="K134" s="60"/>
      <c r="L134" s="16"/>
    </row>
    <row r="135" spans="1:12">
      <c r="A135" s="1"/>
      <c r="B135" s="23"/>
      <c r="C135" s="16"/>
      <c r="D135" s="70"/>
      <c r="E135" s="27"/>
      <c r="F135" s="27"/>
      <c r="G135" s="59"/>
      <c r="H135" s="27"/>
      <c r="I135" s="70"/>
      <c r="J135" s="16"/>
      <c r="K135" s="60"/>
      <c r="L135" s="16"/>
    </row>
    <row r="136" spans="1:12">
      <c r="A136" s="1"/>
      <c r="B136" s="23"/>
      <c r="C136" s="16"/>
      <c r="D136" s="70"/>
      <c r="E136" s="27"/>
      <c r="F136" s="27"/>
      <c r="G136" s="59"/>
      <c r="H136" s="27"/>
      <c r="I136" s="70"/>
      <c r="J136" s="16"/>
      <c r="K136" s="60"/>
      <c r="L136" s="16"/>
    </row>
    <row r="137" spans="1:12">
      <c r="A137" s="1"/>
      <c r="B137" s="23"/>
      <c r="C137" s="16"/>
      <c r="D137" s="70"/>
      <c r="E137" s="27"/>
      <c r="F137" s="27"/>
      <c r="G137" s="59"/>
      <c r="H137" s="27"/>
      <c r="I137" s="70"/>
      <c r="J137" s="16"/>
      <c r="K137" s="60"/>
      <c r="L137" s="16"/>
    </row>
    <row r="138" spans="1:12">
      <c r="A138" s="1"/>
      <c r="B138" s="23"/>
      <c r="C138" s="16"/>
      <c r="D138" s="70"/>
      <c r="E138" s="27"/>
      <c r="F138" s="27"/>
      <c r="G138" s="59"/>
      <c r="H138" s="27"/>
      <c r="I138" s="70"/>
      <c r="J138" s="16"/>
      <c r="K138" s="60"/>
      <c r="L138" s="16"/>
    </row>
    <row r="139" spans="1:12">
      <c r="A139" s="1"/>
      <c r="B139" s="23"/>
      <c r="C139" s="16"/>
      <c r="D139" s="70"/>
      <c r="E139" s="27"/>
      <c r="F139" s="27"/>
      <c r="G139" s="59"/>
      <c r="H139" s="27"/>
      <c r="I139" s="70"/>
      <c r="J139" s="16"/>
      <c r="K139" s="60"/>
      <c r="L139" s="16"/>
    </row>
    <row r="140" spans="1:12">
      <c r="A140" s="1"/>
      <c r="B140" s="23"/>
      <c r="C140" s="16"/>
      <c r="D140" s="70"/>
      <c r="E140" s="27"/>
      <c r="F140" s="27"/>
      <c r="G140" s="59"/>
      <c r="H140" s="27"/>
      <c r="I140" s="70"/>
      <c r="J140" s="16"/>
      <c r="K140" s="60"/>
      <c r="L140" s="16"/>
    </row>
    <row r="141" spans="1:12">
      <c r="A141" s="1"/>
      <c r="B141" s="23"/>
      <c r="C141" s="16"/>
      <c r="D141" s="70"/>
      <c r="E141" s="27"/>
      <c r="F141" s="27"/>
      <c r="G141" s="59"/>
      <c r="H141" s="27"/>
      <c r="I141" s="70"/>
      <c r="J141" s="16"/>
      <c r="K141" s="60"/>
      <c r="L141" s="16"/>
    </row>
    <row r="142" spans="1:12">
      <c r="A142" s="1"/>
      <c r="B142" s="23"/>
      <c r="C142" s="16"/>
      <c r="D142" s="70"/>
      <c r="E142" s="27"/>
      <c r="F142" s="27"/>
      <c r="G142" s="59"/>
      <c r="H142" s="27"/>
      <c r="I142" s="70"/>
      <c r="J142" s="16"/>
      <c r="K142" s="60"/>
      <c r="L142" s="16"/>
    </row>
    <row r="143" spans="1:12">
      <c r="A143" s="1"/>
      <c r="B143" s="23"/>
      <c r="C143" s="16"/>
      <c r="D143" s="70"/>
      <c r="E143" s="27"/>
      <c r="F143" s="27"/>
      <c r="G143" s="59"/>
      <c r="H143" s="27"/>
      <c r="I143" s="70"/>
      <c r="J143" s="16"/>
      <c r="K143" s="60"/>
      <c r="L143" s="16"/>
    </row>
    <row r="144" spans="1:12">
      <c r="A144" s="1"/>
      <c r="B144" s="23"/>
      <c r="C144" s="16"/>
      <c r="D144" s="70"/>
      <c r="E144" s="27"/>
      <c r="F144" s="27"/>
      <c r="G144" s="59"/>
      <c r="H144" s="27"/>
      <c r="I144" s="70"/>
      <c r="J144" s="16"/>
      <c r="K144" s="60"/>
      <c r="L144" s="16"/>
    </row>
    <row r="145" spans="1:12">
      <c r="A145" s="1"/>
      <c r="B145" s="23"/>
      <c r="C145" s="16"/>
      <c r="D145" s="70"/>
      <c r="E145" s="27"/>
      <c r="F145" s="27"/>
      <c r="G145" s="59"/>
      <c r="H145" s="27"/>
      <c r="I145" s="70"/>
      <c r="J145" s="16"/>
      <c r="K145" s="60"/>
      <c r="L145" s="16"/>
    </row>
    <row r="146" spans="1:12">
      <c r="A146" s="1"/>
      <c r="B146" s="23"/>
      <c r="C146" s="16"/>
      <c r="D146" s="16"/>
      <c r="E146" s="16"/>
      <c r="F146" s="16"/>
      <c r="G146" s="16"/>
      <c r="H146" s="16"/>
      <c r="I146" s="16"/>
      <c r="J146" s="16"/>
      <c r="K146" s="72" t="s">
        <v>215</v>
      </c>
      <c r="L146" s="16"/>
    </row>
    <row r="147" spans="1:12">
      <c r="A147" s="1"/>
      <c r="B147" s="23"/>
      <c r="C147" s="16"/>
      <c r="D147" s="16"/>
      <c r="E147" s="16"/>
      <c r="F147" s="16"/>
      <c r="G147" s="16"/>
      <c r="H147" s="16"/>
      <c r="I147" s="16"/>
      <c r="J147" s="16"/>
      <c r="K147" s="72"/>
      <c r="L147" s="16"/>
    </row>
    <row r="148" spans="1:12">
      <c r="A148" s="1"/>
      <c r="B148" s="23" t="s">
        <v>0</v>
      </c>
      <c r="C148" s="16"/>
      <c r="D148" s="16" t="s">
        <v>284</v>
      </c>
      <c r="E148" s="16"/>
      <c r="F148" s="16"/>
      <c r="G148" s="16"/>
      <c r="H148" s="16"/>
      <c r="J148" s="16"/>
      <c r="K148" s="72" t="str">
        <f>K3</f>
        <v>For the 12 months ended 12/31/2016</v>
      </c>
      <c r="L148" s="16"/>
    </row>
    <row r="149" spans="1:12">
      <c r="A149" s="1"/>
      <c r="B149" s="23"/>
      <c r="C149" s="16"/>
      <c r="D149" s="16" t="s">
        <v>285</v>
      </c>
      <c r="E149" s="16"/>
      <c r="F149" s="16"/>
      <c r="G149" s="16"/>
      <c r="H149" s="16"/>
      <c r="I149" s="16"/>
      <c r="J149" s="16"/>
      <c r="K149" s="16"/>
      <c r="L149" s="16"/>
    </row>
    <row r="150" spans="1:12">
      <c r="A150" s="1"/>
      <c r="B150" s="10"/>
      <c r="C150" s="16"/>
      <c r="D150" s="16"/>
      <c r="E150" s="16"/>
      <c r="F150" s="16"/>
      <c r="G150" s="16"/>
      <c r="H150" s="16"/>
      <c r="I150" s="16"/>
      <c r="J150" s="16"/>
      <c r="K150" s="16"/>
      <c r="L150" s="16"/>
    </row>
    <row r="151" spans="1:12">
      <c r="A151" s="984" t="str">
        <f>A6</f>
        <v>American Transmission Company LLC</v>
      </c>
      <c r="B151" s="984"/>
      <c r="C151" s="984"/>
      <c r="D151" s="984"/>
      <c r="E151" s="984"/>
      <c r="F151" s="984"/>
      <c r="G151" s="984"/>
      <c r="H151" s="984"/>
      <c r="I151" s="984"/>
      <c r="J151" s="984"/>
      <c r="K151" s="984"/>
      <c r="L151" s="16"/>
    </row>
    <row r="152" spans="1:12">
      <c r="A152" s="1"/>
      <c r="B152" s="49" t="s">
        <v>49</v>
      </c>
      <c r="C152" s="49" t="s">
        <v>50</v>
      </c>
      <c r="D152" s="49" t="s">
        <v>51</v>
      </c>
      <c r="E152" s="16" t="s">
        <v>1</v>
      </c>
      <c r="F152" s="16"/>
      <c r="G152" s="50" t="s">
        <v>52</v>
      </c>
      <c r="H152" s="16"/>
      <c r="I152" s="18" t="s">
        <v>53</v>
      </c>
      <c r="J152" s="16"/>
      <c r="K152" s="16"/>
      <c r="L152" s="15"/>
    </row>
    <row r="153" spans="1:12">
      <c r="A153" s="1" t="s">
        <v>4</v>
      </c>
      <c r="B153" s="23"/>
      <c r="C153" s="51" t="s">
        <v>54</v>
      </c>
      <c r="D153" s="16"/>
      <c r="E153" s="16"/>
      <c r="F153" s="16"/>
      <c r="G153" s="1"/>
      <c r="H153" s="16"/>
      <c r="I153" s="52" t="s">
        <v>55</v>
      </c>
      <c r="J153" s="16"/>
      <c r="K153" s="52"/>
      <c r="L153" s="1"/>
    </row>
    <row r="154" spans="1:12" ht="16.5" thickBot="1">
      <c r="A154" s="20" t="s">
        <v>6</v>
      </c>
      <c r="B154" s="23"/>
      <c r="C154" s="53" t="s">
        <v>56</v>
      </c>
      <c r="D154" s="52" t="s">
        <v>57</v>
      </c>
      <c r="E154" s="54"/>
      <c r="F154" s="52" t="s">
        <v>58</v>
      </c>
      <c r="G154" s="10"/>
      <c r="H154" s="54"/>
      <c r="I154" s="1" t="s">
        <v>59</v>
      </c>
      <c r="J154" s="16"/>
      <c r="K154" s="52"/>
      <c r="L154" s="52"/>
    </row>
    <row r="155" spans="1:12">
      <c r="A155" s="1"/>
      <c r="B155" s="23" t="s">
        <v>332</v>
      </c>
      <c r="C155" s="16"/>
      <c r="D155" s="16"/>
      <c r="E155" s="16"/>
      <c r="F155" s="16"/>
      <c r="G155" s="16"/>
      <c r="H155" s="16"/>
      <c r="I155" s="16"/>
      <c r="J155" s="16"/>
      <c r="K155" s="16"/>
      <c r="L155" s="16"/>
    </row>
    <row r="156" spans="1:12">
      <c r="A156" s="1">
        <v>1</v>
      </c>
      <c r="B156" s="23" t="s">
        <v>95</v>
      </c>
      <c r="C156" s="16" t="s">
        <v>237</v>
      </c>
      <c r="D156" s="29">
        <v>114398603.65000001</v>
      </c>
      <c r="E156" s="16"/>
      <c r="F156" s="16" t="s">
        <v>91</v>
      </c>
      <c r="G156" s="57">
        <f>I240</f>
        <v>0.85974554550430482</v>
      </c>
      <c r="H156" s="27"/>
      <c r="I156" s="27">
        <f>+G156*D156</f>
        <v>98353689.900000006</v>
      </c>
      <c r="J156" s="15"/>
      <c r="K156" s="16"/>
      <c r="L156" s="16"/>
    </row>
    <row r="157" spans="1:12">
      <c r="A157" s="1" t="s">
        <v>232</v>
      </c>
      <c r="B157" s="73" t="s">
        <v>251</v>
      </c>
      <c r="C157" s="24"/>
      <c r="D157" s="29">
        <v>0</v>
      </c>
      <c r="E157" s="16"/>
      <c r="F157" s="145"/>
      <c r="G157" s="75">
        <v>1</v>
      </c>
      <c r="H157" s="27"/>
      <c r="I157" s="27">
        <f>+G157*D157</f>
        <v>0</v>
      </c>
      <c r="J157" s="15"/>
      <c r="K157" s="16"/>
      <c r="L157" s="16"/>
    </row>
    <row r="158" spans="1:12">
      <c r="A158" s="1">
        <v>2</v>
      </c>
      <c r="B158" s="23" t="s">
        <v>96</v>
      </c>
      <c r="C158" s="16" t="s">
        <v>238</v>
      </c>
      <c r="D158" s="29">
        <v>0</v>
      </c>
      <c r="E158" s="16"/>
      <c r="F158" s="16" t="s">
        <v>1</v>
      </c>
      <c r="G158" s="57">
        <v>1</v>
      </c>
      <c r="H158" s="27"/>
      <c r="I158" s="27">
        <f t="shared" ref="I158:I164" si="1">+G158*D158</f>
        <v>0</v>
      </c>
      <c r="J158" s="15"/>
      <c r="K158" s="16"/>
      <c r="L158" s="16"/>
    </row>
    <row r="159" spans="1:12">
      <c r="A159" s="1">
        <v>3</v>
      </c>
      <c r="B159" s="23" t="s">
        <v>97</v>
      </c>
      <c r="C159" s="16" t="s">
        <v>239</v>
      </c>
      <c r="D159" s="29">
        <v>43405855.630000003</v>
      </c>
      <c r="E159" s="16"/>
      <c r="F159" s="16" t="s">
        <v>66</v>
      </c>
      <c r="G159" s="57">
        <f>+G99</f>
        <v>1</v>
      </c>
      <c r="H159" s="27"/>
      <c r="I159" s="27">
        <f t="shared" si="1"/>
        <v>43405855.630000003</v>
      </c>
      <c r="J159" s="16"/>
      <c r="K159" s="16" t="s">
        <v>1</v>
      </c>
      <c r="L159" s="16"/>
    </row>
    <row r="160" spans="1:12">
      <c r="A160" s="1">
        <v>4</v>
      </c>
      <c r="B160" s="23" t="s">
        <v>98</v>
      </c>
      <c r="C160" s="16"/>
      <c r="D160" s="61">
        <v>0</v>
      </c>
      <c r="E160" s="16"/>
      <c r="F160" s="16" t="s">
        <v>66</v>
      </c>
      <c r="G160" s="57">
        <f>+G159</f>
        <v>1</v>
      </c>
      <c r="H160" s="27"/>
      <c r="I160" s="27">
        <f t="shared" si="1"/>
        <v>0</v>
      </c>
      <c r="J160" s="16"/>
      <c r="K160" s="16"/>
      <c r="L160" s="16"/>
    </row>
    <row r="161" spans="1:12">
      <c r="A161" s="1">
        <v>5</v>
      </c>
      <c r="B161" s="73" t="s">
        <v>252</v>
      </c>
      <c r="C161" s="24"/>
      <c r="D161" s="29">
        <v>929044.24</v>
      </c>
      <c r="E161" s="16"/>
      <c r="F161" s="16" t="s">
        <v>66</v>
      </c>
      <c r="G161" s="57">
        <f>+G160</f>
        <v>1</v>
      </c>
      <c r="H161" s="27"/>
      <c r="I161" s="27">
        <f t="shared" si="1"/>
        <v>929044.24</v>
      </c>
      <c r="J161" s="16"/>
      <c r="K161" s="16"/>
      <c r="L161" s="16"/>
    </row>
    <row r="162" spans="1:12">
      <c r="A162" s="1" t="s">
        <v>99</v>
      </c>
      <c r="B162" s="73" t="s">
        <v>253</v>
      </c>
      <c r="C162" s="24"/>
      <c r="D162" s="29">
        <v>519866.13</v>
      </c>
      <c r="E162" s="16"/>
      <c r="F162" s="74" t="s">
        <v>91</v>
      </c>
      <c r="G162" s="75">
        <f>+G156</f>
        <v>0.85974554550430482</v>
      </c>
      <c r="H162" s="27"/>
      <c r="I162" s="27">
        <f>+G162*D162</f>
        <v>446952.58952606184</v>
      </c>
      <c r="J162" s="16"/>
      <c r="K162" s="16"/>
      <c r="L162" s="16"/>
    </row>
    <row r="163" spans="1:12">
      <c r="A163" s="1">
        <v>6</v>
      </c>
      <c r="B163" s="23" t="s">
        <v>67</v>
      </c>
      <c r="C163" s="16" t="s">
        <v>68</v>
      </c>
      <c r="D163" s="29">
        <v>0</v>
      </c>
      <c r="E163" s="16"/>
      <c r="F163" s="16" t="s">
        <v>69</v>
      </c>
      <c r="G163" s="57">
        <f>+G100</f>
        <v>1</v>
      </c>
      <c r="H163" s="27"/>
      <c r="I163" s="27">
        <f t="shared" si="1"/>
        <v>0</v>
      </c>
      <c r="J163" s="16"/>
      <c r="K163" s="16"/>
      <c r="L163" s="16"/>
    </row>
    <row r="164" spans="1:12" ht="16.5" thickBot="1">
      <c r="A164" s="1">
        <v>7</v>
      </c>
      <c r="B164" s="23" t="s">
        <v>100</v>
      </c>
      <c r="C164" s="16"/>
      <c r="D164" s="58">
        <v>0</v>
      </c>
      <c r="E164" s="16"/>
      <c r="F164" s="16" t="s">
        <v>1</v>
      </c>
      <c r="G164" s="57">
        <v>1</v>
      </c>
      <c r="H164" s="27"/>
      <c r="I164" s="30">
        <f t="shared" si="1"/>
        <v>0</v>
      </c>
      <c r="J164" s="16"/>
      <c r="K164" s="16"/>
      <c r="L164" s="16"/>
    </row>
    <row r="165" spans="1:12">
      <c r="A165" s="1">
        <v>8</v>
      </c>
      <c r="B165" s="23" t="s">
        <v>290</v>
      </c>
      <c r="C165" s="16"/>
      <c r="D165" s="16">
        <f>D156+D159+D162+D163+D164-D158-D160-D161-D157</f>
        <v>157395281.16999999</v>
      </c>
      <c r="E165" s="16"/>
      <c r="F165" s="16"/>
      <c r="G165" s="27"/>
      <c r="H165" s="27"/>
      <c r="I165" s="27">
        <f>+I156-I158+I159-I160-I161+I163+I164+I162-I157</f>
        <v>141277453.87952605</v>
      </c>
      <c r="J165" s="16"/>
      <c r="K165" s="16"/>
      <c r="L165" s="63"/>
    </row>
    <row r="166" spans="1:12">
      <c r="A166" s="1"/>
      <c r="B166" s="10"/>
      <c r="C166" s="16"/>
      <c r="D166" s="10"/>
      <c r="E166" s="16"/>
      <c r="F166" s="16"/>
      <c r="G166" s="16"/>
      <c r="H166" s="16"/>
      <c r="I166" s="10"/>
      <c r="J166" s="16"/>
      <c r="K166" s="16"/>
      <c r="L166" s="16"/>
    </row>
    <row r="167" spans="1:12">
      <c r="A167" s="1"/>
      <c r="B167" s="23" t="s">
        <v>333</v>
      </c>
      <c r="C167" s="16"/>
      <c r="D167" s="16"/>
      <c r="E167" s="16"/>
      <c r="F167" s="16"/>
      <c r="G167" s="16"/>
      <c r="H167" s="16"/>
      <c r="I167" s="16"/>
      <c r="J167" s="16"/>
      <c r="K167" s="16"/>
      <c r="L167" s="16"/>
    </row>
    <row r="168" spans="1:12">
      <c r="A168" s="1">
        <v>9</v>
      </c>
      <c r="B168" s="23" t="s">
        <v>329</v>
      </c>
      <c r="C168" s="178" t="s">
        <v>334</v>
      </c>
      <c r="D168" s="29">
        <v>130718846</v>
      </c>
      <c r="E168" s="16"/>
      <c r="F168" s="16" t="s">
        <v>14</v>
      </c>
      <c r="G168" s="57">
        <f>+G120</f>
        <v>1</v>
      </c>
      <c r="H168" s="27"/>
      <c r="I168" s="27">
        <f>+G168*D168</f>
        <v>130718846</v>
      </c>
      <c r="J168" s="16"/>
      <c r="K168" s="60"/>
      <c r="L168" s="16"/>
    </row>
    <row r="169" spans="1:12">
      <c r="A169" s="1">
        <v>10</v>
      </c>
      <c r="B169" s="179" t="s">
        <v>327</v>
      </c>
      <c r="C169" s="178" t="s">
        <v>335</v>
      </c>
      <c r="D169" s="29">
        <v>11005414</v>
      </c>
      <c r="E169" s="16"/>
      <c r="F169" s="16" t="s">
        <v>66</v>
      </c>
      <c r="G169" s="57">
        <f>+G159</f>
        <v>1</v>
      </c>
      <c r="H169" s="27"/>
      <c r="I169" s="27">
        <f>+G169*D169</f>
        <v>11005414</v>
      </c>
      <c r="J169" s="16"/>
      <c r="K169" s="60"/>
      <c r="L169" s="16"/>
    </row>
    <row r="170" spans="1:12" ht="16.5" thickBot="1">
      <c r="A170" s="1">
        <v>11</v>
      </c>
      <c r="B170" s="23" t="s">
        <v>67</v>
      </c>
      <c r="C170" s="178" t="s">
        <v>304</v>
      </c>
      <c r="D170" s="58">
        <v>0</v>
      </c>
      <c r="E170" s="16"/>
      <c r="F170" s="16" t="s">
        <v>69</v>
      </c>
      <c r="G170" s="57">
        <f>+G163</f>
        <v>1</v>
      </c>
      <c r="H170" s="27"/>
      <c r="I170" s="30">
        <f>+G170*D170</f>
        <v>0</v>
      </c>
      <c r="J170" s="16"/>
      <c r="K170" s="60"/>
      <c r="L170" s="16"/>
    </row>
    <row r="171" spans="1:12">
      <c r="A171" s="1">
        <v>12</v>
      </c>
      <c r="B171" s="23" t="s">
        <v>254</v>
      </c>
      <c r="C171" s="16"/>
      <c r="D171" s="16">
        <f>SUM(D168:D170)</f>
        <v>141724260</v>
      </c>
      <c r="E171" s="16"/>
      <c r="F171" s="16"/>
      <c r="G171" s="27"/>
      <c r="H171" s="27"/>
      <c r="I171" s="27">
        <f>SUM(I168:I170)</f>
        <v>141724260</v>
      </c>
      <c r="J171" s="16"/>
      <c r="K171" s="16"/>
      <c r="L171" s="16"/>
    </row>
    <row r="172" spans="1:12">
      <c r="A172" s="1"/>
      <c r="B172" s="23"/>
      <c r="C172" s="16"/>
      <c r="D172" s="16"/>
      <c r="E172" s="16"/>
      <c r="F172" s="16"/>
      <c r="G172" s="27"/>
      <c r="H172" s="27"/>
      <c r="I172" s="27"/>
      <c r="J172" s="16"/>
      <c r="K172" s="16"/>
      <c r="L172" s="16"/>
    </row>
    <row r="173" spans="1:12">
      <c r="A173" s="1" t="s">
        <v>1</v>
      </c>
      <c r="B173" s="23" t="s">
        <v>101</v>
      </c>
      <c r="C173" s="10"/>
      <c r="D173" s="16"/>
      <c r="E173" s="16"/>
      <c r="F173" s="16"/>
      <c r="G173" s="27"/>
      <c r="H173" s="27"/>
      <c r="I173" s="27"/>
      <c r="J173" s="16"/>
      <c r="K173" s="16"/>
      <c r="L173" s="16"/>
    </row>
    <row r="174" spans="1:12">
      <c r="A174" s="1"/>
      <c r="B174" s="23" t="s">
        <v>102</v>
      </c>
      <c r="C174" s="10"/>
      <c r="D174" s="10"/>
      <c r="E174" s="16"/>
      <c r="F174" s="16"/>
      <c r="G174" s="4"/>
      <c r="H174" s="27"/>
      <c r="I174" s="4"/>
      <c r="J174" s="16"/>
      <c r="K174" s="60"/>
      <c r="L174" s="48"/>
    </row>
    <row r="175" spans="1:12">
      <c r="A175" s="1">
        <v>13</v>
      </c>
      <c r="B175" s="23" t="s">
        <v>103</v>
      </c>
      <c r="C175" s="16" t="s">
        <v>226</v>
      </c>
      <c r="D175" s="29">
        <v>3869834.29</v>
      </c>
      <c r="E175" s="16"/>
      <c r="F175" s="16" t="s">
        <v>66</v>
      </c>
      <c r="G175" s="26">
        <f>+G169</f>
        <v>1</v>
      </c>
      <c r="H175" s="27"/>
      <c r="I175" s="27">
        <f>+G175*D175</f>
        <v>3869834.29</v>
      </c>
      <c r="J175" s="16"/>
      <c r="K175" s="60"/>
      <c r="L175" s="48"/>
    </row>
    <row r="176" spans="1:12">
      <c r="A176" s="1">
        <v>14</v>
      </c>
      <c r="B176" s="23" t="s">
        <v>104</v>
      </c>
      <c r="C176" s="16" t="s">
        <v>226</v>
      </c>
      <c r="D176" s="29">
        <v>0</v>
      </c>
      <c r="E176" s="16"/>
      <c r="F176" s="16" t="s">
        <v>66</v>
      </c>
      <c r="G176" s="26">
        <f>+G175</f>
        <v>1</v>
      </c>
      <c r="H176" s="27"/>
      <c r="I176" s="27">
        <f>+G176*D176</f>
        <v>0</v>
      </c>
      <c r="J176" s="16"/>
      <c r="K176" s="60"/>
      <c r="L176" s="48"/>
    </row>
    <row r="177" spans="1:12">
      <c r="A177" s="1">
        <v>15</v>
      </c>
      <c r="B177" s="23" t="s">
        <v>105</v>
      </c>
      <c r="C177" s="16" t="s">
        <v>1</v>
      </c>
      <c r="D177" s="10"/>
      <c r="E177" s="16"/>
      <c r="F177" s="16"/>
      <c r="G177" s="4"/>
      <c r="H177" s="27"/>
      <c r="I177" s="4"/>
      <c r="J177" s="16"/>
      <c r="K177" s="60"/>
      <c r="L177" s="48"/>
    </row>
    <row r="178" spans="1:12">
      <c r="A178" s="1">
        <v>16</v>
      </c>
      <c r="B178" s="23" t="s">
        <v>106</v>
      </c>
      <c r="C178" s="16" t="s">
        <v>226</v>
      </c>
      <c r="D178" s="29">
        <v>14709960.970000001</v>
      </c>
      <c r="E178" s="16"/>
      <c r="F178" s="16" t="s">
        <v>93</v>
      </c>
      <c r="G178" s="26">
        <f>+G92</f>
        <v>1</v>
      </c>
      <c r="H178" s="27"/>
      <c r="I178" s="27">
        <f>+G178*D178</f>
        <v>14709960.970000001</v>
      </c>
      <c r="J178" s="16"/>
      <c r="K178" s="60"/>
      <c r="L178" s="48"/>
    </row>
    <row r="179" spans="1:12">
      <c r="A179" s="1">
        <v>17</v>
      </c>
      <c r="B179" s="23" t="s">
        <v>107</v>
      </c>
      <c r="C179" s="16" t="s">
        <v>226</v>
      </c>
      <c r="D179" s="29">
        <v>0</v>
      </c>
      <c r="E179" s="16"/>
      <c r="F179" s="24" t="s">
        <v>62</v>
      </c>
      <c r="G179" s="76" t="s">
        <v>80</v>
      </c>
      <c r="H179" s="27"/>
      <c r="I179" s="27">
        <v>0</v>
      </c>
      <c r="J179" s="16"/>
      <c r="K179" s="60"/>
      <c r="L179" s="48"/>
    </row>
    <row r="180" spans="1:12">
      <c r="A180" s="1">
        <v>18</v>
      </c>
      <c r="B180" s="23" t="s">
        <v>108</v>
      </c>
      <c r="C180" s="16" t="s">
        <v>226</v>
      </c>
      <c r="D180" s="29">
        <v>4422115.5200000005</v>
      </c>
      <c r="E180" s="16"/>
      <c r="F180" s="16" t="s">
        <v>93</v>
      </c>
      <c r="G180" s="26">
        <f>+G178</f>
        <v>1</v>
      </c>
      <c r="H180" s="27"/>
      <c r="I180" s="27">
        <f>+G180*D180</f>
        <v>4422115.5200000005</v>
      </c>
      <c r="J180" s="16"/>
      <c r="K180" s="60"/>
      <c r="L180" s="48"/>
    </row>
    <row r="181" spans="1:12" ht="16.5" thickBot="1">
      <c r="A181" s="1">
        <v>19</v>
      </c>
      <c r="B181" s="23" t="s">
        <v>109</v>
      </c>
      <c r="C181" s="16"/>
      <c r="D181" s="58">
        <v>0</v>
      </c>
      <c r="E181" s="16"/>
      <c r="F181" s="16" t="s">
        <v>93</v>
      </c>
      <c r="G181" s="26">
        <f>+G178</f>
        <v>1</v>
      </c>
      <c r="H181" s="27"/>
      <c r="I181" s="30">
        <f>+G181*D181</f>
        <v>0</v>
      </c>
      <c r="J181" s="16"/>
      <c r="K181" s="60"/>
      <c r="L181" s="48"/>
    </row>
    <row r="182" spans="1:12">
      <c r="A182" s="1">
        <v>20</v>
      </c>
      <c r="B182" s="23" t="s">
        <v>110</v>
      </c>
      <c r="C182" s="16"/>
      <c r="D182" s="16">
        <f>SUM(D175:D181)</f>
        <v>23001910.780000001</v>
      </c>
      <c r="E182" s="16"/>
      <c r="F182" s="16"/>
      <c r="G182" s="26"/>
      <c r="H182" s="27"/>
      <c r="I182" s="27">
        <f>SUM(I175:I181)</f>
        <v>23001910.780000001</v>
      </c>
      <c r="J182" s="16"/>
      <c r="K182" s="16"/>
      <c r="L182" s="63"/>
    </row>
    <row r="183" spans="1:12">
      <c r="A183" s="1"/>
      <c r="B183" s="23"/>
      <c r="C183" s="16"/>
      <c r="D183" s="16"/>
      <c r="E183" s="16"/>
      <c r="F183" s="16"/>
      <c r="G183" s="32"/>
      <c r="H183" s="16"/>
      <c r="I183" s="16"/>
      <c r="J183" s="16"/>
      <c r="K183" s="16"/>
      <c r="L183" s="63"/>
    </row>
    <row r="184" spans="1:12">
      <c r="A184" s="1" t="s">
        <v>1</v>
      </c>
      <c r="B184" s="23" t="s">
        <v>111</v>
      </c>
      <c r="C184" s="16" t="s">
        <v>255</v>
      </c>
      <c r="D184" s="16"/>
      <c r="E184" s="16"/>
      <c r="F184" s="10"/>
      <c r="G184" s="77"/>
      <c r="H184" s="16"/>
      <c r="I184" s="10"/>
      <c r="J184" s="16"/>
      <c r="K184" s="10"/>
      <c r="L184" s="16"/>
    </row>
    <row r="185" spans="1:12">
      <c r="A185" s="1">
        <v>21</v>
      </c>
      <c r="B185" s="78" t="s">
        <v>112</v>
      </c>
      <c r="C185" s="16"/>
      <c r="D185" s="79">
        <f>IF(D312&gt;0,(1-((1-D313)*(1-D312))/(1-D313*D312*D314))*(1-D315),0)</f>
        <v>0.3685213792710586</v>
      </c>
      <c r="E185" s="16"/>
      <c r="F185" s="10"/>
      <c r="G185" s="77"/>
      <c r="H185" s="16"/>
      <c r="I185" s="10"/>
      <c r="J185" s="16"/>
      <c r="K185" s="10"/>
      <c r="L185" s="16"/>
    </row>
    <row r="186" spans="1:12">
      <c r="A186" s="1">
        <v>22</v>
      </c>
      <c r="B186" s="10" t="s">
        <v>113</v>
      </c>
      <c r="C186" s="16"/>
      <c r="D186" s="79">
        <f>IF(I271&gt;0,(D185/(1-D185))*(1-I268/I271),0)</f>
        <v>0.42057005372987144</v>
      </c>
      <c r="E186" s="16"/>
      <c r="F186" s="10"/>
      <c r="G186" s="77"/>
      <c r="H186" s="16"/>
      <c r="I186" s="10"/>
      <c r="J186" s="16"/>
      <c r="K186" s="10"/>
      <c r="L186" s="16"/>
    </row>
    <row r="187" spans="1:12">
      <c r="A187" s="1"/>
      <c r="B187" s="23" t="s">
        <v>339</v>
      </c>
      <c r="C187" s="16"/>
      <c r="D187" s="16"/>
      <c r="E187" s="16"/>
      <c r="F187" s="10"/>
      <c r="G187" s="77"/>
      <c r="H187" s="16"/>
      <c r="I187" s="10"/>
      <c r="J187" s="16"/>
      <c r="K187" s="10"/>
      <c r="L187" s="16"/>
    </row>
    <row r="188" spans="1:12">
      <c r="A188" s="1"/>
      <c r="B188" s="23" t="s">
        <v>114</v>
      </c>
      <c r="C188" s="16"/>
      <c r="D188" s="16"/>
      <c r="E188" s="16"/>
      <c r="F188" s="10"/>
      <c r="G188" s="77"/>
      <c r="H188" s="16"/>
      <c r="I188" s="10"/>
      <c r="J188" s="16"/>
      <c r="K188" s="10"/>
      <c r="L188" s="16"/>
    </row>
    <row r="189" spans="1:12">
      <c r="A189" s="1">
        <v>23</v>
      </c>
      <c r="B189" s="78" t="s">
        <v>256</v>
      </c>
      <c r="C189" s="16"/>
      <c r="D189" s="80">
        <f>IF(D185&gt;0,1/(1-D185),0)</f>
        <v>1.5835848866041728</v>
      </c>
      <c r="E189" s="16"/>
      <c r="F189" s="10"/>
      <c r="G189" s="77"/>
      <c r="H189" s="16"/>
      <c r="I189" s="10"/>
      <c r="J189" s="16"/>
      <c r="K189" s="10"/>
      <c r="L189" s="16"/>
    </row>
    <row r="190" spans="1:12">
      <c r="A190" s="1">
        <v>24</v>
      </c>
      <c r="B190" s="23" t="s">
        <v>115</v>
      </c>
      <c r="C190" s="16"/>
      <c r="D190" s="61">
        <v>-156265</v>
      </c>
      <c r="E190" s="16"/>
      <c r="F190" s="10"/>
      <c r="G190" s="77"/>
      <c r="H190" s="16"/>
      <c r="I190" s="10"/>
      <c r="J190" s="16"/>
      <c r="K190" s="10"/>
      <c r="L190" s="16"/>
    </row>
    <row r="191" spans="1:12">
      <c r="A191" s="1" t="s">
        <v>116</v>
      </c>
      <c r="B191" s="23" t="s">
        <v>117</v>
      </c>
      <c r="C191" s="16"/>
      <c r="D191" s="61">
        <f>-'Excess Deferreds'!P10</f>
        <v>-736650</v>
      </c>
      <c r="E191" s="16"/>
      <c r="F191" s="10"/>
      <c r="G191" s="81"/>
      <c r="H191" s="16"/>
      <c r="I191" s="10"/>
      <c r="J191" s="16"/>
      <c r="K191" s="10"/>
      <c r="L191" s="16"/>
    </row>
    <row r="192" spans="1:12">
      <c r="A192" s="1" t="s">
        <v>118</v>
      </c>
      <c r="B192" s="23" t="s">
        <v>119</v>
      </c>
      <c r="C192" s="16"/>
      <c r="D192" s="61">
        <f>Permanent!B17</f>
        <v>264026</v>
      </c>
      <c r="E192" s="16"/>
      <c r="F192" s="10"/>
      <c r="G192" s="77"/>
      <c r="H192" s="16"/>
      <c r="I192" s="10"/>
      <c r="J192" s="16"/>
      <c r="K192" s="10"/>
      <c r="L192" s="16"/>
    </row>
    <row r="193" spans="1:12">
      <c r="A193" s="1">
        <v>25</v>
      </c>
      <c r="B193" s="78" t="s">
        <v>120</v>
      </c>
      <c r="C193" s="82"/>
      <c r="D193" s="27">
        <f>D186*D199</f>
        <v>112543040.8436673</v>
      </c>
      <c r="E193" s="27"/>
      <c r="F193" s="27" t="s">
        <v>62</v>
      </c>
      <c r="G193" s="26"/>
      <c r="H193" s="27"/>
      <c r="I193" s="27">
        <f>D186*I199</f>
        <v>112458594.39227265</v>
      </c>
      <c r="J193" s="16"/>
      <c r="K193" s="83" t="s">
        <v>1</v>
      </c>
      <c r="L193" s="16"/>
    </row>
    <row r="194" spans="1:12">
      <c r="A194" s="1">
        <v>26</v>
      </c>
      <c r="B194" s="10" t="s">
        <v>121</v>
      </c>
      <c r="C194" s="82"/>
      <c r="D194" s="70">
        <f>D189*D190</f>
        <v>-247458.89230520107</v>
      </c>
      <c r="E194" s="27"/>
      <c r="F194" s="4" t="s">
        <v>81</v>
      </c>
      <c r="G194" s="26">
        <f>G110</f>
        <v>1</v>
      </c>
      <c r="H194" s="27"/>
      <c r="I194" s="70">
        <f>G194*D194</f>
        <v>-247458.89230520107</v>
      </c>
      <c r="J194" s="16"/>
      <c r="K194" s="83"/>
      <c r="L194" s="16"/>
    </row>
    <row r="195" spans="1:12">
      <c r="A195" s="1" t="s">
        <v>122</v>
      </c>
      <c r="B195" s="10" t="s">
        <v>123</v>
      </c>
      <c r="C195" s="82"/>
      <c r="D195" s="70">
        <f>D189*D191</f>
        <v>-1166547.8067169639</v>
      </c>
      <c r="E195" s="27"/>
      <c r="F195" s="4" t="s">
        <v>81</v>
      </c>
      <c r="G195" s="26">
        <f>G194</f>
        <v>1</v>
      </c>
      <c r="H195" s="27"/>
      <c r="I195" s="70">
        <f>G195*D195</f>
        <v>-1166547.8067169639</v>
      </c>
      <c r="J195" s="16"/>
      <c r="K195" s="83"/>
      <c r="L195" s="16"/>
    </row>
    <row r="196" spans="1:12" ht="16.5" thickBot="1">
      <c r="A196" s="1" t="s">
        <v>124</v>
      </c>
      <c r="B196" s="10" t="s">
        <v>125</v>
      </c>
      <c r="C196" s="82"/>
      <c r="D196" s="30">
        <f>D189*D192</f>
        <v>418107.58327055332</v>
      </c>
      <c r="E196" s="27"/>
      <c r="F196" s="4" t="s">
        <v>81</v>
      </c>
      <c r="G196" s="26">
        <f>G195</f>
        <v>1</v>
      </c>
      <c r="H196" s="27"/>
      <c r="I196" s="30">
        <f>G196*D196</f>
        <v>418107.58327055332</v>
      </c>
      <c r="J196" s="16"/>
      <c r="K196" s="83"/>
      <c r="L196" s="16"/>
    </row>
    <row r="197" spans="1:12">
      <c r="A197" s="1">
        <v>27</v>
      </c>
      <c r="B197" s="84" t="s">
        <v>227</v>
      </c>
      <c r="C197" s="10"/>
      <c r="D197" s="71">
        <f>SUM(D193:D196)</f>
        <v>111547141.72791569</v>
      </c>
      <c r="E197" s="27"/>
      <c r="F197" s="27" t="s">
        <v>1</v>
      </c>
      <c r="G197" s="26" t="s">
        <v>1</v>
      </c>
      <c r="H197" s="27"/>
      <c r="I197" s="71">
        <f>SUM(I193:I196)</f>
        <v>111462695.27652104</v>
      </c>
      <c r="J197" s="16"/>
      <c r="K197" s="16"/>
      <c r="L197" s="16"/>
    </row>
    <row r="198" spans="1:12">
      <c r="A198" s="1" t="s">
        <v>1</v>
      </c>
      <c r="B198" s="10"/>
      <c r="C198" s="85"/>
      <c r="D198" s="67"/>
      <c r="E198" s="16"/>
      <c r="F198" s="16"/>
      <c r="G198" s="32"/>
      <c r="H198" s="16"/>
      <c r="I198" s="67"/>
      <c r="J198" s="16"/>
      <c r="K198" s="16"/>
      <c r="L198" s="16"/>
    </row>
    <row r="199" spans="1:12">
      <c r="A199" s="1">
        <v>28</v>
      </c>
      <c r="B199" s="23" t="s">
        <v>126</v>
      </c>
      <c r="C199" s="60"/>
      <c r="D199" s="27">
        <f>+$I271*D128</f>
        <v>267596420.25286168</v>
      </c>
      <c r="E199" s="27"/>
      <c r="F199" s="27" t="s">
        <v>62</v>
      </c>
      <c r="G199" s="86"/>
      <c r="H199" s="27"/>
      <c r="I199" s="27">
        <f>+$I271*I128</f>
        <v>267395629.80036578</v>
      </c>
      <c r="J199" s="16"/>
      <c r="K199" s="10"/>
      <c r="L199" s="16"/>
    </row>
    <row r="200" spans="1:12">
      <c r="A200" s="1"/>
      <c r="B200" s="84" t="s">
        <v>257</v>
      </c>
      <c r="C200" s="10"/>
      <c r="D200" s="27"/>
      <c r="E200" s="27"/>
      <c r="F200" s="27"/>
      <c r="G200" s="86"/>
      <c r="H200" s="27"/>
      <c r="I200" s="27"/>
      <c r="J200" s="16"/>
      <c r="K200" s="60"/>
      <c r="L200" s="16"/>
    </row>
    <row r="201" spans="1:12">
      <c r="A201" s="1"/>
      <c r="B201" s="23"/>
      <c r="C201" s="10"/>
      <c r="D201" s="70"/>
      <c r="E201" s="27"/>
      <c r="F201" s="27"/>
      <c r="G201" s="86"/>
      <c r="H201" s="27"/>
      <c r="I201" s="70"/>
      <c r="J201" s="16"/>
      <c r="K201" s="60"/>
      <c r="L201" s="16"/>
    </row>
    <row r="202" spans="1:12">
      <c r="A202" s="1">
        <v>29</v>
      </c>
      <c r="B202" s="23" t="s">
        <v>127</v>
      </c>
      <c r="C202" s="16"/>
      <c r="D202" s="70">
        <f>+D199+D197+D182+D171+D165</f>
        <v>701265013.93077731</v>
      </c>
      <c r="E202" s="27"/>
      <c r="F202" s="27"/>
      <c r="G202" s="27"/>
      <c r="H202" s="27"/>
      <c r="I202" s="70">
        <f>+I199+I197+I182+I171+I165</f>
        <v>684861949.73641288</v>
      </c>
      <c r="J202" s="15"/>
      <c r="K202" s="15"/>
      <c r="L202" s="15"/>
    </row>
    <row r="203" spans="1:12">
      <c r="A203" s="1"/>
      <c r="B203" s="23"/>
      <c r="C203" s="16"/>
      <c r="D203" s="70"/>
      <c r="E203" s="27"/>
      <c r="F203" s="27"/>
      <c r="G203" s="27"/>
      <c r="H203" s="27"/>
      <c r="I203" s="70"/>
      <c r="J203" s="15"/>
      <c r="K203" s="15"/>
      <c r="L203" s="15"/>
    </row>
    <row r="204" spans="1:12">
      <c r="A204" s="7">
        <v>30</v>
      </c>
      <c r="B204" s="5" t="s">
        <v>343</v>
      </c>
      <c r="C204" s="27"/>
      <c r="D204" s="154"/>
      <c r="E204" s="153"/>
      <c r="F204" s="153"/>
      <c r="G204" s="153"/>
      <c r="H204" s="153"/>
      <c r="I204" s="154"/>
      <c r="J204" s="15"/>
      <c r="K204" s="15"/>
      <c r="L204" s="15"/>
    </row>
    <row r="205" spans="1:12">
      <c r="A205" s="7"/>
      <c r="B205" s="980" t="s">
        <v>266</v>
      </c>
      <c r="C205" s="980"/>
      <c r="D205" s="157"/>
      <c r="E205" s="157"/>
      <c r="F205" s="157"/>
      <c r="G205" s="157"/>
      <c r="H205" s="157"/>
      <c r="I205" s="157"/>
      <c r="J205" s="15"/>
      <c r="K205" s="15"/>
      <c r="L205" s="15"/>
    </row>
    <row r="206" spans="1:12">
      <c r="A206" s="7"/>
      <c r="B206" s="5" t="s">
        <v>267</v>
      </c>
      <c r="C206" s="27"/>
      <c r="D206" s="182">
        <f>'ATC Attach GG ER15-123'!M103</f>
        <v>96094774.617580444</v>
      </c>
      <c r="E206" s="27"/>
      <c r="F206" s="27"/>
      <c r="G206" s="27"/>
      <c r="H206" s="27"/>
      <c r="I206" s="182">
        <f>D206</f>
        <v>96094774.617580444</v>
      </c>
      <c r="J206" s="15"/>
      <c r="K206" s="15"/>
      <c r="L206" s="15"/>
    </row>
    <row r="207" spans="1:12">
      <c r="A207" s="1"/>
      <c r="B207" s="23"/>
      <c r="C207" s="16"/>
      <c r="D207" s="70"/>
      <c r="E207" s="27"/>
      <c r="F207" s="27"/>
      <c r="G207" s="27"/>
      <c r="H207" s="27"/>
      <c r="I207" s="70"/>
      <c r="J207" s="15"/>
      <c r="K207" s="15"/>
      <c r="L207" s="15"/>
    </row>
    <row r="208" spans="1:12" s="157" customFormat="1" ht="15.75" customHeight="1">
      <c r="A208" s="7" t="s">
        <v>320</v>
      </c>
      <c r="B208" s="5" t="s">
        <v>344</v>
      </c>
      <c r="C208" s="27"/>
      <c r="D208" s="154"/>
      <c r="E208" s="153"/>
      <c r="F208" s="153"/>
      <c r="G208" s="153"/>
      <c r="H208" s="153"/>
      <c r="I208" s="154"/>
      <c r="J208" s="155"/>
      <c r="K208" s="156"/>
      <c r="L208" s="4"/>
    </row>
    <row r="209" spans="1:12" s="157" customFormat="1">
      <c r="A209" s="7"/>
      <c r="B209" s="980" t="s">
        <v>266</v>
      </c>
      <c r="C209" s="980"/>
      <c r="J209" s="155"/>
      <c r="K209" s="156"/>
      <c r="L209" s="4"/>
    </row>
    <row r="210" spans="1:12" s="157" customFormat="1" ht="16.5" thickBot="1">
      <c r="A210" s="7"/>
      <c r="B210" s="5" t="s">
        <v>322</v>
      </c>
      <c r="C210" s="27"/>
      <c r="D210" s="173">
        <f>'Attach MM ER15-123'!Q101</f>
        <v>11491863.555168852</v>
      </c>
      <c r="E210" s="27"/>
      <c r="F210" s="27"/>
      <c r="G210" s="27"/>
      <c r="H210" s="27"/>
      <c r="I210" s="173">
        <f>D210</f>
        <v>11491863.555168852</v>
      </c>
      <c r="J210" s="155"/>
      <c r="K210" s="156"/>
      <c r="L210" s="4"/>
    </row>
    <row r="211" spans="1:12" s="157" customFormat="1" ht="16.5" thickBot="1">
      <c r="A211" s="7">
        <v>31</v>
      </c>
      <c r="B211" s="4" t="s">
        <v>268</v>
      </c>
      <c r="C211" s="153"/>
      <c r="D211" s="69">
        <f>+D202-D206-D210</f>
        <v>593678375.75802803</v>
      </c>
      <c r="E211" s="27"/>
      <c r="F211" s="27"/>
      <c r="G211" s="27"/>
      <c r="H211" s="27"/>
      <c r="I211" s="69">
        <f>+I202-I206-I210</f>
        <v>577275311.5636636</v>
      </c>
      <c r="J211" s="155"/>
      <c r="K211" s="156"/>
      <c r="L211" s="4"/>
    </row>
    <row r="212" spans="1:12" s="157" customFormat="1" ht="16.5" thickTop="1">
      <c r="A212" s="7"/>
      <c r="B212" s="5" t="s">
        <v>321</v>
      </c>
      <c r="C212" s="153"/>
      <c r="D212" s="154"/>
      <c r="E212" s="153"/>
      <c r="F212" s="153"/>
      <c r="G212" s="153"/>
      <c r="H212" s="153"/>
      <c r="I212" s="154"/>
      <c r="J212" s="155"/>
      <c r="K212" s="156"/>
      <c r="L212" s="4"/>
    </row>
    <row r="213" spans="1:12">
      <c r="A213" s="1"/>
      <c r="B213" s="23"/>
      <c r="C213" s="16"/>
      <c r="D213" s="70"/>
      <c r="E213" s="27"/>
      <c r="F213" s="27"/>
      <c r="G213" s="59"/>
      <c r="H213" s="27"/>
      <c r="I213" s="70"/>
      <c r="J213" s="16"/>
      <c r="K213" s="60"/>
      <c r="L213" s="16"/>
    </row>
    <row r="214" spans="1:12">
      <c r="A214" s="1"/>
      <c r="B214" s="23"/>
      <c r="C214" s="16"/>
      <c r="D214" s="70"/>
      <c r="E214" s="27"/>
      <c r="F214" s="27"/>
      <c r="G214" s="59"/>
      <c r="H214" s="27"/>
      <c r="I214" s="70"/>
      <c r="J214" s="16"/>
      <c r="K214" s="60"/>
      <c r="L214" s="16"/>
    </row>
    <row r="215" spans="1:12">
      <c r="A215" s="1"/>
      <c r="B215" s="23"/>
      <c r="C215" s="16"/>
      <c r="D215" s="70"/>
      <c r="E215" s="27"/>
      <c r="F215" s="27"/>
      <c r="G215" s="59"/>
      <c r="H215" s="27"/>
      <c r="I215" s="70"/>
      <c r="J215" s="16"/>
      <c r="K215" s="60"/>
      <c r="L215" s="16"/>
    </row>
    <row r="216" spans="1:12">
      <c r="A216" s="1"/>
      <c r="B216" s="10"/>
      <c r="C216" s="10"/>
      <c r="D216" s="10"/>
      <c r="E216" s="10"/>
      <c r="F216" s="10"/>
      <c r="G216" s="10"/>
      <c r="H216" s="10"/>
      <c r="I216" s="10"/>
      <c r="J216" s="16"/>
      <c r="K216" s="72" t="s">
        <v>216</v>
      </c>
      <c r="L216" s="16"/>
    </row>
    <row r="217" spans="1:12">
      <c r="A217" s="1"/>
      <c r="B217" s="10"/>
      <c r="C217" s="10"/>
      <c r="D217" s="10"/>
      <c r="E217" s="10"/>
      <c r="F217" s="10"/>
      <c r="G217" s="10"/>
      <c r="H217" s="10"/>
      <c r="I217" s="10"/>
      <c r="J217" s="16"/>
      <c r="K217" s="16"/>
      <c r="L217" s="16"/>
    </row>
    <row r="218" spans="1:12">
      <c r="A218" s="1"/>
      <c r="B218" s="23" t="s">
        <v>0</v>
      </c>
      <c r="C218" s="10"/>
      <c r="D218" s="10" t="s">
        <v>284</v>
      </c>
      <c r="E218" s="10"/>
      <c r="F218" s="10"/>
      <c r="G218" s="10"/>
      <c r="H218" s="10"/>
      <c r="J218" s="16"/>
      <c r="K218" s="147" t="str">
        <f>K3</f>
        <v>For the 12 months ended 12/31/2016</v>
      </c>
      <c r="L218" s="16"/>
    </row>
    <row r="219" spans="1:12">
      <c r="A219" s="1"/>
      <c r="B219" s="23"/>
      <c r="C219" s="10"/>
      <c r="D219" s="10" t="s">
        <v>285</v>
      </c>
      <c r="E219" s="10"/>
      <c r="F219" s="10"/>
      <c r="G219" s="10"/>
      <c r="H219" s="10"/>
      <c r="I219" s="10"/>
      <c r="J219" s="16"/>
      <c r="K219" s="16"/>
      <c r="L219" s="16"/>
    </row>
    <row r="220" spans="1:12">
      <c r="A220" s="1"/>
      <c r="B220" s="10"/>
      <c r="C220" s="10"/>
      <c r="D220" s="10"/>
      <c r="E220" s="10"/>
      <c r="F220" s="10"/>
      <c r="G220" s="10"/>
      <c r="H220" s="10"/>
      <c r="I220" s="10"/>
      <c r="J220" s="16"/>
      <c r="K220" s="16"/>
      <c r="L220" s="16"/>
    </row>
    <row r="221" spans="1:12">
      <c r="A221" s="984" t="str">
        <f>A6</f>
        <v>American Transmission Company LLC</v>
      </c>
      <c r="B221" s="984"/>
      <c r="C221" s="984"/>
      <c r="D221" s="984"/>
      <c r="E221" s="984"/>
      <c r="F221" s="984"/>
      <c r="G221" s="984"/>
      <c r="H221" s="984"/>
      <c r="I221" s="984"/>
      <c r="J221" s="984"/>
      <c r="K221" s="984"/>
      <c r="L221" s="16"/>
    </row>
    <row r="222" spans="1:12">
      <c r="A222" s="1"/>
      <c r="B222" s="10"/>
      <c r="C222" s="23"/>
      <c r="D222" s="23"/>
      <c r="E222" s="23"/>
      <c r="F222" s="23"/>
      <c r="G222" s="23"/>
      <c r="H222" s="23"/>
      <c r="I222" s="23"/>
      <c r="J222" s="23"/>
      <c r="K222" s="23"/>
      <c r="L222" s="23"/>
    </row>
    <row r="223" spans="1:12">
      <c r="A223" s="1"/>
      <c r="B223" s="10"/>
      <c r="C223" s="55" t="s">
        <v>128</v>
      </c>
      <c r="D223" s="10"/>
      <c r="E223" s="15"/>
      <c r="F223" s="15"/>
      <c r="G223" s="15"/>
      <c r="H223" s="15"/>
      <c r="I223" s="15"/>
      <c r="J223" s="16"/>
      <c r="K223" s="16"/>
      <c r="L223" s="15"/>
    </row>
    <row r="224" spans="1:12">
      <c r="A224" s="1" t="s">
        <v>4</v>
      </c>
      <c r="B224" s="55"/>
      <c r="C224" s="15"/>
      <c r="D224" s="15"/>
      <c r="E224" s="15"/>
      <c r="F224" s="15"/>
      <c r="G224" s="15"/>
      <c r="H224" s="15"/>
      <c r="I224" s="15"/>
      <c r="J224" s="16"/>
      <c r="K224" s="16"/>
      <c r="L224" s="15"/>
    </row>
    <row r="225" spans="1:12" ht="16.5" thickBot="1">
      <c r="A225" s="20" t="s">
        <v>6</v>
      </c>
      <c r="B225" s="87" t="s">
        <v>129</v>
      </c>
      <c r="C225" s="88"/>
      <c r="D225" s="88"/>
      <c r="E225" s="88"/>
      <c r="F225" s="88"/>
      <c r="G225" s="88"/>
      <c r="H225" s="89"/>
      <c r="I225" s="89"/>
      <c r="J225" s="24"/>
      <c r="K225" s="16"/>
      <c r="L225" s="15"/>
    </row>
    <row r="226" spans="1:12">
      <c r="A226" s="1">
        <v>1</v>
      </c>
      <c r="B226" s="34" t="s">
        <v>305</v>
      </c>
      <c r="C226" s="88"/>
      <c r="D226" s="24"/>
      <c r="E226" s="24"/>
      <c r="F226" s="24"/>
      <c r="G226" s="24"/>
      <c r="H226" s="24"/>
      <c r="I226" s="90">
        <f>D87</f>
        <v>4767684101</v>
      </c>
      <c r="J226" s="24"/>
      <c r="K226" s="16"/>
      <c r="L226" s="15"/>
    </row>
    <row r="227" spans="1:12">
      <c r="A227" s="1">
        <v>2</v>
      </c>
      <c r="B227" s="34" t="s">
        <v>306</v>
      </c>
      <c r="C227" s="89"/>
      <c r="D227" s="89"/>
      <c r="E227" s="89"/>
      <c r="F227" s="89"/>
      <c r="G227" s="89"/>
      <c r="H227" s="89"/>
      <c r="I227" s="29">
        <v>0</v>
      </c>
      <c r="J227" s="24"/>
      <c r="K227" s="16"/>
      <c r="L227" s="15"/>
    </row>
    <row r="228" spans="1:12" ht="16.5" thickBot="1">
      <c r="A228" s="1">
        <v>3</v>
      </c>
      <c r="B228" s="181" t="s">
        <v>307</v>
      </c>
      <c r="C228" s="91"/>
      <c r="E228" s="24"/>
      <c r="F228" s="24"/>
      <c r="G228" s="3"/>
      <c r="H228" s="24"/>
      <c r="I228" s="58">
        <v>0</v>
      </c>
      <c r="J228" s="24"/>
      <c r="K228" s="16"/>
      <c r="L228" s="15"/>
    </row>
    <row r="229" spans="1:12">
      <c r="A229" s="1">
        <v>4</v>
      </c>
      <c r="B229" s="34" t="s">
        <v>296</v>
      </c>
      <c r="C229" s="88"/>
      <c r="D229" s="24"/>
      <c r="E229" s="24"/>
      <c r="F229" s="24"/>
      <c r="G229" s="3"/>
      <c r="H229" s="24"/>
      <c r="I229" s="90">
        <f>I226-I227-I228</f>
        <v>4767684101</v>
      </c>
      <c r="J229" s="24"/>
      <c r="K229" s="16"/>
      <c r="L229" s="15"/>
    </row>
    <row r="230" spans="1:12" ht="11.25" customHeight="1">
      <c r="A230" s="1"/>
      <c r="B230" s="89"/>
      <c r="C230" s="88"/>
      <c r="D230" s="24"/>
      <c r="E230" s="24"/>
      <c r="F230" s="24"/>
      <c r="G230" s="3"/>
      <c r="H230" s="24"/>
      <c r="I230" s="89"/>
      <c r="J230" s="24"/>
      <c r="K230" s="16"/>
      <c r="L230" s="15"/>
    </row>
    <row r="231" spans="1:12">
      <c r="A231" s="1">
        <v>5</v>
      </c>
      <c r="B231" s="34" t="s">
        <v>308</v>
      </c>
      <c r="C231" s="92"/>
      <c r="D231" s="93"/>
      <c r="E231" s="93"/>
      <c r="F231" s="93"/>
      <c r="G231" s="94"/>
      <c r="H231" s="24" t="s">
        <v>130</v>
      </c>
      <c r="I231" s="64">
        <f>IF(I226&gt;0,I229/I226,0)</f>
        <v>1</v>
      </c>
      <c r="J231" s="24"/>
      <c r="K231" s="16"/>
      <c r="L231" s="15"/>
    </row>
    <row r="232" spans="1:12" ht="11.25" customHeight="1">
      <c r="A232" s="1"/>
      <c r="B232" s="89"/>
      <c r="C232" s="89"/>
      <c r="D232" s="89"/>
      <c r="E232" s="89"/>
      <c r="F232" s="89"/>
      <c r="G232" s="89"/>
      <c r="H232" s="89"/>
      <c r="I232" s="89"/>
      <c r="J232" s="24"/>
      <c r="K232" s="16"/>
      <c r="L232" s="15"/>
    </row>
    <row r="233" spans="1:12">
      <c r="A233" s="1"/>
      <c r="B233" s="73" t="s">
        <v>131</v>
      </c>
      <c r="C233" s="89"/>
      <c r="D233" s="89"/>
      <c r="E233" s="89"/>
      <c r="F233" s="89"/>
      <c r="G233" s="89"/>
      <c r="H233" s="89"/>
      <c r="I233" s="89"/>
      <c r="J233" s="24"/>
      <c r="K233" s="16"/>
      <c r="L233" s="15"/>
    </row>
    <row r="234" spans="1:12">
      <c r="A234" s="1">
        <v>6</v>
      </c>
      <c r="B234" s="89" t="s">
        <v>297</v>
      </c>
      <c r="C234" s="180"/>
      <c r="D234" s="88"/>
      <c r="E234" s="88"/>
      <c r="F234" s="88"/>
      <c r="G234" s="95"/>
      <c r="H234" s="88"/>
      <c r="I234" s="90">
        <f>D156</f>
        <v>114398603.65000001</v>
      </c>
      <c r="J234" s="24"/>
      <c r="K234" s="16"/>
      <c r="L234" s="16"/>
    </row>
    <row r="235" spans="1:12" ht="16.5" thickBot="1">
      <c r="A235" s="1">
        <v>7</v>
      </c>
      <c r="B235" s="181" t="s">
        <v>309</v>
      </c>
      <c r="C235" s="91"/>
      <c r="E235" s="158"/>
      <c r="F235" s="24"/>
      <c r="G235" s="24"/>
      <c r="H235" s="24"/>
      <c r="I235" s="58">
        <f>'ATC Sch1 - True-Up Adj 2016'!G20</f>
        <v>16044913.75</v>
      </c>
      <c r="J235" s="24"/>
      <c r="K235" s="16"/>
      <c r="L235" s="16"/>
    </row>
    <row r="236" spans="1:12">
      <c r="A236" s="1">
        <v>8</v>
      </c>
      <c r="B236" s="34" t="s">
        <v>298</v>
      </c>
      <c r="C236" s="92"/>
      <c r="D236" s="93"/>
      <c r="E236" s="93"/>
      <c r="F236" s="93"/>
      <c r="G236" s="94"/>
      <c r="H236" s="93"/>
      <c r="I236" s="90">
        <f>+I234-I235</f>
        <v>98353689.900000006</v>
      </c>
      <c r="J236" s="89"/>
      <c r="K236" s="10"/>
      <c r="L236" s="16"/>
    </row>
    <row r="237" spans="1:12" ht="11.25" customHeight="1">
      <c r="A237" s="1"/>
      <c r="B237" s="34"/>
      <c r="C237" s="88"/>
      <c r="D237" s="24"/>
      <c r="E237" s="24"/>
      <c r="F237" s="24"/>
      <c r="G237" s="24"/>
      <c r="H237" s="89"/>
      <c r="I237" s="89"/>
      <c r="J237" s="89"/>
      <c r="K237" s="10"/>
      <c r="L237" s="16"/>
    </row>
    <row r="238" spans="1:12">
      <c r="A238" s="1">
        <v>9</v>
      </c>
      <c r="B238" s="34" t="s">
        <v>310</v>
      </c>
      <c r="C238" s="88"/>
      <c r="D238" s="24"/>
      <c r="E238" s="24"/>
      <c r="F238" s="24"/>
      <c r="G238" s="24"/>
      <c r="H238" s="24"/>
      <c r="I238" s="75">
        <f>IF(I234&gt;0,I236/I234,0)</f>
        <v>0.85974554550430482</v>
      </c>
      <c r="J238" s="89"/>
      <c r="K238" s="10"/>
      <c r="L238" s="16"/>
    </row>
    <row r="239" spans="1:12">
      <c r="A239" s="1">
        <v>10</v>
      </c>
      <c r="B239" s="34" t="s">
        <v>311</v>
      </c>
      <c r="C239" s="88"/>
      <c r="D239" s="24"/>
      <c r="E239" s="24"/>
      <c r="F239" s="24"/>
      <c r="G239" s="24"/>
      <c r="H239" s="88" t="s">
        <v>14</v>
      </c>
      <c r="I239" s="96">
        <f>I231</f>
        <v>1</v>
      </c>
      <c r="J239" s="89"/>
      <c r="K239" s="10"/>
      <c r="L239" s="16"/>
    </row>
    <row r="240" spans="1:12">
      <c r="A240" s="1">
        <v>11</v>
      </c>
      <c r="B240" s="34" t="s">
        <v>312</v>
      </c>
      <c r="C240" s="88"/>
      <c r="D240" s="88"/>
      <c r="E240" s="88"/>
      <c r="F240" s="88"/>
      <c r="G240" s="88"/>
      <c r="H240" s="88" t="s">
        <v>132</v>
      </c>
      <c r="I240" s="97">
        <f>+I239*I238</f>
        <v>0.85974554550430482</v>
      </c>
      <c r="J240" s="89"/>
      <c r="K240" s="10"/>
      <c r="L240" s="16"/>
    </row>
    <row r="241" spans="1:12" ht="11.25" customHeight="1">
      <c r="A241" s="1"/>
      <c r="B241" s="10"/>
      <c r="C241" s="10"/>
      <c r="D241" s="10"/>
      <c r="E241" s="10"/>
      <c r="F241" s="10"/>
      <c r="G241" s="10"/>
      <c r="H241" s="10"/>
      <c r="I241" s="10"/>
      <c r="J241" s="10"/>
      <c r="K241" s="10"/>
      <c r="L241" s="16"/>
    </row>
    <row r="242" spans="1:12">
      <c r="A242" s="1" t="s">
        <v>1</v>
      </c>
      <c r="B242" s="23" t="s">
        <v>258</v>
      </c>
      <c r="C242" s="16"/>
      <c r="D242" s="16"/>
      <c r="E242" s="16"/>
      <c r="F242" s="16"/>
      <c r="G242" s="16"/>
      <c r="H242" s="16"/>
      <c r="I242" s="16"/>
      <c r="J242" s="16"/>
      <c r="K242" s="16"/>
      <c r="L242" s="16"/>
    </row>
    <row r="243" spans="1:12" ht="16.5" thickBot="1">
      <c r="A243" s="1" t="s">
        <v>1</v>
      </c>
      <c r="B243" s="23"/>
      <c r="C243" s="98" t="s">
        <v>133</v>
      </c>
      <c r="D243" s="99" t="s">
        <v>134</v>
      </c>
      <c r="E243" s="99" t="s">
        <v>14</v>
      </c>
      <c r="F243" s="16"/>
      <c r="G243" s="99" t="s">
        <v>135</v>
      </c>
      <c r="H243" s="16"/>
      <c r="I243" s="16"/>
      <c r="J243" s="16"/>
      <c r="K243" s="16"/>
      <c r="L243" s="16"/>
    </row>
    <row r="244" spans="1:12">
      <c r="A244" s="1">
        <v>12</v>
      </c>
      <c r="B244" s="23" t="s">
        <v>61</v>
      </c>
      <c r="C244" s="16" t="s">
        <v>240</v>
      </c>
      <c r="D244" s="29">
        <v>0</v>
      </c>
      <c r="E244" s="100">
        <v>0</v>
      </c>
      <c r="F244" s="100"/>
      <c r="G244" s="27">
        <f>D244*E244</f>
        <v>0</v>
      </c>
      <c r="H244" s="27"/>
      <c r="I244" s="27"/>
      <c r="J244" s="16"/>
      <c r="K244" s="16"/>
      <c r="L244" s="16"/>
    </row>
    <row r="245" spans="1:12">
      <c r="A245" s="1">
        <v>13</v>
      </c>
      <c r="B245" s="23" t="s">
        <v>136</v>
      </c>
      <c r="C245" s="16" t="s">
        <v>241</v>
      </c>
      <c r="D245" s="29">
        <v>62985998</v>
      </c>
      <c r="E245" s="101">
        <f>+I231</f>
        <v>1</v>
      </c>
      <c r="F245" s="100"/>
      <c r="G245" s="27">
        <f>D245*E245</f>
        <v>62985998</v>
      </c>
      <c r="H245" s="27"/>
      <c r="I245" s="27"/>
      <c r="J245" s="16"/>
      <c r="K245" s="16"/>
      <c r="L245" s="16"/>
    </row>
    <row r="246" spans="1:12">
      <c r="A246" s="1">
        <v>14</v>
      </c>
      <c r="B246" s="23" t="s">
        <v>65</v>
      </c>
      <c r="C246" s="16" t="s">
        <v>242</v>
      </c>
      <c r="D246" s="29">
        <v>0</v>
      </c>
      <c r="E246" s="100">
        <v>0</v>
      </c>
      <c r="F246" s="100"/>
      <c r="G246" s="27">
        <f>D246*E246</f>
        <v>0</v>
      </c>
      <c r="H246" s="27"/>
      <c r="I246" s="102" t="s">
        <v>137</v>
      </c>
      <c r="J246" s="16"/>
      <c r="K246" s="16"/>
      <c r="L246" s="16"/>
    </row>
    <row r="247" spans="1:12" ht="16.5" thickBot="1">
      <c r="A247" s="1">
        <v>15</v>
      </c>
      <c r="B247" s="23" t="s">
        <v>138</v>
      </c>
      <c r="C247" s="16" t="s">
        <v>243</v>
      </c>
      <c r="D247" s="58">
        <v>0</v>
      </c>
      <c r="E247" s="100">
        <v>0</v>
      </c>
      <c r="F247" s="100"/>
      <c r="G247" s="30">
        <f>D247*E247</f>
        <v>0</v>
      </c>
      <c r="H247" s="27"/>
      <c r="I247" s="103" t="s">
        <v>139</v>
      </c>
      <c r="J247" s="16"/>
      <c r="K247" s="16"/>
      <c r="L247" s="16"/>
    </row>
    <row r="248" spans="1:12">
      <c r="A248" s="1">
        <v>16</v>
      </c>
      <c r="B248" s="23" t="s">
        <v>140</v>
      </c>
      <c r="C248" s="16"/>
      <c r="D248" s="27">
        <f>SUM(D244:D247)</f>
        <v>62985998</v>
      </c>
      <c r="E248" s="16"/>
      <c r="F248" s="16"/>
      <c r="G248" s="27">
        <f>SUM(G244:G247)</f>
        <v>62985998</v>
      </c>
      <c r="H248" s="7" t="s">
        <v>141</v>
      </c>
      <c r="I248" s="57">
        <f>IF(G248&gt;0,G248/D248,0)</f>
        <v>1</v>
      </c>
      <c r="J248" s="48" t="s">
        <v>141</v>
      </c>
      <c r="K248" s="16" t="s">
        <v>142</v>
      </c>
      <c r="L248" s="16"/>
    </row>
    <row r="249" spans="1:12">
      <c r="A249" s="1" t="s">
        <v>1</v>
      </c>
      <c r="B249" s="23" t="s">
        <v>1</v>
      </c>
      <c r="C249" s="16" t="s">
        <v>1</v>
      </c>
      <c r="D249" s="10"/>
      <c r="E249" s="16"/>
      <c r="F249" s="16"/>
      <c r="G249" s="10"/>
      <c r="H249" s="10"/>
      <c r="I249" s="10"/>
      <c r="J249" s="10"/>
      <c r="K249" s="16"/>
      <c r="L249" s="16"/>
    </row>
    <row r="250" spans="1:12">
      <c r="A250" s="1"/>
      <c r="B250" s="23" t="s">
        <v>259</v>
      </c>
      <c r="C250" s="16"/>
      <c r="D250" s="51" t="s">
        <v>134</v>
      </c>
      <c r="E250" s="16"/>
      <c r="F250" s="16"/>
      <c r="G250" s="48" t="s">
        <v>143</v>
      </c>
      <c r="H250" s="77"/>
      <c r="I250" s="60" t="s">
        <v>137</v>
      </c>
      <c r="J250" s="16"/>
      <c r="K250" s="16"/>
      <c r="L250" s="16"/>
    </row>
    <row r="251" spans="1:12">
      <c r="A251" s="1">
        <v>17</v>
      </c>
      <c r="B251" s="23" t="s">
        <v>144</v>
      </c>
      <c r="C251" s="16" t="s">
        <v>145</v>
      </c>
      <c r="D251" s="29">
        <v>4654537708.25</v>
      </c>
      <c r="E251" s="16"/>
      <c r="F251" s="10"/>
      <c r="G251" s="1" t="s">
        <v>146</v>
      </c>
      <c r="H251" s="104"/>
      <c r="I251" s="1" t="s">
        <v>147</v>
      </c>
      <c r="J251" s="16"/>
      <c r="K251" s="49" t="s">
        <v>69</v>
      </c>
      <c r="L251" s="16"/>
    </row>
    <row r="252" spans="1:12">
      <c r="A252" s="1">
        <v>18</v>
      </c>
      <c r="B252" s="23" t="s">
        <v>148</v>
      </c>
      <c r="C252" s="16" t="s">
        <v>149</v>
      </c>
      <c r="D252" s="29">
        <v>0</v>
      </c>
      <c r="E252" s="16"/>
      <c r="F252" s="10"/>
      <c r="G252" s="26">
        <f>IF(D254&gt;0,D251/D254,0)</f>
        <v>1</v>
      </c>
      <c r="H252" s="48" t="s">
        <v>150</v>
      </c>
      <c r="I252" s="32">
        <f>I248</f>
        <v>1</v>
      </c>
      <c r="J252" s="77" t="s">
        <v>141</v>
      </c>
      <c r="K252" s="26">
        <f>I252*G252</f>
        <v>1</v>
      </c>
      <c r="L252" s="16"/>
    </row>
    <row r="253" spans="1:12" ht="16.5" thickBot="1">
      <c r="A253" s="1">
        <v>19</v>
      </c>
      <c r="B253" s="105" t="s">
        <v>151</v>
      </c>
      <c r="C253" s="98" t="s">
        <v>152</v>
      </c>
      <c r="D253" s="58">
        <v>0</v>
      </c>
      <c r="E253" s="16"/>
      <c r="F253" s="16"/>
      <c r="G253" s="16" t="s">
        <v>1</v>
      </c>
      <c r="H253" s="16"/>
      <c r="I253" s="16"/>
      <c r="J253" s="16"/>
      <c r="K253" s="16"/>
      <c r="L253" s="16"/>
    </row>
    <row r="254" spans="1:12">
      <c r="A254" s="1">
        <v>20</v>
      </c>
      <c r="B254" s="23" t="s">
        <v>153</v>
      </c>
      <c r="C254" s="16"/>
      <c r="D254" s="27">
        <f>D251+D252+D253</f>
        <v>4654537708.25</v>
      </c>
      <c r="E254" s="16"/>
      <c r="F254" s="16"/>
      <c r="G254" s="16"/>
      <c r="H254" s="16"/>
      <c r="I254" s="16"/>
      <c r="J254" s="16"/>
      <c r="K254" s="16"/>
      <c r="L254" s="16"/>
    </row>
    <row r="255" spans="1:12" ht="11.25" customHeight="1">
      <c r="A255" s="1"/>
      <c r="B255" s="23"/>
      <c r="C255" s="16"/>
      <c r="D255" s="10"/>
      <c r="E255" s="16"/>
      <c r="F255" s="16"/>
      <c r="G255" s="16"/>
      <c r="H255" s="16"/>
      <c r="I255" s="16"/>
      <c r="J255" s="16"/>
      <c r="K255" s="16"/>
      <c r="L255" s="16"/>
    </row>
    <row r="256" spans="1:12" ht="16.5" thickBot="1">
      <c r="A256" s="1"/>
      <c r="B256" s="11" t="s">
        <v>154</v>
      </c>
      <c r="C256" s="16"/>
      <c r="D256" s="16"/>
      <c r="E256" s="16"/>
      <c r="F256" s="16"/>
      <c r="G256" s="16"/>
      <c r="H256" s="16"/>
      <c r="I256" s="99" t="s">
        <v>134</v>
      </c>
      <c r="J256" s="16"/>
      <c r="K256" s="16"/>
      <c r="L256" s="16"/>
    </row>
    <row r="257" spans="1:12">
      <c r="A257" s="1">
        <v>21</v>
      </c>
      <c r="B257" s="13"/>
      <c r="C257" s="16" t="s">
        <v>231</v>
      </c>
      <c r="D257" s="16"/>
      <c r="E257" s="16"/>
      <c r="F257" s="16"/>
      <c r="G257" s="16"/>
      <c r="H257" s="16"/>
      <c r="I257" s="106" t="s">
        <v>155</v>
      </c>
      <c r="J257" s="16"/>
      <c r="K257" s="16"/>
      <c r="L257" s="16"/>
    </row>
    <row r="258" spans="1:12" ht="11.25" customHeight="1">
      <c r="A258" s="1"/>
      <c r="B258" s="23"/>
      <c r="C258" s="16"/>
      <c r="D258" s="16"/>
      <c r="E258" s="16"/>
      <c r="F258" s="16"/>
      <c r="G258" s="16"/>
      <c r="H258" s="16"/>
      <c r="I258" s="48"/>
      <c r="J258" s="16"/>
      <c r="K258" s="16"/>
      <c r="L258" s="16"/>
    </row>
    <row r="259" spans="1:12">
      <c r="A259" s="1">
        <v>22</v>
      </c>
      <c r="B259" s="11"/>
      <c r="C259" s="16" t="s">
        <v>244</v>
      </c>
      <c r="D259" s="16"/>
      <c r="E259" s="16"/>
      <c r="F259" s="16"/>
      <c r="G259" s="16"/>
      <c r="H259" s="24"/>
      <c r="I259" s="107" t="s">
        <v>155</v>
      </c>
      <c r="J259" s="16"/>
      <c r="K259" s="16"/>
      <c r="L259" s="16"/>
    </row>
    <row r="260" spans="1:12" ht="11.25" customHeight="1">
      <c r="A260" s="1"/>
      <c r="B260" s="11"/>
      <c r="C260" s="16"/>
      <c r="D260" s="16"/>
      <c r="E260" s="16"/>
      <c r="F260" s="16"/>
      <c r="G260" s="16"/>
      <c r="H260" s="16"/>
      <c r="I260" s="16"/>
      <c r="J260" s="16"/>
      <c r="K260" s="16"/>
      <c r="L260" s="16"/>
    </row>
    <row r="261" spans="1:12">
      <c r="A261" s="1"/>
      <c r="B261" s="11" t="s">
        <v>156</v>
      </c>
      <c r="C261" s="16"/>
      <c r="D261" s="16"/>
      <c r="E261" s="16"/>
      <c r="F261" s="16"/>
      <c r="G261" s="16"/>
      <c r="H261" s="16"/>
      <c r="I261" s="16"/>
      <c r="J261" s="16"/>
      <c r="K261" s="16"/>
      <c r="L261" s="16"/>
    </row>
    <row r="262" spans="1:12">
      <c r="A262" s="1">
        <v>23</v>
      </c>
      <c r="B262" s="11"/>
      <c r="C262" s="16" t="s">
        <v>228</v>
      </c>
      <c r="D262" s="13"/>
      <c r="E262" s="16"/>
      <c r="F262" s="16"/>
      <c r="G262" s="16"/>
      <c r="H262" s="16"/>
      <c r="I262" s="108" t="s">
        <v>155</v>
      </c>
      <c r="J262" s="16"/>
      <c r="K262" s="16"/>
      <c r="L262" s="16"/>
    </row>
    <row r="263" spans="1:12">
      <c r="A263" s="1">
        <v>24</v>
      </c>
      <c r="B263" s="11"/>
      <c r="C263" s="16" t="s">
        <v>157</v>
      </c>
      <c r="D263" s="16"/>
      <c r="E263" s="16"/>
      <c r="F263" s="16"/>
      <c r="G263" s="16"/>
      <c r="H263" s="16"/>
      <c r="I263" s="109" t="s">
        <v>155</v>
      </c>
      <c r="J263" s="16"/>
      <c r="K263" s="16"/>
      <c r="L263" s="16"/>
    </row>
    <row r="264" spans="1:12" ht="16.5" thickBot="1">
      <c r="A264" s="1">
        <v>25</v>
      </c>
      <c r="B264" s="11"/>
      <c r="C264" s="16" t="s">
        <v>229</v>
      </c>
      <c r="D264" s="16"/>
      <c r="E264" s="16"/>
      <c r="F264" s="16"/>
      <c r="G264" s="16"/>
      <c r="H264" s="16"/>
      <c r="I264" s="110" t="s">
        <v>155</v>
      </c>
      <c r="J264" s="16"/>
      <c r="K264" s="16"/>
      <c r="L264" s="16"/>
    </row>
    <row r="265" spans="1:12">
      <c r="A265" s="1">
        <v>26</v>
      </c>
      <c r="B265" s="13"/>
      <c r="C265" s="16" t="s">
        <v>158</v>
      </c>
      <c r="D265" s="13" t="s">
        <v>159</v>
      </c>
      <c r="E265" s="13"/>
      <c r="F265" s="13"/>
      <c r="G265" s="13"/>
      <c r="H265" s="13"/>
      <c r="I265" s="48" t="s">
        <v>155</v>
      </c>
      <c r="J265" s="16"/>
      <c r="K265" s="16"/>
      <c r="L265" s="16"/>
    </row>
    <row r="266" spans="1:12">
      <c r="A266" s="1"/>
      <c r="B266" s="23"/>
      <c r="C266" s="16"/>
      <c r="D266" s="16"/>
      <c r="E266" s="16"/>
      <c r="F266" s="16"/>
      <c r="G266" s="48" t="s">
        <v>160</v>
      </c>
      <c r="H266" s="16"/>
      <c r="I266" s="16"/>
      <c r="J266" s="16"/>
      <c r="K266" s="16"/>
      <c r="L266" s="16"/>
    </row>
    <row r="267" spans="1:12" ht="16.5" thickBot="1">
      <c r="A267" s="1"/>
      <c r="B267" s="23"/>
      <c r="C267" s="16"/>
      <c r="D267" s="20" t="s">
        <v>134</v>
      </c>
      <c r="E267" s="20" t="s">
        <v>161</v>
      </c>
      <c r="F267" s="16"/>
      <c r="G267" s="20" t="s">
        <v>162</v>
      </c>
      <c r="H267" s="16"/>
      <c r="I267" s="20" t="s">
        <v>163</v>
      </c>
      <c r="J267" s="16"/>
      <c r="K267" s="16"/>
      <c r="L267" s="16"/>
    </row>
    <row r="268" spans="1:12">
      <c r="A268" s="1">
        <v>27</v>
      </c>
      <c r="B268" s="11" t="s">
        <v>260</v>
      </c>
      <c r="C268" s="10"/>
      <c r="D268" s="108">
        <v>0</v>
      </c>
      <c r="E268" s="111">
        <v>0.5</v>
      </c>
      <c r="F268" s="112"/>
      <c r="G268" s="115">
        <f>'Calc. of Wgt. Avg. Debt Rate'!H42</f>
        <v>4.5892369276282596E-2</v>
      </c>
      <c r="H268" s="10"/>
      <c r="I268" s="112">
        <f>E268*G268</f>
        <v>2.2946184638141298E-2</v>
      </c>
      <c r="J268" s="114" t="s">
        <v>164</v>
      </c>
      <c r="K268" s="10"/>
      <c r="L268" s="16"/>
    </row>
    <row r="269" spans="1:12">
      <c r="A269" s="1">
        <v>28</v>
      </c>
      <c r="B269" s="11" t="s">
        <v>230</v>
      </c>
      <c r="C269" s="10"/>
      <c r="D269" s="108">
        <v>0</v>
      </c>
      <c r="E269" s="111">
        <v>0</v>
      </c>
      <c r="F269" s="112"/>
      <c r="G269" s="113">
        <f>IF(D269&gt;0,I259/D269,0)</f>
        <v>0</v>
      </c>
      <c r="H269" s="10"/>
      <c r="I269" s="112">
        <f>E269*G269</f>
        <v>0</v>
      </c>
      <c r="J269" s="16"/>
      <c r="K269" s="10"/>
      <c r="L269" s="16"/>
    </row>
    <row r="270" spans="1:12" ht="16.5" thickBot="1">
      <c r="A270" s="1">
        <v>29</v>
      </c>
      <c r="B270" s="11" t="s">
        <v>165</v>
      </c>
      <c r="C270" s="10"/>
      <c r="D270" s="99">
        <v>0</v>
      </c>
      <c r="E270" s="111">
        <v>0.5</v>
      </c>
      <c r="F270" s="112"/>
      <c r="G270" s="115">
        <f>'Common Equity'!H15</f>
        <v>0.11840000000000001</v>
      </c>
      <c r="H270" s="10"/>
      <c r="I270" s="116">
        <f>E270*G270</f>
        <v>5.9200000000000003E-2</v>
      </c>
      <c r="J270" s="16"/>
      <c r="K270" s="10"/>
      <c r="L270" s="16"/>
    </row>
    <row r="271" spans="1:12">
      <c r="A271" s="1">
        <v>30</v>
      </c>
      <c r="B271" s="23" t="s">
        <v>166</v>
      </c>
      <c r="C271" s="10"/>
      <c r="D271" s="3">
        <f>SUM(D268:D270)</f>
        <v>0</v>
      </c>
      <c r="E271" s="16" t="s">
        <v>1</v>
      </c>
      <c r="F271" s="16"/>
      <c r="G271" s="16"/>
      <c r="H271" s="16"/>
      <c r="I271" s="112">
        <f>SUM(I268:I270)</f>
        <v>8.2146184638141301E-2</v>
      </c>
      <c r="J271" s="114" t="s">
        <v>167</v>
      </c>
      <c r="K271" s="10"/>
      <c r="L271" s="16"/>
    </row>
    <row r="272" spans="1:12" ht="11.25" customHeight="1">
      <c r="A272" s="10"/>
      <c r="B272" s="10"/>
      <c r="C272" s="10"/>
      <c r="D272" s="10"/>
      <c r="E272" s="16"/>
      <c r="F272" s="16"/>
      <c r="G272" s="16"/>
      <c r="H272" s="16"/>
      <c r="I272" s="10"/>
      <c r="J272" s="10"/>
      <c r="K272" s="10"/>
      <c r="L272" s="16"/>
    </row>
    <row r="273" spans="1:12">
      <c r="A273" s="1"/>
      <c r="B273" s="11" t="s">
        <v>168</v>
      </c>
      <c r="C273" s="13"/>
      <c r="D273" s="13"/>
      <c r="E273" s="13"/>
      <c r="F273" s="13"/>
      <c r="G273" s="13"/>
      <c r="H273" s="13"/>
      <c r="I273" s="13"/>
      <c r="J273" s="13"/>
      <c r="K273" s="13"/>
      <c r="L273" s="48"/>
    </row>
    <row r="274" spans="1:12" ht="11.25" customHeight="1" thickBot="1">
      <c r="A274" s="1"/>
      <c r="B274" s="11"/>
      <c r="C274" s="11"/>
      <c r="D274" s="11"/>
      <c r="E274" s="11"/>
      <c r="F274" s="11"/>
      <c r="G274" s="11"/>
      <c r="H274" s="11"/>
      <c r="I274" s="20" t="s">
        <v>169</v>
      </c>
      <c r="J274" s="117"/>
      <c r="K274" s="10"/>
      <c r="L274" s="10"/>
    </row>
    <row r="275" spans="1:12">
      <c r="A275" s="1"/>
      <c r="B275" s="11" t="s">
        <v>170</v>
      </c>
      <c r="C275" s="13"/>
      <c r="D275" s="13" t="s">
        <v>171</v>
      </c>
      <c r="E275" s="13" t="s">
        <v>172</v>
      </c>
      <c r="F275" s="13"/>
      <c r="G275" s="118" t="s">
        <v>1</v>
      </c>
      <c r="H275" s="119"/>
      <c r="I275" s="120"/>
      <c r="J275" s="120"/>
      <c r="K275" s="10"/>
      <c r="L275" s="10"/>
    </row>
    <row r="276" spans="1:12">
      <c r="A276" s="1">
        <v>31</v>
      </c>
      <c r="B276" s="10" t="s">
        <v>173</v>
      </c>
      <c r="C276" s="13"/>
      <c r="D276" s="13"/>
      <c r="E276" s="10"/>
      <c r="F276" s="13"/>
      <c r="G276" s="10"/>
      <c r="H276" s="119"/>
      <c r="I276" s="121">
        <v>0</v>
      </c>
      <c r="J276" s="122"/>
      <c r="K276" s="10"/>
      <c r="L276" s="10"/>
    </row>
    <row r="277" spans="1:12" ht="16.5" thickBot="1">
      <c r="A277" s="1">
        <v>32</v>
      </c>
      <c r="B277" s="68" t="s">
        <v>174</v>
      </c>
      <c r="C277" s="123"/>
      <c r="D277" s="159"/>
      <c r="E277" s="160"/>
      <c r="F277" s="160"/>
      <c r="G277" s="160"/>
      <c r="H277" s="13"/>
      <c r="I277" s="124">
        <v>0</v>
      </c>
      <c r="J277" s="125"/>
      <c r="K277" s="10"/>
      <c r="L277" s="10"/>
    </row>
    <row r="278" spans="1:12">
      <c r="A278" s="1">
        <v>33</v>
      </c>
      <c r="B278" s="10" t="s">
        <v>175</v>
      </c>
      <c r="C278" s="15"/>
      <c r="D278" s="10"/>
      <c r="E278" s="13"/>
      <c r="F278" s="13"/>
      <c r="G278" s="13"/>
      <c r="H278" s="13"/>
      <c r="I278" s="126">
        <f>I276-I277</f>
        <v>0</v>
      </c>
      <c r="J278" s="122"/>
      <c r="K278" s="10"/>
      <c r="L278" s="10"/>
    </row>
    <row r="279" spans="1:12" ht="11.25" customHeight="1">
      <c r="A279" s="1"/>
      <c r="B279" s="10"/>
      <c r="C279" s="15"/>
      <c r="D279" s="10"/>
      <c r="E279" s="13"/>
      <c r="F279" s="13"/>
      <c r="G279" s="13"/>
      <c r="H279" s="13"/>
      <c r="I279" s="127"/>
      <c r="J279" s="120"/>
      <c r="K279" s="10"/>
      <c r="L279" s="10"/>
    </row>
    <row r="280" spans="1:12">
      <c r="A280" s="1">
        <v>34</v>
      </c>
      <c r="B280" s="11" t="s">
        <v>261</v>
      </c>
      <c r="C280" s="15"/>
      <c r="D280" s="10"/>
      <c r="E280" s="13"/>
      <c r="F280" s="13"/>
      <c r="G280" s="129"/>
      <c r="H280" s="13"/>
      <c r="I280" s="130">
        <f>'Revenue Breakout'!C8</f>
        <v>1670030.24</v>
      </c>
      <c r="J280" s="120"/>
      <c r="K280" s="128"/>
      <c r="L280" s="48"/>
    </row>
    <row r="281" spans="1:12" ht="11.25" customHeight="1">
      <c r="A281" s="1"/>
      <c r="B281" s="10"/>
      <c r="C281" s="13"/>
      <c r="D281" s="13"/>
      <c r="E281" s="13"/>
      <c r="F281" s="13"/>
      <c r="G281" s="13"/>
      <c r="H281" s="13"/>
      <c r="I281" s="127"/>
      <c r="J281" s="120"/>
      <c r="K281" s="128"/>
      <c r="L281" s="48"/>
    </row>
    <row r="282" spans="1:12">
      <c r="A282" s="10"/>
      <c r="B282" s="11" t="s">
        <v>234</v>
      </c>
      <c r="C282" s="13"/>
      <c r="D282" s="13" t="s">
        <v>176</v>
      </c>
      <c r="E282" s="13"/>
      <c r="F282" s="13"/>
      <c r="G282" s="13"/>
      <c r="H282" s="13"/>
      <c r="I282" s="10"/>
      <c r="J282" s="10"/>
      <c r="K282" s="131"/>
      <c r="L282" s="48"/>
    </row>
    <row r="283" spans="1:12">
      <c r="A283" s="1">
        <v>35</v>
      </c>
      <c r="B283" s="11" t="s">
        <v>177</v>
      </c>
      <c r="C283" s="16"/>
      <c r="D283" s="16"/>
      <c r="E283" s="16"/>
      <c r="F283" s="16"/>
      <c r="G283" s="16"/>
      <c r="H283" s="16"/>
      <c r="I283" s="132">
        <f>'Revenue Breakout'!C22</f>
        <v>683191919.11000001</v>
      </c>
      <c r="J283" s="133"/>
      <c r="K283" s="131"/>
      <c r="L283" s="48"/>
    </row>
    <row r="284" spans="1:12">
      <c r="A284" s="1">
        <v>36</v>
      </c>
      <c r="B284" s="161" t="s">
        <v>178</v>
      </c>
      <c r="C284" s="160"/>
      <c r="D284" s="160"/>
      <c r="E284" s="160"/>
      <c r="F284" s="160"/>
      <c r="G284" s="13"/>
      <c r="H284" s="13"/>
      <c r="I284" s="132">
        <f>'Revenue Breakout'!C23</f>
        <v>567832519.49000001</v>
      </c>
      <c r="J284" s="10"/>
      <c r="K284" s="134"/>
      <c r="L284" s="1"/>
    </row>
    <row r="285" spans="1:12">
      <c r="A285" s="7" t="s">
        <v>269</v>
      </c>
      <c r="B285" s="183" t="s">
        <v>345</v>
      </c>
      <c r="C285" s="176"/>
      <c r="D285" s="160"/>
      <c r="E285" s="160"/>
      <c r="F285" s="160"/>
      <c r="G285" s="13"/>
      <c r="H285" s="13"/>
      <c r="I285" s="622">
        <f>+I206</f>
        <v>96094774.617580444</v>
      </c>
      <c r="J285" s="10"/>
      <c r="K285" s="134"/>
      <c r="L285" s="11"/>
    </row>
    <row r="286" spans="1:12" s="157" customFormat="1" ht="16.5" thickBot="1">
      <c r="A286" s="7" t="s">
        <v>323</v>
      </c>
      <c r="B286" s="174" t="s">
        <v>346</v>
      </c>
      <c r="C286" s="175"/>
      <c r="D286" s="176"/>
      <c r="E286" s="176"/>
      <c r="F286" s="176"/>
      <c r="G286" s="176"/>
      <c r="H286" s="6"/>
      <c r="I286" s="623">
        <f>+I210</f>
        <v>11491863.555168852</v>
      </c>
      <c r="J286" s="4"/>
      <c r="K286" s="162"/>
      <c r="L286" s="11"/>
    </row>
    <row r="287" spans="1:12">
      <c r="A287" s="1">
        <v>37</v>
      </c>
      <c r="B287" s="4" t="s">
        <v>324</v>
      </c>
      <c r="C287" s="1"/>
      <c r="D287" s="16"/>
      <c r="E287" s="16"/>
      <c r="F287" s="16"/>
      <c r="G287" s="16"/>
      <c r="H287" s="13"/>
      <c r="I287" s="136">
        <f>I283-I284-I285-I286</f>
        <v>7772761.4472507089</v>
      </c>
      <c r="J287" s="133"/>
      <c r="K287" s="137"/>
      <c r="L287" s="1"/>
    </row>
    <row r="288" spans="1:12">
      <c r="A288" s="1"/>
      <c r="B288" s="135"/>
      <c r="C288" s="1"/>
      <c r="D288" s="16"/>
      <c r="E288" s="16"/>
      <c r="F288" s="16"/>
      <c r="G288" s="16"/>
      <c r="H288" s="13"/>
      <c r="I288" s="136"/>
      <c r="J288" s="133"/>
      <c r="K288" s="137"/>
      <c r="L288" s="1"/>
    </row>
    <row r="289" spans="1:12">
      <c r="A289" s="1"/>
      <c r="B289" s="135"/>
      <c r="C289" s="1"/>
      <c r="D289" s="16"/>
      <c r="E289" s="16"/>
      <c r="F289" s="16"/>
      <c r="G289" s="16"/>
      <c r="H289" s="13"/>
      <c r="I289" s="136"/>
      <c r="J289" s="133"/>
      <c r="K289" s="137"/>
      <c r="L289" s="1"/>
    </row>
    <row r="290" spans="1:12">
      <c r="A290" s="1"/>
      <c r="B290" s="23"/>
      <c r="C290" s="15"/>
      <c r="D290" s="16"/>
      <c r="E290" s="16"/>
      <c r="F290" s="16"/>
      <c r="G290" s="16"/>
      <c r="H290" s="15"/>
      <c r="I290" s="16"/>
      <c r="J290" s="15"/>
      <c r="K290" s="72" t="s">
        <v>217</v>
      </c>
      <c r="L290" s="15"/>
    </row>
    <row r="291" spans="1:12">
      <c r="A291" s="1"/>
      <c r="B291" s="23"/>
      <c r="C291" s="15"/>
      <c r="D291" s="16"/>
      <c r="E291" s="16"/>
      <c r="F291" s="16"/>
      <c r="G291" s="16"/>
      <c r="H291" s="15"/>
      <c r="I291" s="16"/>
      <c r="J291" s="15"/>
      <c r="K291" s="16"/>
      <c r="L291" s="15"/>
    </row>
    <row r="292" spans="1:12">
      <c r="A292" s="1"/>
      <c r="B292" s="135" t="s">
        <v>0</v>
      </c>
      <c r="C292" s="1"/>
      <c r="D292" s="16" t="s">
        <v>284</v>
      </c>
      <c r="E292" s="16"/>
      <c r="F292" s="16"/>
      <c r="G292" s="16"/>
      <c r="H292" s="13"/>
      <c r="J292" s="120"/>
      <c r="K292" s="146" t="str">
        <f>K3</f>
        <v>For the 12 months ended 12/31/2016</v>
      </c>
      <c r="L292" s="1"/>
    </row>
    <row r="293" spans="1:12">
      <c r="A293" s="1"/>
      <c r="B293" s="135"/>
      <c r="C293" s="1"/>
      <c r="D293" s="16" t="s">
        <v>285</v>
      </c>
      <c r="E293" s="16"/>
      <c r="F293" s="16"/>
      <c r="G293" s="16"/>
      <c r="H293" s="13"/>
      <c r="I293" s="138"/>
      <c r="J293" s="120"/>
      <c r="K293" s="137"/>
      <c r="L293" s="1"/>
    </row>
    <row r="294" spans="1:12">
      <c r="A294" s="1"/>
      <c r="B294" s="135"/>
      <c r="C294" s="1"/>
      <c r="D294" s="16"/>
      <c r="E294" s="16"/>
      <c r="F294" s="16"/>
      <c r="G294" s="16"/>
      <c r="H294" s="13"/>
      <c r="I294" s="138"/>
      <c r="J294" s="120"/>
      <c r="K294" s="137"/>
      <c r="L294" s="1"/>
    </row>
    <row r="295" spans="1:12">
      <c r="A295" s="984" t="str">
        <f>A6</f>
        <v>American Transmission Company LLC</v>
      </c>
      <c r="B295" s="984"/>
      <c r="C295" s="984"/>
      <c r="D295" s="984"/>
      <c r="E295" s="984"/>
      <c r="F295" s="984"/>
      <c r="G295" s="984"/>
      <c r="H295" s="984"/>
      <c r="I295" s="984"/>
      <c r="J295" s="984"/>
      <c r="K295" s="984"/>
      <c r="L295" s="1"/>
    </row>
    <row r="296" spans="1:12">
      <c r="A296" s="1"/>
      <c r="B296" s="135"/>
      <c r="C296" s="1"/>
      <c r="D296" s="16"/>
      <c r="E296" s="16"/>
      <c r="F296" s="16"/>
      <c r="G296" s="16"/>
      <c r="H296" s="13"/>
      <c r="I296" s="138"/>
      <c r="J296" s="120"/>
      <c r="K296" s="137"/>
      <c r="L296" s="1"/>
    </row>
    <row r="297" spans="1:12">
      <c r="A297" s="1"/>
      <c r="B297" s="11" t="s">
        <v>179</v>
      </c>
      <c r="C297" s="1"/>
      <c r="D297" s="16"/>
      <c r="E297" s="16"/>
      <c r="F297" s="16"/>
      <c r="G297" s="16"/>
      <c r="H297" s="13"/>
      <c r="I297" s="16"/>
      <c r="J297" s="13"/>
      <c r="K297" s="16"/>
      <c r="L297" s="1"/>
    </row>
    <row r="298" spans="1:12">
      <c r="A298" s="1"/>
      <c r="B298" s="152" t="s">
        <v>283</v>
      </c>
      <c r="C298" s="1"/>
      <c r="D298" s="16"/>
      <c r="E298" s="16"/>
      <c r="F298" s="16"/>
      <c r="G298" s="16"/>
      <c r="H298" s="13"/>
      <c r="I298" s="16"/>
      <c r="J298" s="13"/>
      <c r="K298" s="16"/>
      <c r="L298" s="1"/>
    </row>
    <row r="299" spans="1:12">
      <c r="A299" s="1" t="s">
        <v>180</v>
      </c>
      <c r="B299" s="11"/>
      <c r="C299" s="13"/>
      <c r="D299" s="16"/>
      <c r="E299" s="16"/>
      <c r="F299" s="16"/>
      <c r="G299" s="16"/>
      <c r="H299" s="13"/>
      <c r="I299" s="16"/>
      <c r="J299" s="13"/>
      <c r="K299" s="16"/>
      <c r="L299" s="1"/>
    </row>
    <row r="300" spans="1:12" ht="16.5" thickBot="1">
      <c r="A300" s="20" t="s">
        <v>181</v>
      </c>
      <c r="B300" s="986"/>
      <c r="C300" s="986"/>
      <c r="D300" s="169"/>
      <c r="E300" s="169"/>
      <c r="F300" s="169"/>
      <c r="G300" s="169"/>
      <c r="H300" s="168"/>
      <c r="I300" s="169"/>
      <c r="J300" s="168"/>
      <c r="K300" s="169"/>
      <c r="L300" s="1"/>
    </row>
    <row r="301" spans="1:12" s="171" customFormat="1">
      <c r="A301" s="170" t="s">
        <v>182</v>
      </c>
      <c r="B301" s="979" t="s">
        <v>317</v>
      </c>
      <c r="C301" s="979"/>
      <c r="D301" s="979"/>
      <c r="E301" s="979"/>
      <c r="F301" s="979"/>
      <c r="G301" s="979"/>
      <c r="H301" s="979"/>
      <c r="I301" s="979"/>
      <c r="J301" s="979"/>
      <c r="K301" s="979"/>
      <c r="L301" s="165"/>
    </row>
    <row r="302" spans="1:12" s="171" customFormat="1">
      <c r="A302" s="170" t="s">
        <v>183</v>
      </c>
      <c r="B302" s="979" t="s">
        <v>318</v>
      </c>
      <c r="C302" s="979"/>
      <c r="D302" s="979"/>
      <c r="E302" s="979"/>
      <c r="F302" s="979"/>
      <c r="G302" s="979"/>
      <c r="H302" s="979"/>
      <c r="I302" s="979"/>
      <c r="J302" s="979"/>
      <c r="K302" s="979"/>
      <c r="L302" s="165"/>
    </row>
    <row r="303" spans="1:12" s="171" customFormat="1">
      <c r="A303" s="170" t="s">
        <v>184</v>
      </c>
      <c r="B303" s="979" t="s">
        <v>319</v>
      </c>
      <c r="C303" s="979"/>
      <c r="D303" s="979"/>
      <c r="E303" s="979"/>
      <c r="F303" s="979"/>
      <c r="G303" s="979"/>
      <c r="H303" s="979"/>
      <c r="I303" s="979"/>
      <c r="J303" s="979"/>
      <c r="K303" s="979"/>
      <c r="L303" s="172"/>
    </row>
    <row r="304" spans="1:12" s="171" customFormat="1">
      <c r="A304" s="170" t="s">
        <v>185</v>
      </c>
      <c r="B304" s="979" t="s">
        <v>319</v>
      </c>
      <c r="C304" s="979"/>
      <c r="D304" s="979"/>
      <c r="E304" s="979"/>
      <c r="F304" s="979"/>
      <c r="G304" s="979"/>
      <c r="H304" s="979"/>
      <c r="I304" s="979"/>
      <c r="J304" s="979"/>
      <c r="K304" s="979"/>
      <c r="L304" s="172"/>
    </row>
    <row r="305" spans="1:16" s="171" customFormat="1">
      <c r="A305" s="170" t="s">
        <v>186</v>
      </c>
      <c r="B305" s="979" t="s">
        <v>187</v>
      </c>
      <c r="C305" s="979"/>
      <c r="D305" s="979"/>
      <c r="E305" s="979"/>
      <c r="F305" s="979"/>
      <c r="G305" s="979"/>
      <c r="H305" s="979"/>
      <c r="I305" s="979"/>
      <c r="J305" s="979"/>
      <c r="K305" s="979"/>
      <c r="L305" s="165"/>
    </row>
    <row r="306" spans="1:16" s="171" customFormat="1" ht="66.75" customHeight="1">
      <c r="A306" s="170" t="s">
        <v>188</v>
      </c>
      <c r="B306" s="979" t="s">
        <v>313</v>
      </c>
      <c r="C306" s="979"/>
      <c r="D306" s="979"/>
      <c r="E306" s="979"/>
      <c r="F306" s="979"/>
      <c r="G306" s="979"/>
      <c r="H306" s="979"/>
      <c r="I306" s="979"/>
      <c r="J306" s="979"/>
      <c r="K306" s="979"/>
      <c r="L306" s="165"/>
    </row>
    <row r="307" spans="1:16" s="171" customFormat="1">
      <c r="A307" s="170" t="s">
        <v>189</v>
      </c>
      <c r="B307" s="979" t="s">
        <v>190</v>
      </c>
      <c r="C307" s="979"/>
      <c r="D307" s="979"/>
      <c r="E307" s="979"/>
      <c r="F307" s="979"/>
      <c r="G307" s="979"/>
      <c r="H307" s="979"/>
      <c r="I307" s="979"/>
      <c r="J307" s="979"/>
      <c r="K307" s="979"/>
      <c r="L307" s="165"/>
    </row>
    <row r="308" spans="1:16" s="171" customFormat="1" ht="32.25" customHeight="1">
      <c r="A308" s="170" t="s">
        <v>191</v>
      </c>
      <c r="B308" s="979" t="s">
        <v>280</v>
      </c>
      <c r="C308" s="979"/>
      <c r="D308" s="979"/>
      <c r="E308" s="979"/>
      <c r="F308" s="979"/>
      <c r="G308" s="979"/>
      <c r="H308" s="979"/>
      <c r="I308" s="979"/>
      <c r="J308" s="979"/>
      <c r="K308" s="979"/>
      <c r="L308" s="165"/>
    </row>
    <row r="309" spans="1:16" s="171" customFormat="1" ht="32.25" customHeight="1">
      <c r="A309" s="170" t="s">
        <v>192</v>
      </c>
      <c r="B309" s="979" t="s">
        <v>281</v>
      </c>
      <c r="C309" s="979"/>
      <c r="D309" s="979"/>
      <c r="E309" s="979"/>
      <c r="F309" s="979"/>
      <c r="G309" s="979"/>
      <c r="H309" s="979"/>
      <c r="I309" s="979"/>
      <c r="J309" s="979"/>
      <c r="K309" s="979"/>
      <c r="L309" s="165"/>
    </row>
    <row r="310" spans="1:16" s="171" customFormat="1" ht="32.25" customHeight="1">
      <c r="A310" s="170" t="s">
        <v>193</v>
      </c>
      <c r="B310" s="979" t="s">
        <v>282</v>
      </c>
      <c r="C310" s="979"/>
      <c r="D310" s="979"/>
      <c r="E310" s="979"/>
      <c r="F310" s="979"/>
      <c r="G310" s="979"/>
      <c r="H310" s="979"/>
      <c r="I310" s="979"/>
      <c r="J310" s="979"/>
      <c r="K310" s="979"/>
      <c r="L310" s="165"/>
    </row>
    <row r="311" spans="1:16" s="171" customFormat="1" ht="94.5" customHeight="1">
      <c r="A311" s="170" t="s">
        <v>194</v>
      </c>
      <c r="B311" s="979" t="s">
        <v>347</v>
      </c>
      <c r="C311" s="979"/>
      <c r="D311" s="979"/>
      <c r="E311" s="979"/>
      <c r="F311" s="979"/>
      <c r="G311" s="979"/>
      <c r="H311" s="979"/>
      <c r="I311" s="979"/>
      <c r="J311" s="979"/>
      <c r="K311" s="979"/>
      <c r="L311" s="165"/>
    </row>
    <row r="312" spans="1:16">
      <c r="A312" s="1" t="s">
        <v>1</v>
      </c>
      <c r="B312" s="34" t="s">
        <v>195</v>
      </c>
      <c r="C312" s="34" t="s">
        <v>196</v>
      </c>
      <c r="D312" s="140">
        <v>0.35</v>
      </c>
      <c r="E312" s="34"/>
      <c r="F312" s="34"/>
      <c r="G312" s="34"/>
      <c r="H312" s="34"/>
      <c r="I312" s="34"/>
      <c r="J312" s="34"/>
      <c r="K312" s="34"/>
      <c r="L312" s="2"/>
      <c r="P312" s="141"/>
    </row>
    <row r="313" spans="1:16">
      <c r="A313" s="1"/>
      <c r="B313" s="34"/>
      <c r="C313" s="34" t="s">
        <v>197</v>
      </c>
      <c r="D313" s="140">
        <f>SIT!D17</f>
        <v>7.5071516700000007E-2</v>
      </c>
      <c r="E313" s="34" t="s">
        <v>271</v>
      </c>
      <c r="F313" s="34"/>
      <c r="G313" s="34"/>
      <c r="H313" s="34"/>
      <c r="I313" s="34"/>
      <c r="J313" s="34"/>
      <c r="K313" s="34"/>
      <c r="L313" s="2"/>
      <c r="P313" s="141"/>
    </row>
    <row r="314" spans="1:16">
      <c r="A314" s="1"/>
      <c r="B314" s="34"/>
      <c r="C314" s="34" t="s">
        <v>198</v>
      </c>
      <c r="D314" s="140">
        <v>0</v>
      </c>
      <c r="E314" s="34" t="s">
        <v>272</v>
      </c>
      <c r="F314" s="34"/>
      <c r="G314" s="34"/>
      <c r="H314" s="34"/>
      <c r="I314" s="34"/>
      <c r="J314" s="34"/>
      <c r="K314" s="34"/>
      <c r="L314" s="2"/>
      <c r="P314" s="141"/>
    </row>
    <row r="315" spans="1:16">
      <c r="A315" s="1"/>
      <c r="B315" s="34"/>
      <c r="C315" s="34" t="s">
        <v>199</v>
      </c>
      <c r="D315" s="140">
        <f>TEP!C20</f>
        <v>7.5916181956902209E-2</v>
      </c>
      <c r="E315" s="34" t="s">
        <v>273</v>
      </c>
      <c r="F315" s="34"/>
      <c r="G315" s="34"/>
      <c r="H315" s="34"/>
      <c r="I315" s="34"/>
      <c r="J315" s="34"/>
      <c r="K315" s="34"/>
      <c r="L315" s="2"/>
      <c r="P315" s="141"/>
    </row>
    <row r="316" spans="1:16" s="139" customFormat="1" ht="50.25" customHeight="1">
      <c r="A316" s="165" t="s">
        <v>200</v>
      </c>
      <c r="B316" s="979" t="s">
        <v>316</v>
      </c>
      <c r="C316" s="979"/>
      <c r="D316" s="979"/>
      <c r="E316" s="979"/>
      <c r="F316" s="979"/>
      <c r="G316" s="979"/>
      <c r="H316" s="979"/>
      <c r="I316" s="979"/>
      <c r="J316" s="979"/>
      <c r="K316" s="979"/>
      <c r="L316" s="2"/>
    </row>
    <row r="317" spans="1:16" s="139" customFormat="1" ht="32.25" customHeight="1">
      <c r="A317" s="165" t="s">
        <v>201</v>
      </c>
      <c r="B317" s="979" t="s">
        <v>276</v>
      </c>
      <c r="C317" s="979"/>
      <c r="D317" s="979"/>
      <c r="E317" s="979"/>
      <c r="F317" s="979"/>
      <c r="G317" s="979"/>
      <c r="H317" s="979"/>
      <c r="I317" s="979"/>
      <c r="J317" s="979"/>
      <c r="K317" s="979"/>
      <c r="L317" s="2"/>
    </row>
    <row r="318" spans="1:16" s="139" customFormat="1" ht="51" customHeight="1">
      <c r="A318" s="165" t="s">
        <v>202</v>
      </c>
      <c r="B318" s="979" t="s">
        <v>314</v>
      </c>
      <c r="C318" s="979"/>
      <c r="D318" s="979"/>
      <c r="E318" s="979"/>
      <c r="F318" s="979"/>
      <c r="G318" s="979"/>
      <c r="H318" s="979"/>
      <c r="I318" s="979"/>
      <c r="J318" s="979"/>
      <c r="K318" s="979"/>
      <c r="L318" s="2"/>
    </row>
    <row r="319" spans="1:16" s="139" customFormat="1">
      <c r="A319" s="165" t="s">
        <v>203</v>
      </c>
      <c r="B319" s="979" t="s">
        <v>204</v>
      </c>
      <c r="C319" s="979"/>
      <c r="D319" s="979"/>
      <c r="E319" s="979"/>
      <c r="F319" s="979"/>
      <c r="G319" s="979"/>
      <c r="H319" s="979"/>
      <c r="I319" s="979"/>
      <c r="J319" s="979"/>
      <c r="K319" s="979"/>
      <c r="L319" s="2"/>
    </row>
    <row r="320" spans="1:16" s="139" customFormat="1" ht="51" customHeight="1">
      <c r="A320" s="165" t="s">
        <v>205</v>
      </c>
      <c r="B320" s="979" t="s">
        <v>681</v>
      </c>
      <c r="C320" s="979"/>
      <c r="D320" s="979"/>
      <c r="E320" s="979"/>
      <c r="F320" s="979"/>
      <c r="G320" s="979"/>
      <c r="H320" s="979"/>
      <c r="I320" s="979"/>
      <c r="J320" s="979"/>
      <c r="K320" s="979"/>
      <c r="L320" s="2"/>
    </row>
    <row r="321" spans="1:12" s="139" customFormat="1" ht="32.25" customHeight="1">
      <c r="A321" s="165" t="s">
        <v>206</v>
      </c>
      <c r="B321" s="979" t="s">
        <v>277</v>
      </c>
      <c r="C321" s="979"/>
      <c r="D321" s="979"/>
      <c r="E321" s="979"/>
      <c r="F321" s="979"/>
      <c r="G321" s="979"/>
      <c r="H321" s="979"/>
      <c r="I321" s="979"/>
      <c r="J321" s="979"/>
      <c r="K321" s="979"/>
      <c r="L321" s="2"/>
    </row>
    <row r="322" spans="1:12" s="139" customFormat="1">
      <c r="A322" s="165" t="s">
        <v>207</v>
      </c>
      <c r="B322" s="979" t="s">
        <v>208</v>
      </c>
      <c r="C322" s="979"/>
      <c r="D322" s="979"/>
      <c r="E322" s="979"/>
      <c r="F322" s="979"/>
      <c r="G322" s="979"/>
      <c r="H322" s="979"/>
      <c r="I322" s="979"/>
      <c r="J322" s="979"/>
      <c r="K322" s="979"/>
      <c r="L322" s="2"/>
    </row>
    <row r="323" spans="1:12" s="139" customFormat="1" ht="48" customHeight="1">
      <c r="A323" s="165" t="s">
        <v>209</v>
      </c>
      <c r="B323" s="979" t="s">
        <v>278</v>
      </c>
      <c r="C323" s="979"/>
      <c r="D323" s="979"/>
      <c r="E323" s="979"/>
      <c r="F323" s="979"/>
      <c r="G323" s="979"/>
      <c r="H323" s="979"/>
      <c r="I323" s="979"/>
      <c r="J323" s="979"/>
      <c r="K323" s="979"/>
      <c r="L323" s="2"/>
    </row>
    <row r="324" spans="1:12" s="139" customFormat="1" ht="62.25" customHeight="1">
      <c r="A324" s="166" t="s">
        <v>210</v>
      </c>
      <c r="B324" s="985" t="s">
        <v>301</v>
      </c>
      <c r="C324" s="981"/>
      <c r="D324" s="981"/>
      <c r="E324" s="981"/>
      <c r="F324" s="981"/>
      <c r="G324" s="981"/>
      <c r="H324" s="981"/>
      <c r="I324" s="981"/>
      <c r="J324" s="981"/>
      <c r="K324" s="981"/>
      <c r="L324" s="88"/>
    </row>
    <row r="325" spans="1:12" s="139" customFormat="1" ht="32.25" customHeight="1">
      <c r="A325" s="166" t="s">
        <v>211</v>
      </c>
      <c r="B325" s="981" t="s">
        <v>279</v>
      </c>
      <c r="C325" s="981"/>
      <c r="D325" s="981"/>
      <c r="E325" s="981"/>
      <c r="F325" s="981"/>
      <c r="G325" s="981"/>
      <c r="H325" s="981"/>
      <c r="I325" s="981"/>
      <c r="J325" s="981"/>
      <c r="K325" s="981"/>
      <c r="L325" s="88"/>
    </row>
    <row r="326" spans="1:12" s="139" customFormat="1">
      <c r="A326" s="167" t="s">
        <v>219</v>
      </c>
      <c r="B326" s="987" t="s">
        <v>315</v>
      </c>
      <c r="C326" s="978"/>
      <c r="D326" s="978"/>
      <c r="E326" s="978"/>
      <c r="F326" s="978"/>
      <c r="G326" s="978"/>
      <c r="H326" s="978"/>
      <c r="I326" s="978"/>
      <c r="J326" s="978"/>
      <c r="K326" s="978"/>
      <c r="L326" s="2"/>
    </row>
    <row r="327" spans="1:12" s="139" customFormat="1">
      <c r="A327" s="167" t="s">
        <v>233</v>
      </c>
      <c r="B327" s="978" t="s">
        <v>336</v>
      </c>
      <c r="C327" s="978"/>
      <c r="D327" s="978"/>
      <c r="E327" s="978"/>
      <c r="F327" s="978"/>
      <c r="G327" s="978"/>
      <c r="H327" s="978"/>
      <c r="I327" s="978"/>
      <c r="J327" s="978"/>
      <c r="K327" s="978"/>
      <c r="L327" s="2"/>
    </row>
    <row r="328" spans="1:12" s="164" customFormat="1" ht="32.25" customHeight="1">
      <c r="A328" s="177" t="s">
        <v>270</v>
      </c>
      <c r="B328" s="978" t="s">
        <v>348</v>
      </c>
      <c r="C328" s="978"/>
      <c r="D328" s="978"/>
      <c r="E328" s="978"/>
      <c r="F328" s="978"/>
      <c r="G328" s="978"/>
      <c r="H328" s="978"/>
      <c r="I328" s="978"/>
      <c r="J328" s="978"/>
      <c r="K328" s="978"/>
      <c r="L328" s="171"/>
    </row>
    <row r="329" spans="1:12" s="163" customFormat="1" ht="32.25" customHeight="1">
      <c r="A329" s="177" t="s">
        <v>286</v>
      </c>
      <c r="B329" s="978" t="s">
        <v>349</v>
      </c>
      <c r="C329" s="978"/>
      <c r="D329" s="978"/>
      <c r="E329" s="978"/>
      <c r="F329" s="978"/>
      <c r="G329" s="978"/>
      <c r="H329" s="978"/>
      <c r="I329" s="978"/>
      <c r="J329" s="978"/>
      <c r="K329" s="978"/>
      <c r="L329" s="171"/>
    </row>
    <row r="330" spans="1:12" ht="15.75" customHeight="1">
      <c r="A330" s="142" t="s">
        <v>291</v>
      </c>
      <c r="B330" s="978" t="s">
        <v>293</v>
      </c>
      <c r="C330" s="978"/>
      <c r="D330" s="978"/>
      <c r="E330" s="978"/>
      <c r="F330" s="978"/>
      <c r="G330" s="978"/>
      <c r="H330" s="978"/>
      <c r="I330" s="978"/>
      <c r="J330" s="978"/>
      <c r="K330" s="978"/>
      <c r="L330" s="1"/>
    </row>
    <row r="331" spans="1:12" ht="33.75" customHeight="1">
      <c r="A331" s="177" t="s">
        <v>325</v>
      </c>
      <c r="B331" s="978" t="s">
        <v>350</v>
      </c>
      <c r="C331" s="978"/>
      <c r="D331" s="978"/>
      <c r="E331" s="978"/>
      <c r="F331" s="978"/>
      <c r="G331" s="978"/>
      <c r="H331" s="978"/>
      <c r="I331" s="978"/>
      <c r="J331" s="978"/>
      <c r="K331" s="978"/>
      <c r="L331" s="1"/>
    </row>
    <row r="332" spans="1:12" ht="36" customHeight="1">
      <c r="A332" s="177" t="s">
        <v>326</v>
      </c>
      <c r="B332" s="978" t="s">
        <v>351</v>
      </c>
      <c r="C332" s="978"/>
      <c r="D332" s="978"/>
      <c r="E332" s="978"/>
      <c r="F332" s="978"/>
      <c r="G332" s="978"/>
      <c r="H332" s="978"/>
      <c r="I332" s="978"/>
      <c r="J332" s="978"/>
      <c r="K332" s="978"/>
      <c r="L332" s="1"/>
    </row>
    <row r="333" spans="1:12">
      <c r="A333" s="142" t="s">
        <v>337</v>
      </c>
      <c r="B333" s="143" t="s">
        <v>338</v>
      </c>
      <c r="C333" s="6"/>
      <c r="D333" s="6"/>
      <c r="E333" s="6"/>
      <c r="F333" s="6"/>
      <c r="G333" s="6"/>
      <c r="H333" s="13"/>
      <c r="I333" s="136"/>
      <c r="J333" s="133"/>
      <c r="K333" s="137"/>
      <c r="L333" s="1"/>
    </row>
    <row r="334" spans="1:12">
      <c r="A334" s="142"/>
      <c r="B334" s="143"/>
      <c r="C334" s="6"/>
      <c r="D334" s="6"/>
      <c r="E334" s="6"/>
      <c r="F334" s="6"/>
      <c r="G334" s="6"/>
      <c r="H334" s="13"/>
      <c r="I334" s="136"/>
      <c r="J334" s="133"/>
      <c r="K334" s="137"/>
      <c r="L334" s="1"/>
    </row>
    <row r="335" spans="1:12">
      <c r="A335" s="142"/>
      <c r="B335" s="143"/>
      <c r="C335" s="6"/>
      <c r="D335" s="6"/>
      <c r="E335" s="6"/>
      <c r="F335" s="6"/>
      <c r="G335" s="6"/>
      <c r="H335" s="13"/>
      <c r="I335" s="136"/>
      <c r="J335" s="133"/>
      <c r="K335" s="137"/>
      <c r="L335" s="1"/>
    </row>
    <row r="336" spans="1:12">
      <c r="A336" s="142"/>
      <c r="B336" s="143"/>
      <c r="C336" s="6"/>
      <c r="D336" s="6"/>
      <c r="E336" s="6"/>
      <c r="F336" s="6"/>
      <c r="G336" s="6"/>
      <c r="H336" s="13"/>
      <c r="I336" s="136"/>
      <c r="J336" s="133"/>
      <c r="K336" s="137"/>
      <c r="L336" s="1"/>
    </row>
    <row r="337" spans="1:12">
      <c r="A337" s="142"/>
      <c r="B337" s="143"/>
      <c r="C337" s="6"/>
      <c r="D337" s="6"/>
      <c r="E337" s="6"/>
      <c r="F337" s="6"/>
      <c r="G337" s="6"/>
      <c r="H337" s="13"/>
      <c r="I337" s="136"/>
      <c r="J337" s="133"/>
      <c r="K337" s="137"/>
      <c r="L337" s="1"/>
    </row>
  </sheetData>
  <customSheetViews>
    <customSheetView guid="{26693155-D691-4427-8747-8AAE3A06AD6E}" showPageBreaks="1" printArea="1" view="pageBreakPreview" showRuler="0" topLeftCell="A328">
      <selection activeCell="B343" sqref="B343:K343"/>
      <rowBreaks count="4" manualBreakCount="4">
        <brk id="79" max="16383" man="1"/>
        <brk id="155" max="13" man="1"/>
        <brk id="231" max="13" man="1"/>
        <brk id="311" max="13" man="1"/>
      </rowBreaks>
      <pageMargins left="1" right="1" top="1" bottom="1" header="0.5" footer="0.5"/>
      <printOptions horizontalCentered="1"/>
      <pageSetup scale="53" fitToHeight="0" orientation="portrait" r:id="rId1"/>
      <headerFooter alignWithMargins="0"/>
    </customSheetView>
  </customSheetViews>
  <mergeCells count="36">
    <mergeCell ref="B320:K320"/>
    <mergeCell ref="B317:K317"/>
    <mergeCell ref="B324:K324"/>
    <mergeCell ref="B205:C205"/>
    <mergeCell ref="B331:K331"/>
    <mergeCell ref="B300:C300"/>
    <mergeCell ref="B319:K319"/>
    <mergeCell ref="B307:K307"/>
    <mergeCell ref="B318:K318"/>
    <mergeCell ref="B329:K329"/>
    <mergeCell ref="B328:K328"/>
    <mergeCell ref="B327:K327"/>
    <mergeCell ref="B326:K326"/>
    <mergeCell ref="B322:K322"/>
    <mergeCell ref="B321:K321"/>
    <mergeCell ref="A6:K6"/>
    <mergeCell ref="A80:K80"/>
    <mergeCell ref="A151:K151"/>
    <mergeCell ref="A221:K221"/>
    <mergeCell ref="A295:K295"/>
    <mergeCell ref="B332:K332"/>
    <mergeCell ref="B303:K303"/>
    <mergeCell ref="B209:C209"/>
    <mergeCell ref="B302:K302"/>
    <mergeCell ref="B301:K301"/>
    <mergeCell ref="B306:K306"/>
    <mergeCell ref="B305:K305"/>
    <mergeCell ref="B304:K304"/>
    <mergeCell ref="B316:K316"/>
    <mergeCell ref="B311:K311"/>
    <mergeCell ref="B310:K310"/>
    <mergeCell ref="B309:K309"/>
    <mergeCell ref="B308:K308"/>
    <mergeCell ref="B323:K323"/>
    <mergeCell ref="B330:K330"/>
    <mergeCell ref="B325:K325"/>
  </mergeCells>
  <phoneticPr fontId="0" type="noConversion"/>
  <pageMargins left="0.5" right="0.5" top="0.75" bottom="0.75" header="0.5" footer="0.5"/>
  <pageSetup scale="60" fitToHeight="0" orientation="portrait" r:id="rId2"/>
  <headerFooter alignWithMargins="0">
    <oddFooter>&amp;RV32
EFF 01.06.15</oddFooter>
  </headerFooter>
  <rowBreaks count="4" manualBreakCount="4">
    <brk id="74" max="10" man="1"/>
    <brk id="145" max="10" man="1"/>
    <brk id="215" max="10" man="1"/>
    <brk id="289" max="10" man="1"/>
  </rowBreaks>
  <ignoredErrors>
    <ignoredError sqref="C91 C10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9"/>
  <sheetViews>
    <sheetView showGridLines="0" zoomScale="70" zoomScaleNormal="70" zoomScaleSheetLayoutView="70" workbookViewId="0">
      <pane xSplit="2" topLeftCell="C1" activePane="topRight" state="frozen"/>
      <selection activeCell="G26" sqref="G26"/>
      <selection pane="topRight" activeCell="K38" sqref="K38"/>
    </sheetView>
  </sheetViews>
  <sheetFormatPr defaultColWidth="11.42578125" defaultRowHeight="15" outlineLevelRow="1" outlineLevelCol="1"/>
  <cols>
    <col min="1" max="1" width="15" style="635" customWidth="1"/>
    <col min="2" max="2" width="67" style="635" bestFit="1" customWidth="1"/>
    <col min="3" max="3" width="18.5703125" style="635" hidden="1" customWidth="1" outlineLevel="1"/>
    <col min="4" max="4" width="15.28515625" style="635" hidden="1" customWidth="1" outlineLevel="1"/>
    <col min="5" max="5" width="18" style="679" hidden="1" customWidth="1" outlineLevel="1"/>
    <col min="6" max="6" width="17.85546875" style="635" hidden="1" customWidth="1" outlineLevel="1"/>
    <col min="7" max="7" width="16.42578125" style="635" hidden="1" customWidth="1" outlineLevel="1"/>
    <col min="8" max="8" width="18" style="635" hidden="1" customWidth="1" outlineLevel="1"/>
    <col min="9" max="10" width="17.42578125" style="635" hidden="1" customWidth="1" outlineLevel="1"/>
    <col min="11" max="11" width="20.5703125" style="635" customWidth="1" collapsed="1"/>
    <col min="12" max="12" width="16.42578125" style="635" customWidth="1"/>
    <col min="13" max="14" width="17.85546875" style="635" customWidth="1"/>
    <col min="15" max="15" width="2.7109375" style="635" customWidth="1"/>
    <col min="16" max="17" width="17.85546875" style="635" customWidth="1"/>
    <col min="18" max="18" width="2.7109375" style="635" customWidth="1"/>
    <col min="19" max="19" width="18.5703125" style="635" hidden="1" customWidth="1" outlineLevel="1"/>
    <col min="20" max="20" width="15.28515625" style="635" hidden="1" customWidth="1" outlineLevel="1"/>
    <col min="21" max="21" width="18" style="679" hidden="1" customWidth="1" outlineLevel="1"/>
    <col min="22" max="22" width="17.85546875" style="635" hidden="1" customWidth="1" outlineLevel="1"/>
    <col min="23" max="23" width="16.42578125" style="635" hidden="1" customWidth="1" outlineLevel="1"/>
    <col min="24" max="24" width="18" style="635" hidden="1" customWidth="1" outlineLevel="1"/>
    <col min="25" max="26" width="17.42578125" style="635" hidden="1" customWidth="1" outlineLevel="1"/>
    <col min="27" max="27" width="20.5703125" style="635" customWidth="1" collapsed="1"/>
    <col min="28" max="29" width="17.85546875" style="635" customWidth="1"/>
    <col min="30" max="30" width="2.7109375" style="635" customWidth="1"/>
    <col min="31" max="33" width="17.85546875" style="635" customWidth="1"/>
    <col min="34" max="34" width="2.7109375" style="635" customWidth="1"/>
    <col min="35" max="35" width="17.85546875" style="635" customWidth="1"/>
    <col min="36" max="36" width="14.7109375" style="635" customWidth="1"/>
    <col min="37" max="37" width="11.42578125" style="635" customWidth="1"/>
    <col min="38" max="16384" width="11.42578125" style="635"/>
  </cols>
  <sheetData>
    <row r="1" spans="1:36" ht="15.75" hidden="1" outlineLevel="1">
      <c r="A1" s="626"/>
      <c r="B1" s="627" t="s">
        <v>353</v>
      </c>
      <c r="C1" s="627"/>
      <c r="D1" s="627"/>
      <c r="E1" s="627"/>
      <c r="F1" s="628" t="s">
        <v>354</v>
      </c>
      <c r="G1" s="629"/>
      <c r="H1" s="629"/>
      <c r="I1" s="629"/>
      <c r="J1" s="629"/>
      <c r="K1" s="630"/>
      <c r="L1" s="631"/>
      <c r="M1" s="629"/>
      <c r="N1" s="629"/>
      <c r="O1" s="632"/>
      <c r="P1" s="633"/>
      <c r="Q1" s="632"/>
      <c r="R1" s="630"/>
      <c r="S1" s="629"/>
      <c r="T1" s="629"/>
      <c r="U1" s="634"/>
      <c r="V1" s="628" t="s">
        <v>354</v>
      </c>
      <c r="W1" s="629"/>
      <c r="X1" s="629"/>
      <c r="Y1" s="629"/>
      <c r="Z1" s="629"/>
      <c r="AA1" s="630"/>
      <c r="AB1" s="631"/>
      <c r="AC1" s="629"/>
      <c r="AD1" s="632"/>
      <c r="AE1" s="633"/>
      <c r="AF1" s="633"/>
      <c r="AG1" s="633"/>
      <c r="AI1" s="636"/>
      <c r="AJ1" s="637"/>
    </row>
    <row r="2" spans="1:36" ht="15.75" hidden="1" outlineLevel="1">
      <c r="A2" s="626"/>
      <c r="B2" s="627"/>
      <c r="C2" s="627"/>
      <c r="D2" s="638" t="s">
        <v>1</v>
      </c>
      <c r="E2" s="638"/>
      <c r="F2" s="639" t="s">
        <v>792</v>
      </c>
      <c r="G2" s="629"/>
      <c r="H2" s="629"/>
      <c r="I2" s="629"/>
      <c r="J2" s="629"/>
      <c r="K2" s="630"/>
      <c r="L2" s="631"/>
      <c r="M2" s="629"/>
      <c r="N2" s="629"/>
      <c r="O2" s="632"/>
      <c r="P2" s="633"/>
      <c r="Q2" s="632"/>
      <c r="R2" s="630"/>
      <c r="S2" s="629"/>
      <c r="T2" s="629"/>
      <c r="U2" s="634"/>
      <c r="V2" s="640" t="s">
        <v>792</v>
      </c>
      <c r="W2" s="629"/>
      <c r="X2" s="629"/>
      <c r="Y2" s="629"/>
      <c r="Z2" s="629"/>
      <c r="AA2" s="630"/>
      <c r="AB2" s="631"/>
      <c r="AC2" s="629"/>
      <c r="AD2" s="632"/>
      <c r="AE2" s="633"/>
      <c r="AF2" s="633"/>
      <c r="AG2" s="633"/>
      <c r="AI2" s="636"/>
      <c r="AJ2" s="637"/>
    </row>
    <row r="3" spans="1:36" ht="15.75" hidden="1" outlineLevel="1">
      <c r="A3" s="626"/>
      <c r="B3" s="641"/>
      <c r="C3" s="629"/>
      <c r="D3" s="629"/>
      <c r="E3" s="634"/>
      <c r="F3" s="629"/>
      <c r="G3" s="629"/>
      <c r="H3" s="629"/>
      <c r="I3" s="629"/>
      <c r="J3" s="629"/>
      <c r="K3" s="630"/>
      <c r="L3" s="631"/>
      <c r="M3" s="629"/>
      <c r="N3" s="629"/>
      <c r="O3" s="632"/>
      <c r="P3" s="633"/>
      <c r="Q3" s="632"/>
      <c r="R3" s="630"/>
      <c r="S3" s="629"/>
      <c r="T3" s="629"/>
      <c r="U3" s="634"/>
      <c r="V3" s="629"/>
      <c r="W3" s="629"/>
      <c r="X3" s="629"/>
      <c r="Y3" s="629"/>
      <c r="Z3" s="629"/>
      <c r="AA3" s="630"/>
      <c r="AB3" s="631"/>
      <c r="AC3" s="629"/>
      <c r="AD3" s="632"/>
      <c r="AE3" s="633"/>
      <c r="AF3" s="633"/>
      <c r="AG3" s="633"/>
      <c r="AI3" s="636"/>
      <c r="AJ3" s="637"/>
    </row>
    <row r="4" spans="1:36" ht="15.75" hidden="1" outlineLevel="1">
      <c r="A4" s="626"/>
      <c r="B4" s="642" t="s">
        <v>49</v>
      </c>
      <c r="C4" s="629"/>
      <c r="D4" s="642" t="s">
        <v>50</v>
      </c>
      <c r="E4" s="634"/>
      <c r="F4" s="642" t="s">
        <v>51</v>
      </c>
      <c r="G4" s="629"/>
      <c r="H4" s="629"/>
      <c r="I4" s="629"/>
      <c r="J4" s="629"/>
      <c r="K4" s="630"/>
      <c r="L4" s="643" t="s">
        <v>52</v>
      </c>
      <c r="M4" s="629"/>
      <c r="N4" s="629"/>
      <c r="O4" s="632"/>
      <c r="P4" s="633"/>
      <c r="Q4" s="632"/>
      <c r="R4" s="630"/>
      <c r="S4" s="629"/>
      <c r="T4" s="642" t="s">
        <v>50</v>
      </c>
      <c r="U4" s="634"/>
      <c r="V4" s="642" t="s">
        <v>51</v>
      </c>
      <c r="W4" s="629"/>
      <c r="X4" s="629"/>
      <c r="Y4" s="629"/>
      <c r="Z4" s="629"/>
      <c r="AA4" s="630"/>
      <c r="AB4" s="643" t="s">
        <v>52</v>
      </c>
      <c r="AC4" s="629"/>
      <c r="AD4" s="632"/>
      <c r="AE4" s="633"/>
      <c r="AF4" s="633"/>
      <c r="AG4" s="633"/>
      <c r="AI4" s="636"/>
      <c r="AJ4" s="637"/>
    </row>
    <row r="5" spans="1:36" ht="15.75" hidden="1" outlineLevel="1">
      <c r="A5" s="626"/>
      <c r="B5" s="641"/>
      <c r="C5" s="629"/>
      <c r="D5" s="644" t="s">
        <v>793</v>
      </c>
      <c r="E5" s="634"/>
      <c r="F5" s="645"/>
      <c r="G5" s="629"/>
      <c r="H5" s="629"/>
      <c r="I5" s="629"/>
      <c r="J5" s="629"/>
      <c r="K5" s="630"/>
      <c r="L5" s="646"/>
      <c r="M5" s="629"/>
      <c r="N5" s="629"/>
      <c r="O5" s="632"/>
      <c r="P5" s="633"/>
      <c r="Q5" s="632"/>
      <c r="R5" s="630"/>
      <c r="S5" s="629"/>
      <c r="T5" s="644" t="s">
        <v>793</v>
      </c>
      <c r="U5" s="634"/>
      <c r="V5" s="645"/>
      <c r="W5" s="629"/>
      <c r="X5" s="629"/>
      <c r="Y5" s="629"/>
      <c r="Z5" s="629"/>
      <c r="AA5" s="630"/>
      <c r="AB5" s="646"/>
      <c r="AC5" s="629"/>
      <c r="AD5" s="632"/>
      <c r="AE5" s="633"/>
      <c r="AF5" s="633"/>
      <c r="AG5" s="633"/>
      <c r="AI5" s="636"/>
      <c r="AJ5" s="637"/>
    </row>
    <row r="6" spans="1:36" ht="15.75" hidden="1" outlineLevel="1">
      <c r="A6" s="626"/>
      <c r="B6" s="641"/>
      <c r="C6" s="629"/>
      <c r="D6" s="647" t="s">
        <v>56</v>
      </c>
      <c r="E6" s="634"/>
      <c r="F6" s="648" t="s">
        <v>55</v>
      </c>
      <c r="G6" s="629"/>
      <c r="H6" s="629"/>
      <c r="I6" s="629"/>
      <c r="J6" s="629"/>
      <c r="K6" s="630"/>
      <c r="L6" s="648" t="s">
        <v>11</v>
      </c>
      <c r="M6" s="629"/>
      <c r="N6" s="629"/>
      <c r="O6" s="632"/>
      <c r="P6" s="633"/>
      <c r="Q6" s="632"/>
      <c r="R6" s="630"/>
      <c r="S6" s="629"/>
      <c r="T6" s="647" t="s">
        <v>56</v>
      </c>
      <c r="U6" s="634"/>
      <c r="V6" s="648" t="s">
        <v>55</v>
      </c>
      <c r="W6" s="629"/>
      <c r="X6" s="629"/>
      <c r="Y6" s="629"/>
      <c r="Z6" s="629"/>
      <c r="AA6" s="630"/>
      <c r="AB6" s="648" t="s">
        <v>11</v>
      </c>
      <c r="AC6" s="629"/>
      <c r="AD6" s="632"/>
      <c r="AE6" s="633"/>
      <c r="AF6" s="633"/>
      <c r="AG6" s="633"/>
      <c r="AI6" s="636"/>
      <c r="AJ6" s="637"/>
    </row>
    <row r="7" spans="1:36" ht="15.75" hidden="1" outlineLevel="1">
      <c r="A7" s="626"/>
      <c r="B7" s="641"/>
      <c r="C7" s="629"/>
      <c r="D7" s="629"/>
      <c r="E7" s="634"/>
      <c r="F7" s="629"/>
      <c r="G7" s="629"/>
      <c r="H7" s="629"/>
      <c r="I7" s="629"/>
      <c r="J7" s="629"/>
      <c r="K7" s="630"/>
      <c r="L7" s="631"/>
      <c r="M7" s="629"/>
      <c r="N7" s="629"/>
      <c r="O7" s="632"/>
      <c r="P7" s="633"/>
      <c r="Q7" s="632"/>
      <c r="R7" s="630"/>
      <c r="S7" s="629"/>
      <c r="T7" s="629"/>
      <c r="U7" s="634"/>
      <c r="V7" s="629"/>
      <c r="W7" s="629"/>
      <c r="X7" s="629"/>
      <c r="Y7" s="629"/>
      <c r="Z7" s="629"/>
      <c r="AA7" s="630"/>
      <c r="AB7" s="631"/>
      <c r="AC7" s="629"/>
      <c r="AD7" s="632"/>
      <c r="AE7" s="633"/>
      <c r="AF7" s="633"/>
      <c r="AG7" s="633"/>
      <c r="AI7" s="636"/>
      <c r="AJ7" s="637"/>
    </row>
    <row r="8" spans="1:36" hidden="1" outlineLevel="1">
      <c r="A8" s="649">
        <v>1</v>
      </c>
      <c r="B8" s="650" t="s">
        <v>359</v>
      </c>
      <c r="C8" s="629"/>
      <c r="D8" s="651" t="s">
        <v>794</v>
      </c>
      <c r="E8" s="634"/>
      <c r="F8" s="652">
        <v>4432425666.1363096</v>
      </c>
      <c r="G8" s="646" t="s">
        <v>795</v>
      </c>
      <c r="H8" s="629"/>
      <c r="I8" s="629"/>
      <c r="J8" s="629"/>
      <c r="K8" s="630"/>
      <c r="L8" s="646"/>
      <c r="M8" s="629"/>
      <c r="N8" s="629"/>
      <c r="O8" s="632"/>
      <c r="P8" s="633"/>
      <c r="Q8" s="632"/>
      <c r="R8" s="630"/>
      <c r="S8" s="629"/>
      <c r="T8" s="651" t="s">
        <v>794</v>
      </c>
      <c r="U8" s="634"/>
      <c r="V8" s="652">
        <v>4432968795.8369226</v>
      </c>
      <c r="W8" s="646" t="s">
        <v>795</v>
      </c>
      <c r="X8" s="629"/>
      <c r="Y8" s="629"/>
      <c r="Z8" s="629"/>
      <c r="AA8" s="630"/>
      <c r="AB8" s="646"/>
      <c r="AC8" s="629"/>
      <c r="AD8" s="632"/>
      <c r="AE8" s="633"/>
      <c r="AF8" s="633"/>
      <c r="AG8" s="633"/>
      <c r="AI8" s="636"/>
      <c r="AJ8" s="637"/>
    </row>
    <row r="9" spans="1:36" hidden="1" outlineLevel="1">
      <c r="A9" s="649">
        <v>2</v>
      </c>
      <c r="B9" s="650" t="s">
        <v>361</v>
      </c>
      <c r="C9" s="629"/>
      <c r="D9" s="651" t="s">
        <v>796</v>
      </c>
      <c r="E9" s="634"/>
      <c r="F9" s="652">
        <v>3351842451.6585021</v>
      </c>
      <c r="G9" s="646" t="s">
        <v>797</v>
      </c>
      <c r="H9" s="629"/>
      <c r="I9" s="629"/>
      <c r="J9" s="629"/>
      <c r="K9" s="630"/>
      <c r="L9" s="646"/>
      <c r="M9" s="629"/>
      <c r="N9" s="629"/>
      <c r="O9" s="632"/>
      <c r="P9" s="633"/>
      <c r="Q9" s="632"/>
      <c r="R9" s="630"/>
      <c r="S9" s="629"/>
      <c r="T9" s="651" t="s">
        <v>796</v>
      </c>
      <c r="U9" s="634"/>
      <c r="V9" s="652">
        <v>3353873924.8369231</v>
      </c>
      <c r="W9" s="646" t="s">
        <v>797</v>
      </c>
      <c r="X9" s="629"/>
      <c r="Y9" s="629"/>
      <c r="Z9" s="629"/>
      <c r="AA9" s="630"/>
      <c r="AB9" s="646"/>
      <c r="AC9" s="629"/>
      <c r="AD9" s="632"/>
      <c r="AE9" s="633"/>
      <c r="AF9" s="633"/>
      <c r="AG9" s="633"/>
      <c r="AI9" s="636"/>
      <c r="AJ9" s="637"/>
    </row>
    <row r="10" spans="1:36" hidden="1" outlineLevel="1">
      <c r="A10" s="649"/>
      <c r="B10" s="646"/>
      <c r="C10" s="629"/>
      <c r="D10" s="651"/>
      <c r="E10" s="634"/>
      <c r="F10" s="646"/>
      <c r="G10" s="646"/>
      <c r="H10" s="629"/>
      <c r="I10" s="629"/>
      <c r="J10" s="629"/>
      <c r="K10" s="630"/>
      <c r="L10" s="646"/>
      <c r="M10" s="629"/>
      <c r="N10" s="629"/>
      <c r="O10" s="632"/>
      <c r="P10" s="633"/>
      <c r="Q10" s="632"/>
      <c r="R10" s="630"/>
      <c r="S10" s="629"/>
      <c r="T10" s="651"/>
      <c r="U10" s="634"/>
      <c r="V10" s="646"/>
      <c r="W10" s="646"/>
      <c r="X10" s="629"/>
      <c r="Y10" s="629"/>
      <c r="Z10" s="629"/>
      <c r="AA10" s="630"/>
      <c r="AB10" s="646"/>
      <c r="AC10" s="629"/>
      <c r="AD10" s="632"/>
      <c r="AE10" s="633"/>
      <c r="AF10" s="633"/>
      <c r="AG10" s="633"/>
      <c r="AI10" s="636"/>
      <c r="AJ10" s="637"/>
    </row>
    <row r="11" spans="1:36" hidden="1" outlineLevel="1">
      <c r="A11" s="649"/>
      <c r="B11" s="650" t="s">
        <v>363</v>
      </c>
      <c r="C11" s="629"/>
      <c r="D11" s="651"/>
      <c r="E11" s="634"/>
      <c r="F11" s="645"/>
      <c r="G11" s="646"/>
      <c r="H11" s="629"/>
      <c r="I11" s="629"/>
      <c r="J11" s="629"/>
      <c r="K11" s="630"/>
      <c r="L11" s="645"/>
      <c r="M11" s="629"/>
      <c r="N11" s="629"/>
      <c r="O11" s="632"/>
      <c r="P11" s="633"/>
      <c r="Q11" s="632"/>
      <c r="R11" s="630"/>
      <c r="S11" s="629"/>
      <c r="T11" s="651"/>
      <c r="U11" s="634"/>
      <c r="V11" s="645"/>
      <c r="W11" s="646"/>
      <c r="X11" s="629"/>
      <c r="Y11" s="629"/>
      <c r="Z11" s="629"/>
      <c r="AA11" s="630"/>
      <c r="AB11" s="645"/>
      <c r="AC11" s="629"/>
      <c r="AD11" s="632"/>
      <c r="AE11" s="633"/>
      <c r="AF11" s="633"/>
      <c r="AG11" s="633"/>
      <c r="AI11" s="636"/>
      <c r="AJ11" s="637"/>
    </row>
    <row r="12" spans="1:36" hidden="1" outlineLevel="1">
      <c r="A12" s="649">
        <v>3</v>
      </c>
      <c r="B12" s="650" t="s">
        <v>364</v>
      </c>
      <c r="C12" s="629"/>
      <c r="D12" s="651" t="s">
        <v>798</v>
      </c>
      <c r="E12" s="634"/>
      <c r="F12" s="652">
        <v>151250302.00461566</v>
      </c>
      <c r="G12" s="653" t="s">
        <v>799</v>
      </c>
      <c r="H12" s="629"/>
      <c r="I12" s="629"/>
      <c r="J12" s="629"/>
      <c r="K12" s="630"/>
      <c r="L12" s="646"/>
      <c r="M12" s="629"/>
      <c r="N12" s="629"/>
      <c r="O12" s="632"/>
      <c r="P12" s="633"/>
      <c r="Q12" s="632"/>
      <c r="R12" s="630"/>
      <c r="S12" s="629"/>
      <c r="T12" s="651" t="s">
        <v>798</v>
      </c>
      <c r="U12" s="634"/>
      <c r="V12" s="652">
        <v>143136929.99188033</v>
      </c>
      <c r="W12" s="653" t="s">
        <v>799</v>
      </c>
      <c r="X12" s="629"/>
      <c r="Y12" s="629"/>
      <c r="Z12" s="629"/>
      <c r="AA12" s="630"/>
      <c r="AB12" s="646"/>
      <c r="AC12" s="629"/>
      <c r="AD12" s="632"/>
      <c r="AE12" s="633"/>
      <c r="AF12" s="633"/>
      <c r="AG12" s="633"/>
      <c r="AI12" s="636"/>
      <c r="AJ12" s="637"/>
    </row>
    <row r="13" spans="1:36" hidden="1" outlineLevel="1">
      <c r="A13" s="649" t="s">
        <v>366</v>
      </c>
      <c r="B13" s="650" t="s">
        <v>800</v>
      </c>
      <c r="C13" s="629"/>
      <c r="D13" s="651" t="s">
        <v>801</v>
      </c>
      <c r="E13" s="634"/>
      <c r="F13" s="652">
        <v>17447442.299381591</v>
      </c>
      <c r="G13" s="653"/>
      <c r="H13" s="629"/>
      <c r="I13" s="629"/>
      <c r="J13" s="629"/>
      <c r="K13" s="630"/>
      <c r="L13" s="646"/>
      <c r="M13" s="629"/>
      <c r="N13" s="629"/>
      <c r="O13" s="632"/>
      <c r="P13" s="633"/>
      <c r="Q13" s="632"/>
      <c r="R13" s="630"/>
      <c r="S13" s="629"/>
      <c r="T13" s="651" t="s">
        <v>801</v>
      </c>
      <c r="U13" s="634"/>
      <c r="V13" s="652">
        <v>15474432</v>
      </c>
      <c r="W13" s="653"/>
      <c r="X13" s="629"/>
      <c r="Y13" s="629"/>
      <c r="Z13" s="629"/>
      <c r="AA13" s="630"/>
      <c r="AB13" s="646"/>
      <c r="AC13" s="629"/>
      <c r="AD13" s="632"/>
      <c r="AE13" s="633"/>
      <c r="AF13" s="633"/>
      <c r="AG13" s="633"/>
      <c r="AI13" s="636"/>
      <c r="AJ13" s="637"/>
    </row>
    <row r="14" spans="1:36" hidden="1" outlineLevel="1">
      <c r="A14" s="649" t="s">
        <v>369</v>
      </c>
      <c r="B14" s="650" t="s">
        <v>802</v>
      </c>
      <c r="C14" s="629"/>
      <c r="D14" s="651"/>
      <c r="E14" s="634"/>
      <c r="F14" s="654">
        <f>F12-F13</f>
        <v>133802859.70523408</v>
      </c>
      <c r="G14" s="653"/>
      <c r="H14" s="629"/>
      <c r="I14" s="629"/>
      <c r="J14" s="629"/>
      <c r="K14" s="630"/>
      <c r="L14" s="646"/>
      <c r="M14" s="629"/>
      <c r="N14" s="629"/>
      <c r="O14" s="632"/>
      <c r="P14" s="633"/>
      <c r="Q14" s="632"/>
      <c r="R14" s="630"/>
      <c r="S14" s="629"/>
      <c r="T14" s="651"/>
      <c r="U14" s="634"/>
      <c r="V14" s="654">
        <f>+V12-V13</f>
        <v>127662497.99188033</v>
      </c>
      <c r="W14" s="653"/>
      <c r="X14" s="629"/>
      <c r="Y14" s="629"/>
      <c r="Z14" s="629"/>
      <c r="AA14" s="630"/>
      <c r="AB14" s="646"/>
      <c r="AC14" s="629"/>
      <c r="AD14" s="632"/>
      <c r="AE14" s="633"/>
      <c r="AF14" s="633"/>
      <c r="AG14" s="633"/>
      <c r="AI14" s="636"/>
      <c r="AJ14" s="637"/>
    </row>
    <row r="15" spans="1:36" hidden="1" outlineLevel="1">
      <c r="A15" s="649">
        <v>4</v>
      </c>
      <c r="B15" s="650" t="s">
        <v>372</v>
      </c>
      <c r="C15" s="629"/>
      <c r="D15" s="651" t="s">
        <v>803</v>
      </c>
      <c r="E15" s="634"/>
      <c r="F15" s="655">
        <f>IF(F14=0,0,F14/F8)</f>
        <v>3.018727662541228E-2</v>
      </c>
      <c r="G15" s="646"/>
      <c r="H15" s="629"/>
      <c r="I15" s="629"/>
      <c r="J15" s="629"/>
      <c r="K15" s="630"/>
      <c r="L15" s="656">
        <f>F15</f>
        <v>3.018727662541228E-2</v>
      </c>
      <c r="M15" s="629"/>
      <c r="N15" s="629"/>
      <c r="O15" s="632"/>
      <c r="P15" s="633"/>
      <c r="Q15" s="632"/>
      <c r="R15" s="630"/>
      <c r="S15" s="629"/>
      <c r="T15" s="651" t="s">
        <v>803</v>
      </c>
      <c r="U15" s="634"/>
      <c r="V15" s="655">
        <f>IF(V14=0,0,V14/V8)</f>
        <v>2.8798420172000846E-2</v>
      </c>
      <c r="W15" s="646"/>
      <c r="X15" s="629"/>
      <c r="Y15" s="629"/>
      <c r="Z15" s="629"/>
      <c r="AA15" s="630"/>
      <c r="AB15" s="656">
        <f>V15</f>
        <v>2.8798420172000846E-2</v>
      </c>
      <c r="AC15" s="629"/>
      <c r="AD15" s="632"/>
      <c r="AE15" s="633"/>
      <c r="AF15" s="633"/>
      <c r="AG15" s="633"/>
      <c r="AI15" s="636"/>
      <c r="AJ15" s="637"/>
    </row>
    <row r="16" spans="1:36" hidden="1" outlineLevel="1">
      <c r="A16" s="649"/>
      <c r="B16" s="646"/>
      <c r="C16" s="629"/>
      <c r="D16" s="651"/>
      <c r="E16" s="634"/>
      <c r="F16" s="646"/>
      <c r="G16" s="646"/>
      <c r="H16" s="629"/>
      <c r="I16" s="629"/>
      <c r="J16" s="629"/>
      <c r="K16" s="630"/>
      <c r="L16" s="656"/>
      <c r="M16" s="629"/>
      <c r="N16" s="629"/>
      <c r="O16" s="632"/>
      <c r="P16" s="633"/>
      <c r="Q16" s="632"/>
      <c r="R16" s="630"/>
      <c r="S16" s="629"/>
      <c r="T16" s="651"/>
      <c r="U16" s="634"/>
      <c r="V16" s="646"/>
      <c r="W16" s="646"/>
      <c r="X16" s="629"/>
      <c r="Y16" s="629"/>
      <c r="Z16" s="629"/>
      <c r="AA16" s="630"/>
      <c r="AB16" s="646"/>
      <c r="AC16" s="629"/>
      <c r="AD16" s="632"/>
      <c r="AE16" s="633"/>
      <c r="AF16" s="633"/>
      <c r="AG16" s="633"/>
      <c r="AI16" s="636"/>
      <c r="AJ16" s="637"/>
    </row>
    <row r="17" spans="1:36" hidden="1" outlineLevel="1">
      <c r="A17" s="649"/>
      <c r="B17" s="646" t="s">
        <v>374</v>
      </c>
      <c r="C17" s="629"/>
      <c r="D17" s="651"/>
      <c r="E17" s="634"/>
      <c r="F17" s="646"/>
      <c r="G17" s="646"/>
      <c r="H17" s="629"/>
      <c r="I17" s="629"/>
      <c r="J17" s="629"/>
      <c r="K17" s="630"/>
      <c r="L17" s="657"/>
      <c r="M17" s="629"/>
      <c r="N17" s="629"/>
      <c r="O17" s="632"/>
      <c r="P17" s="633"/>
      <c r="Q17" s="632"/>
      <c r="R17" s="630"/>
      <c r="S17" s="629"/>
      <c r="T17" s="651"/>
      <c r="U17" s="634"/>
      <c r="V17" s="646"/>
      <c r="W17" s="646"/>
      <c r="X17" s="629"/>
      <c r="Y17" s="629"/>
      <c r="Z17" s="629"/>
      <c r="AA17" s="630"/>
      <c r="AB17" s="646"/>
      <c r="AC17" s="629"/>
      <c r="AD17" s="632"/>
      <c r="AE17" s="633"/>
      <c r="AF17" s="633"/>
      <c r="AG17" s="633"/>
      <c r="AI17" s="636"/>
      <c r="AJ17" s="637"/>
    </row>
    <row r="18" spans="1:36" hidden="1" outlineLevel="1">
      <c r="A18" s="649"/>
      <c r="B18" s="646" t="s">
        <v>376</v>
      </c>
      <c r="C18" s="629"/>
      <c r="D18" s="651" t="s">
        <v>804</v>
      </c>
      <c r="E18" s="634"/>
      <c r="F18" s="652">
        <v>7862320.236582974</v>
      </c>
      <c r="G18" s="646"/>
      <c r="H18" s="629"/>
      <c r="I18" s="629"/>
      <c r="J18" s="629"/>
      <c r="K18" s="630"/>
      <c r="M18" s="629"/>
      <c r="N18" s="629"/>
      <c r="O18" s="632"/>
      <c r="P18" s="633"/>
      <c r="Q18" s="632"/>
      <c r="R18" s="630"/>
      <c r="S18" s="629"/>
      <c r="T18" s="651" t="s">
        <v>804</v>
      </c>
      <c r="U18" s="634"/>
      <c r="V18" s="652">
        <v>8601812</v>
      </c>
      <c r="W18" s="646"/>
      <c r="X18" s="629"/>
      <c r="Y18" s="629"/>
      <c r="Z18" s="629"/>
      <c r="AA18" s="630"/>
      <c r="AB18" s="646"/>
      <c r="AC18" s="629"/>
      <c r="AD18" s="632"/>
      <c r="AE18" s="633"/>
      <c r="AF18" s="633"/>
      <c r="AG18" s="633"/>
      <c r="AI18" s="636"/>
      <c r="AJ18" s="637"/>
    </row>
    <row r="19" spans="1:36" hidden="1" outlineLevel="1">
      <c r="A19" s="649"/>
      <c r="B19" s="646" t="s">
        <v>379</v>
      </c>
      <c r="C19" s="629"/>
      <c r="D19" s="651" t="s">
        <v>380</v>
      </c>
      <c r="E19" s="634"/>
      <c r="F19" s="236">
        <f>IF(F18=0,0,F18/F8)</f>
        <v>1.7738188587461323E-3</v>
      </c>
      <c r="G19" s="646"/>
      <c r="H19" s="629"/>
      <c r="I19" s="629"/>
      <c r="J19" s="629"/>
      <c r="K19" s="630"/>
      <c r="L19" s="656">
        <f>F19</f>
        <v>1.7738188587461323E-3</v>
      </c>
      <c r="M19" s="629"/>
      <c r="N19" s="629"/>
      <c r="O19" s="632"/>
      <c r="P19" s="633"/>
      <c r="Q19" s="632"/>
      <c r="R19" s="630"/>
      <c r="S19" s="629"/>
      <c r="T19" s="651" t="s">
        <v>380</v>
      </c>
      <c r="U19" s="634"/>
      <c r="V19" s="236">
        <f>IF(V18=0,0,V18/V8)</f>
        <v>1.9404178996428104E-3</v>
      </c>
      <c r="W19" s="646"/>
      <c r="X19" s="629"/>
      <c r="Y19" s="629"/>
      <c r="Z19" s="629"/>
      <c r="AA19" s="630"/>
      <c r="AB19" s="656">
        <f>+V19</f>
        <v>1.9404178996428104E-3</v>
      </c>
      <c r="AC19" s="629"/>
      <c r="AD19" s="632"/>
      <c r="AE19" s="633"/>
      <c r="AF19" s="633"/>
      <c r="AG19" s="633"/>
      <c r="AI19" s="636"/>
      <c r="AJ19" s="637"/>
    </row>
    <row r="20" spans="1:36" hidden="1" outlineLevel="1">
      <c r="A20" s="649"/>
      <c r="B20" s="646"/>
      <c r="C20" s="629"/>
      <c r="D20" s="651"/>
      <c r="E20" s="634"/>
      <c r="F20" s="646"/>
      <c r="G20" s="646"/>
      <c r="H20" s="629"/>
      <c r="I20" s="629"/>
      <c r="J20" s="629"/>
      <c r="K20" s="630"/>
      <c r="L20" s="656"/>
      <c r="M20" s="629"/>
      <c r="N20" s="629"/>
      <c r="O20" s="632"/>
      <c r="P20" s="633"/>
      <c r="Q20" s="632"/>
      <c r="R20" s="630"/>
      <c r="S20" s="629"/>
      <c r="T20" s="651"/>
      <c r="U20" s="634"/>
      <c r="V20" s="646"/>
      <c r="W20" s="646"/>
      <c r="X20" s="629"/>
      <c r="Y20" s="629"/>
      <c r="Z20" s="629"/>
      <c r="AA20" s="630"/>
      <c r="AB20" s="646"/>
      <c r="AC20" s="629"/>
      <c r="AD20" s="632"/>
      <c r="AE20" s="633"/>
      <c r="AF20" s="633"/>
      <c r="AG20" s="633"/>
      <c r="AI20" s="636"/>
      <c r="AJ20" s="637"/>
    </row>
    <row r="21" spans="1:36" hidden="1" outlineLevel="1">
      <c r="A21" s="658"/>
      <c r="B21" s="650" t="s">
        <v>381</v>
      </c>
      <c r="C21" s="629"/>
      <c r="D21" s="659"/>
      <c r="E21" s="634"/>
      <c r="F21" s="645"/>
      <c r="G21" s="646"/>
      <c r="H21" s="629"/>
      <c r="I21" s="629"/>
      <c r="J21" s="629"/>
      <c r="K21" s="630"/>
      <c r="L21" s="657"/>
      <c r="M21" s="629"/>
      <c r="N21" s="629"/>
      <c r="O21" s="632"/>
      <c r="P21" s="633"/>
      <c r="Q21" s="632"/>
      <c r="R21" s="630"/>
      <c r="S21" s="629"/>
      <c r="T21" s="659"/>
      <c r="U21" s="634"/>
      <c r="V21" s="645"/>
      <c r="W21" s="646"/>
      <c r="X21" s="629"/>
      <c r="Y21" s="629"/>
      <c r="Z21" s="629"/>
      <c r="AA21" s="630"/>
      <c r="AB21" s="645"/>
      <c r="AC21" s="629"/>
      <c r="AD21" s="632"/>
      <c r="AE21" s="633"/>
      <c r="AF21" s="633"/>
      <c r="AG21" s="633"/>
      <c r="AI21" s="636"/>
      <c r="AJ21" s="637"/>
    </row>
    <row r="22" spans="1:36" hidden="1" outlineLevel="1">
      <c r="A22" s="658" t="s">
        <v>375</v>
      </c>
      <c r="B22" s="650" t="s">
        <v>383</v>
      </c>
      <c r="C22" s="629"/>
      <c r="D22" s="651" t="s">
        <v>805</v>
      </c>
      <c r="E22" s="634"/>
      <c r="F22" s="652">
        <v>21549487.225000001</v>
      </c>
      <c r="G22" s="646" t="s">
        <v>806</v>
      </c>
      <c r="H22" s="629"/>
      <c r="I22" s="629"/>
      <c r="J22" s="629"/>
      <c r="K22" s="630"/>
      <c r="M22" s="629"/>
      <c r="N22" s="629"/>
      <c r="O22" s="632"/>
      <c r="P22" s="633"/>
      <c r="Q22" s="632"/>
      <c r="R22" s="630"/>
      <c r="S22" s="629"/>
      <c r="T22" s="651" t="s">
        <v>805</v>
      </c>
      <c r="U22" s="634"/>
      <c r="V22" s="652">
        <v>20406107.91</v>
      </c>
      <c r="W22" s="646" t="s">
        <v>806</v>
      </c>
      <c r="X22" s="629"/>
      <c r="Y22" s="629"/>
      <c r="Z22" s="629"/>
      <c r="AA22" s="630"/>
      <c r="AB22" s="646"/>
      <c r="AC22" s="629"/>
      <c r="AD22" s="632"/>
      <c r="AE22" s="633"/>
      <c r="AF22" s="633"/>
      <c r="AG22" s="633"/>
      <c r="AI22" s="636"/>
      <c r="AJ22" s="637"/>
    </row>
    <row r="23" spans="1:36" hidden="1" outlineLevel="1">
      <c r="A23" s="658" t="s">
        <v>378</v>
      </c>
      <c r="B23" s="650" t="s">
        <v>386</v>
      </c>
      <c r="C23" s="629"/>
      <c r="D23" s="651" t="s">
        <v>387</v>
      </c>
      <c r="E23" s="634"/>
      <c r="F23" s="655">
        <f>IF(F22=0,0,F22/F8)</f>
        <v>4.8617819785761731E-3</v>
      </c>
      <c r="G23" s="646"/>
      <c r="H23" s="629"/>
      <c r="I23" s="629"/>
      <c r="J23" s="629"/>
      <c r="K23" s="630"/>
      <c r="L23" s="656">
        <f>F23</f>
        <v>4.8617819785761731E-3</v>
      </c>
      <c r="M23" s="629"/>
      <c r="N23" s="629"/>
      <c r="O23" s="632"/>
      <c r="P23" s="633"/>
      <c r="Q23" s="632"/>
      <c r="R23" s="630"/>
      <c r="S23" s="629"/>
      <c r="T23" s="651" t="s">
        <v>387</v>
      </c>
      <c r="U23" s="634"/>
      <c r="V23" s="655">
        <f>IF(V22=0,0,V22/V8)</f>
        <v>4.6032599934300754E-3</v>
      </c>
      <c r="W23" s="646"/>
      <c r="X23" s="629"/>
      <c r="Y23" s="629"/>
      <c r="Z23" s="629"/>
      <c r="AA23" s="630"/>
      <c r="AB23" s="656">
        <f>V23</f>
        <v>4.6032599934300754E-3</v>
      </c>
      <c r="AC23" s="629"/>
      <c r="AD23" s="632"/>
      <c r="AE23" s="633"/>
      <c r="AF23" s="633"/>
      <c r="AG23" s="633"/>
      <c r="AI23" s="636"/>
      <c r="AJ23" s="637"/>
    </row>
    <row r="24" spans="1:36" hidden="1" outlineLevel="1">
      <c r="A24" s="658"/>
      <c r="B24" s="650"/>
      <c r="C24" s="629"/>
      <c r="D24" s="651"/>
      <c r="E24" s="634"/>
      <c r="F24" s="645"/>
      <c r="G24" s="646"/>
      <c r="H24" s="629"/>
      <c r="I24" s="629"/>
      <c r="J24" s="629"/>
      <c r="K24" s="630"/>
      <c r="L24" s="657"/>
      <c r="M24" s="629"/>
      <c r="N24" s="629"/>
      <c r="O24" s="632"/>
      <c r="P24" s="633"/>
      <c r="Q24" s="632"/>
      <c r="R24" s="630"/>
      <c r="S24" s="629"/>
      <c r="T24" s="651"/>
      <c r="U24" s="634"/>
      <c r="V24" s="645"/>
      <c r="W24" s="646"/>
      <c r="X24" s="629"/>
      <c r="Y24" s="629"/>
      <c r="Z24" s="629"/>
      <c r="AA24" s="630"/>
      <c r="AB24" s="645"/>
      <c r="AC24" s="629"/>
      <c r="AD24" s="632"/>
      <c r="AE24" s="633"/>
      <c r="AF24" s="633"/>
      <c r="AG24" s="633"/>
      <c r="AI24" s="636"/>
      <c r="AJ24" s="637"/>
    </row>
    <row r="25" spans="1:36" ht="15.75" hidden="1" outlineLevel="1">
      <c r="A25" s="660" t="s">
        <v>382</v>
      </c>
      <c r="B25" s="661" t="s">
        <v>389</v>
      </c>
      <c r="C25" s="629"/>
      <c r="D25" s="644" t="s">
        <v>390</v>
      </c>
      <c r="E25" s="634"/>
      <c r="F25" s="662"/>
      <c r="G25" s="646"/>
      <c r="H25" s="629"/>
      <c r="I25" s="629"/>
      <c r="J25" s="629"/>
      <c r="K25" s="630"/>
      <c r="L25" s="232">
        <f>L15+L19+L23</f>
        <v>3.6822877462734584E-2</v>
      </c>
      <c r="M25" s="629"/>
      <c r="N25" s="629"/>
      <c r="O25" s="632"/>
      <c r="P25" s="633"/>
      <c r="Q25" s="632"/>
      <c r="R25" s="630"/>
      <c r="S25" s="629"/>
      <c r="T25" s="644" t="s">
        <v>390</v>
      </c>
      <c r="U25" s="634"/>
      <c r="V25" s="662"/>
      <c r="W25" s="646"/>
      <c r="X25" s="629"/>
      <c r="Y25" s="629"/>
      <c r="Z25" s="629"/>
      <c r="AA25" s="630"/>
      <c r="AB25" s="232">
        <f>AB15+AB19+AB23</f>
        <v>3.5342098065073733E-2</v>
      </c>
      <c r="AC25" s="629"/>
      <c r="AD25" s="632"/>
      <c r="AE25" s="633"/>
      <c r="AF25" s="633"/>
      <c r="AG25" s="633"/>
      <c r="AI25" s="636"/>
      <c r="AJ25" s="637"/>
    </row>
    <row r="26" spans="1:36" hidden="1" outlineLevel="1">
      <c r="A26" s="658"/>
      <c r="B26" s="650"/>
      <c r="C26" s="629"/>
      <c r="D26" s="651"/>
      <c r="E26" s="634"/>
      <c r="F26" s="645"/>
      <c r="G26" s="646"/>
      <c r="H26" s="629"/>
      <c r="I26" s="629"/>
      <c r="J26" s="629"/>
      <c r="K26" s="630"/>
      <c r="L26" s="657"/>
      <c r="M26" s="629"/>
      <c r="N26" s="629"/>
      <c r="O26" s="632"/>
      <c r="P26" s="633"/>
      <c r="Q26" s="632"/>
      <c r="R26" s="630"/>
      <c r="S26" s="629"/>
      <c r="T26" s="651"/>
      <c r="U26" s="634"/>
      <c r="V26" s="645"/>
      <c r="W26" s="646"/>
      <c r="X26" s="629"/>
      <c r="Y26" s="629"/>
      <c r="Z26" s="629"/>
      <c r="AA26" s="630"/>
      <c r="AB26" s="645"/>
      <c r="AC26" s="629"/>
      <c r="AD26" s="632"/>
      <c r="AE26" s="633"/>
      <c r="AF26" s="633"/>
      <c r="AG26" s="633"/>
      <c r="AI26" s="636"/>
      <c r="AJ26" s="637"/>
    </row>
    <row r="27" spans="1:36" hidden="1" outlineLevel="1">
      <c r="A27" s="658"/>
      <c r="B27" s="645" t="s">
        <v>391</v>
      </c>
      <c r="C27" s="629"/>
      <c r="D27" s="651"/>
      <c r="E27" s="634"/>
      <c r="F27" s="645"/>
      <c r="G27" s="646"/>
      <c r="H27" s="629"/>
      <c r="I27" s="629"/>
      <c r="J27" s="629"/>
      <c r="K27" s="630"/>
      <c r="L27" s="657"/>
      <c r="M27" s="629"/>
      <c r="N27" s="629"/>
      <c r="O27" s="632"/>
      <c r="P27" s="633"/>
      <c r="Q27" s="632"/>
      <c r="R27" s="630"/>
      <c r="S27" s="629"/>
      <c r="T27" s="651"/>
      <c r="U27" s="634"/>
      <c r="V27" s="645"/>
      <c r="W27" s="646"/>
      <c r="X27" s="629"/>
      <c r="Y27" s="629"/>
      <c r="Z27" s="629"/>
      <c r="AA27" s="630"/>
      <c r="AB27" s="645"/>
      <c r="AC27" s="629"/>
      <c r="AD27" s="632"/>
      <c r="AE27" s="633"/>
      <c r="AF27" s="633"/>
      <c r="AG27" s="633"/>
      <c r="AI27" s="636"/>
      <c r="AJ27" s="637"/>
    </row>
    <row r="28" spans="1:36" hidden="1" outlineLevel="1">
      <c r="A28" s="658" t="s">
        <v>385</v>
      </c>
      <c r="B28" s="645" t="s">
        <v>393</v>
      </c>
      <c r="C28" s="629"/>
      <c r="D28" s="651" t="s">
        <v>807</v>
      </c>
      <c r="E28" s="634"/>
      <c r="F28" s="652">
        <v>103944130.35958733</v>
      </c>
      <c r="G28" s="646" t="s">
        <v>808</v>
      </c>
      <c r="H28" s="629"/>
      <c r="I28" s="629"/>
      <c r="J28" s="629"/>
      <c r="K28" s="630"/>
      <c r="L28" s="657"/>
      <c r="M28" s="629"/>
      <c r="N28" s="629"/>
      <c r="O28" s="632"/>
      <c r="P28" s="633"/>
      <c r="Q28" s="632"/>
      <c r="R28" s="630"/>
      <c r="S28" s="629"/>
      <c r="T28" s="651" t="s">
        <v>807</v>
      </c>
      <c r="U28" s="634"/>
      <c r="V28" s="652">
        <v>103489195.10818884</v>
      </c>
      <c r="W28" s="646" t="s">
        <v>808</v>
      </c>
      <c r="X28" s="629"/>
      <c r="Y28" s="629"/>
      <c r="Z28" s="629"/>
      <c r="AA28" s="630"/>
      <c r="AB28" s="645"/>
      <c r="AC28" s="629"/>
      <c r="AD28" s="632"/>
      <c r="AE28" s="633"/>
      <c r="AF28" s="633"/>
      <c r="AG28" s="633"/>
      <c r="AI28" s="636"/>
      <c r="AJ28" s="637"/>
    </row>
    <row r="29" spans="1:36" hidden="1" outlineLevel="1">
      <c r="A29" s="658" t="s">
        <v>388</v>
      </c>
      <c r="B29" s="645" t="s">
        <v>396</v>
      </c>
      <c r="C29" s="629"/>
      <c r="D29" s="651" t="s">
        <v>397</v>
      </c>
      <c r="E29" s="634"/>
      <c r="F29" s="655">
        <f>IF(F28=0,0,F28/F9)</f>
        <v>3.1011042988657013E-2</v>
      </c>
      <c r="G29" s="646"/>
      <c r="H29" s="629"/>
      <c r="I29" s="629"/>
      <c r="J29" s="629"/>
      <c r="K29" s="630"/>
      <c r="L29" s="656">
        <f>F29</f>
        <v>3.1011042988657013E-2</v>
      </c>
      <c r="M29" s="629"/>
      <c r="N29" s="629"/>
      <c r="O29" s="632"/>
      <c r="P29" s="633"/>
      <c r="Q29" s="632"/>
      <c r="R29" s="630"/>
      <c r="S29" s="629"/>
      <c r="T29" s="651" t="s">
        <v>397</v>
      </c>
      <c r="U29" s="634"/>
      <c r="V29" s="655">
        <f>IF(V28=0,0,V28/V9)</f>
        <v>3.0856614597765727E-2</v>
      </c>
      <c r="W29" s="646"/>
      <c r="X29" s="629"/>
      <c r="Y29" s="629"/>
      <c r="Z29" s="629"/>
      <c r="AA29" s="630"/>
      <c r="AB29" s="656">
        <f>V29</f>
        <v>3.0856614597765727E-2</v>
      </c>
      <c r="AC29" s="629"/>
      <c r="AD29" s="632"/>
      <c r="AE29" s="633"/>
      <c r="AF29" s="633"/>
      <c r="AG29" s="633"/>
      <c r="AI29" s="636"/>
      <c r="AJ29" s="637"/>
    </row>
    <row r="30" spans="1:36" hidden="1" outlineLevel="1">
      <c r="A30" s="658"/>
      <c r="B30" s="645"/>
      <c r="C30" s="629"/>
      <c r="D30" s="651"/>
      <c r="E30" s="634"/>
      <c r="F30" s="645"/>
      <c r="G30" s="646"/>
      <c r="H30" s="629"/>
      <c r="I30" s="629"/>
      <c r="J30" s="629"/>
      <c r="K30" s="630"/>
      <c r="L30" s="657"/>
      <c r="M30" s="629"/>
      <c r="N30" s="629"/>
      <c r="O30" s="632"/>
      <c r="P30" s="633"/>
      <c r="Q30" s="632"/>
      <c r="R30" s="630"/>
      <c r="S30" s="629"/>
      <c r="T30" s="651"/>
      <c r="U30" s="634"/>
      <c r="V30" s="645"/>
      <c r="W30" s="646"/>
      <c r="X30" s="629"/>
      <c r="Y30" s="629"/>
      <c r="Z30" s="629"/>
      <c r="AA30" s="630"/>
      <c r="AB30" s="645"/>
      <c r="AC30" s="629"/>
      <c r="AD30" s="632"/>
      <c r="AE30" s="633"/>
      <c r="AF30" s="633"/>
      <c r="AG30" s="633"/>
      <c r="AI30" s="636"/>
      <c r="AJ30" s="637"/>
    </row>
    <row r="31" spans="1:36" hidden="1" outlineLevel="1">
      <c r="A31" s="658"/>
      <c r="B31" s="650" t="s">
        <v>126</v>
      </c>
      <c r="C31" s="629"/>
      <c r="D31" s="663"/>
      <c r="E31" s="634"/>
      <c r="F31" s="646"/>
      <c r="G31" s="646"/>
      <c r="H31" s="629"/>
      <c r="I31" s="629"/>
      <c r="J31" s="629"/>
      <c r="K31" s="630"/>
      <c r="M31" s="629"/>
      <c r="N31" s="629"/>
      <c r="O31" s="632"/>
      <c r="P31" s="633"/>
      <c r="Q31" s="632"/>
      <c r="R31" s="630"/>
      <c r="S31" s="629"/>
      <c r="T31" s="663"/>
      <c r="U31" s="634"/>
      <c r="V31" s="646"/>
      <c r="W31" s="646"/>
      <c r="X31" s="629"/>
      <c r="Y31" s="629"/>
      <c r="Z31" s="629"/>
      <c r="AA31" s="630"/>
      <c r="AB31" s="646"/>
      <c r="AC31" s="629"/>
      <c r="AD31" s="632"/>
      <c r="AE31" s="633"/>
      <c r="AF31" s="633"/>
      <c r="AG31" s="633"/>
      <c r="AI31" s="636"/>
      <c r="AJ31" s="637"/>
    </row>
    <row r="32" spans="1:36" hidden="1" outlineLevel="1">
      <c r="A32" s="658" t="s">
        <v>392</v>
      </c>
      <c r="B32" s="650" t="s">
        <v>399</v>
      </c>
      <c r="C32" s="629"/>
      <c r="D32" s="651" t="s">
        <v>809</v>
      </c>
      <c r="E32" s="634"/>
      <c r="F32" s="652">
        <v>245728690.4079282</v>
      </c>
      <c r="G32" s="646" t="s">
        <v>810</v>
      </c>
      <c r="H32" s="629"/>
      <c r="I32" s="629"/>
      <c r="J32" s="629"/>
      <c r="K32" s="630"/>
      <c r="L32" s="657"/>
      <c r="M32" s="629"/>
      <c r="N32" s="629"/>
      <c r="O32" s="632"/>
      <c r="P32" s="633"/>
      <c r="Q32" s="632"/>
      <c r="R32" s="630"/>
      <c r="S32" s="629"/>
      <c r="T32" s="651" t="s">
        <v>809</v>
      </c>
      <c r="U32" s="634"/>
      <c r="V32" s="652">
        <v>246303484.88554946</v>
      </c>
      <c r="W32" s="646" t="s">
        <v>810</v>
      </c>
      <c r="X32" s="629"/>
      <c r="Y32" s="629"/>
      <c r="Z32" s="629"/>
      <c r="AA32" s="630"/>
      <c r="AB32" s="645"/>
      <c r="AC32" s="629"/>
      <c r="AD32" s="632"/>
      <c r="AE32" s="633"/>
      <c r="AF32" s="633"/>
      <c r="AG32" s="633"/>
      <c r="AI32" s="636"/>
      <c r="AJ32" s="637"/>
    </row>
    <row r="33" spans="1:36" hidden="1" outlineLevel="1">
      <c r="A33" s="658" t="s">
        <v>395</v>
      </c>
      <c r="B33" s="645" t="s">
        <v>402</v>
      </c>
      <c r="C33" s="629"/>
      <c r="D33" s="651" t="s">
        <v>403</v>
      </c>
      <c r="E33" s="634"/>
      <c r="F33" s="236">
        <f>IF(F32=0,0,F32/F9)</f>
        <v>7.3311527600690443E-2</v>
      </c>
      <c r="G33" s="646"/>
      <c r="H33" s="629"/>
      <c r="I33" s="629"/>
      <c r="J33" s="629"/>
      <c r="K33" s="630"/>
      <c r="L33" s="656">
        <f>F33</f>
        <v>7.3311527600690443E-2</v>
      </c>
      <c r="M33" s="629"/>
      <c r="N33" s="629"/>
      <c r="O33" s="632"/>
      <c r="P33" s="633"/>
      <c r="Q33" s="632"/>
      <c r="R33" s="630"/>
      <c r="S33" s="629"/>
      <c r="T33" s="651" t="s">
        <v>403</v>
      </c>
      <c r="U33" s="634"/>
      <c r="V33" s="236">
        <f>IF(V32=0,0,V32/V9)</f>
        <v>7.3438504369995231E-2</v>
      </c>
      <c r="W33" s="646"/>
      <c r="X33" s="629"/>
      <c r="Y33" s="629"/>
      <c r="Z33" s="629"/>
      <c r="AA33" s="630"/>
      <c r="AB33" s="656">
        <f>V33</f>
        <v>7.3438504369995231E-2</v>
      </c>
      <c r="AC33" s="629"/>
      <c r="AD33" s="632"/>
      <c r="AE33" s="633"/>
      <c r="AF33" s="633"/>
      <c r="AG33" s="633"/>
      <c r="AI33" s="636"/>
      <c r="AJ33" s="637"/>
    </row>
    <row r="34" spans="1:36" hidden="1" outlineLevel="1">
      <c r="A34" s="658"/>
      <c r="B34" s="650"/>
      <c r="C34" s="629"/>
      <c r="D34" s="651"/>
      <c r="E34" s="634"/>
      <c r="F34" s="645"/>
      <c r="G34" s="646"/>
      <c r="H34" s="629"/>
      <c r="I34" s="629"/>
      <c r="J34" s="629"/>
      <c r="K34" s="630"/>
      <c r="L34" s="657"/>
      <c r="M34" s="629"/>
      <c r="N34" s="629"/>
      <c r="O34" s="632"/>
      <c r="P34" s="633"/>
      <c r="Q34" s="632"/>
      <c r="R34" s="630"/>
      <c r="S34" s="629"/>
      <c r="T34" s="651"/>
      <c r="U34" s="634"/>
      <c r="V34" s="645"/>
      <c r="W34" s="646"/>
      <c r="X34" s="629"/>
      <c r="Y34" s="629"/>
      <c r="Z34" s="629"/>
      <c r="AA34" s="630"/>
      <c r="AB34" s="645"/>
      <c r="AC34" s="629"/>
      <c r="AD34" s="632"/>
      <c r="AE34" s="633"/>
      <c r="AF34" s="633"/>
      <c r="AG34" s="633"/>
      <c r="AI34" s="636"/>
      <c r="AJ34" s="637"/>
    </row>
    <row r="35" spans="1:36" ht="15.75" hidden="1" outlineLevel="1">
      <c r="A35" s="660" t="s">
        <v>398</v>
      </c>
      <c r="B35" s="661" t="s">
        <v>405</v>
      </c>
      <c r="C35" s="629"/>
      <c r="D35" s="644" t="s">
        <v>406</v>
      </c>
      <c r="E35" s="634"/>
      <c r="F35" s="662"/>
      <c r="G35" s="646"/>
      <c r="H35" s="629"/>
      <c r="I35" s="629"/>
      <c r="J35" s="629"/>
      <c r="K35" s="630"/>
      <c r="L35" s="232">
        <f>L29+L33</f>
        <v>0.10432257058934746</v>
      </c>
      <c r="M35" s="629"/>
      <c r="N35" s="629"/>
      <c r="O35" s="632"/>
      <c r="P35" s="633"/>
      <c r="Q35" s="632"/>
      <c r="R35" s="630"/>
      <c r="S35" s="629"/>
      <c r="T35" s="644" t="s">
        <v>406</v>
      </c>
      <c r="U35" s="634"/>
      <c r="V35" s="662"/>
      <c r="W35" s="646"/>
      <c r="X35" s="629"/>
      <c r="Y35" s="629"/>
      <c r="Z35" s="629"/>
      <c r="AA35" s="630"/>
      <c r="AB35" s="232">
        <f>AB29+AB33</f>
        <v>0.10429511896776096</v>
      </c>
      <c r="AC35" s="629"/>
      <c r="AD35" s="632"/>
      <c r="AE35" s="633"/>
      <c r="AF35" s="633"/>
      <c r="AG35" s="633"/>
      <c r="AI35" s="636"/>
      <c r="AJ35" s="637"/>
    </row>
    <row r="36" spans="1:36" ht="15.75" hidden="1" outlineLevel="1">
      <c r="A36" s="626"/>
      <c r="B36" s="641"/>
      <c r="C36" s="629"/>
      <c r="D36" s="629"/>
      <c r="E36" s="634"/>
      <c r="F36" s="629"/>
      <c r="G36" s="629"/>
      <c r="H36" s="629"/>
      <c r="I36" s="629"/>
      <c r="J36" s="629"/>
      <c r="K36" s="630"/>
      <c r="L36" s="631"/>
      <c r="M36" s="629"/>
      <c r="N36" s="629"/>
      <c r="O36" s="632"/>
      <c r="P36" s="633"/>
      <c r="Q36" s="632"/>
      <c r="R36" s="630"/>
      <c r="S36" s="629"/>
      <c r="T36" s="629"/>
      <c r="U36" s="634"/>
      <c r="V36" s="629"/>
      <c r="W36" s="629"/>
      <c r="X36" s="629"/>
      <c r="Y36" s="629"/>
      <c r="Z36" s="629"/>
      <c r="AA36" s="630"/>
      <c r="AB36" s="631"/>
      <c r="AC36" s="629"/>
      <c r="AD36" s="632"/>
      <c r="AE36" s="633"/>
      <c r="AF36" s="633"/>
      <c r="AG36" s="633"/>
      <c r="AI36" s="636"/>
      <c r="AJ36" s="637"/>
    </row>
    <row r="37" spans="1:36" ht="15.75" hidden="1" outlineLevel="1">
      <c r="A37" s="626"/>
      <c r="B37" s="641"/>
      <c r="C37" s="629"/>
      <c r="D37" s="629"/>
      <c r="E37" s="634"/>
      <c r="F37" s="629"/>
      <c r="G37" s="629"/>
      <c r="H37" s="629"/>
      <c r="I37" s="629"/>
      <c r="J37" s="629"/>
      <c r="K37" s="630"/>
      <c r="L37" s="631"/>
      <c r="M37" s="629"/>
      <c r="N37" s="629"/>
      <c r="O37" s="632"/>
      <c r="P37" s="633"/>
      <c r="Q37" s="632"/>
      <c r="R37" s="630"/>
      <c r="S37" s="629"/>
      <c r="T37" s="629"/>
      <c r="U37" s="634"/>
      <c r="V37" s="629"/>
      <c r="W37" s="629"/>
      <c r="X37" s="629"/>
      <c r="Y37" s="629"/>
      <c r="Z37" s="629"/>
      <c r="AA37" s="630"/>
      <c r="AB37" s="631"/>
      <c r="AC37" s="629"/>
      <c r="AD37" s="632"/>
      <c r="AE37" s="633"/>
      <c r="AF37" s="633"/>
      <c r="AG37" s="633"/>
      <c r="AI37" s="636"/>
      <c r="AJ37" s="637"/>
    </row>
    <row r="38" spans="1:36" collapsed="1">
      <c r="C38" s="664"/>
      <c r="D38" s="664"/>
      <c r="E38" s="665"/>
      <c r="F38" s="664"/>
      <c r="G38" s="664"/>
      <c r="H38" s="664"/>
      <c r="I38" s="664"/>
      <c r="J38" s="664"/>
      <c r="K38" s="664"/>
      <c r="L38" s="664"/>
      <c r="M38" s="664"/>
      <c r="N38" s="664"/>
      <c r="Q38" s="666"/>
      <c r="S38" s="664"/>
      <c r="T38" s="664"/>
      <c r="U38" s="665"/>
      <c r="V38" s="664"/>
      <c r="W38" s="664"/>
      <c r="X38" s="664"/>
      <c r="Y38" s="664"/>
      <c r="Z38" s="664"/>
      <c r="AA38" s="664"/>
      <c r="AB38" s="664"/>
      <c r="AC38" s="664"/>
      <c r="AD38" s="667"/>
      <c r="AE38" s="668"/>
      <c r="AF38" s="668"/>
      <c r="AG38" s="668"/>
      <c r="AI38" s="636"/>
    </row>
    <row r="39" spans="1:36" ht="18.75">
      <c r="A39" s="669" t="s">
        <v>811</v>
      </c>
      <c r="C39" s="994" t="str">
        <f>A42&amp;" Projected Revenue Requirement Calculation"</f>
        <v>2014 Projected Revenue Requirement Calculation</v>
      </c>
      <c r="D39" s="994"/>
      <c r="E39" s="994"/>
      <c r="F39" s="994"/>
      <c r="G39" s="994"/>
      <c r="H39" s="994"/>
      <c r="I39" s="994"/>
      <c r="J39" s="994"/>
      <c r="K39" s="994"/>
      <c r="L39" s="994"/>
      <c r="M39" s="994"/>
      <c r="N39" s="994"/>
      <c r="O39" s="667"/>
      <c r="P39" s="995" t="s">
        <v>812</v>
      </c>
      <c r="Q39" s="995"/>
      <c r="S39" s="996" t="str">
        <f>+A42&amp;" Actual Revenue Requirement"</f>
        <v>2014 Actual Revenue Requirement</v>
      </c>
      <c r="T39" s="996"/>
      <c r="U39" s="996"/>
      <c r="V39" s="996"/>
      <c r="W39" s="996"/>
      <c r="X39" s="996"/>
      <c r="Y39" s="996"/>
      <c r="Z39" s="996"/>
      <c r="AA39" s="996"/>
      <c r="AB39" s="996"/>
      <c r="AC39" s="996"/>
      <c r="AD39" s="667"/>
      <c r="AE39" s="995" t="str">
        <f>A42&amp;" Annual True-up Calculation"</f>
        <v>2014 Annual True-up Calculation</v>
      </c>
      <c r="AF39" s="995"/>
      <c r="AG39" s="995"/>
      <c r="AI39" s="636"/>
    </row>
    <row r="40" spans="1:36" ht="15.75">
      <c r="A40" s="670"/>
      <c r="C40" s="670"/>
      <c r="D40" s="670"/>
      <c r="E40" s="670"/>
      <c r="F40" s="670"/>
      <c r="G40" s="670"/>
      <c r="H40" s="670"/>
      <c r="I40" s="670"/>
      <c r="J40" s="670"/>
      <c r="K40" s="670"/>
      <c r="L40" s="670"/>
      <c r="M40" s="670"/>
      <c r="N40" s="670"/>
      <c r="O40" s="667"/>
      <c r="P40" s="671">
        <v>91013686.640000001</v>
      </c>
      <c r="Q40" s="672" t="s">
        <v>813</v>
      </c>
      <c r="S40" s="673"/>
      <c r="T40" s="673"/>
      <c r="U40" s="673"/>
      <c r="V40" s="673"/>
      <c r="W40" s="673"/>
      <c r="X40" s="673"/>
      <c r="Y40" s="673"/>
      <c r="Z40" s="673"/>
      <c r="AA40" s="673"/>
      <c r="AB40" s="673"/>
      <c r="AC40" s="673"/>
      <c r="AD40" s="667"/>
      <c r="AE40" s="674"/>
      <c r="AF40" s="674"/>
      <c r="AG40" s="674"/>
      <c r="AI40" s="636"/>
    </row>
    <row r="41" spans="1:36" ht="15.75">
      <c r="A41" s="670"/>
      <c r="C41" s="670"/>
      <c r="D41" s="670"/>
      <c r="E41" s="670"/>
      <c r="F41" s="670"/>
      <c r="G41" s="670"/>
      <c r="H41" s="670"/>
      <c r="I41" s="670"/>
      <c r="J41" s="670"/>
      <c r="K41" s="670"/>
      <c r="L41" s="670"/>
      <c r="M41" s="670"/>
      <c r="N41" s="670"/>
      <c r="O41" s="667"/>
      <c r="P41" s="675">
        <f>+L74</f>
        <v>-1556261.2464735394</v>
      </c>
      <c r="Q41" s="672" t="s">
        <v>814</v>
      </c>
      <c r="S41" s="673"/>
      <c r="T41" s="673"/>
      <c r="U41" s="673"/>
      <c r="V41" s="673"/>
      <c r="W41" s="673"/>
      <c r="X41" s="673"/>
      <c r="Y41" s="673"/>
      <c r="Z41" s="673"/>
      <c r="AA41" s="673"/>
      <c r="AB41" s="673"/>
      <c r="AC41" s="673"/>
      <c r="AD41" s="667"/>
      <c r="AE41" s="674"/>
      <c r="AF41" s="676">
        <v>3.2400000000000005E-2</v>
      </c>
      <c r="AG41" s="672" t="s">
        <v>815</v>
      </c>
      <c r="AI41" s="636"/>
    </row>
    <row r="42" spans="1:36">
      <c r="A42" s="677">
        <v>2014</v>
      </c>
      <c r="C42" s="678" t="str">
        <f>+A42&amp;" Annual Expense Factor "</f>
        <v xml:space="preserve">2014 Annual Expense Factor </v>
      </c>
      <c r="D42" s="676">
        <f>+L25</f>
        <v>3.6822877462734584E-2</v>
      </c>
      <c r="F42" s="678" t="str">
        <f>A42&amp;" Annual Return Factor "</f>
        <v xml:space="preserve">2014 Annual Return Factor </v>
      </c>
      <c r="G42" s="676">
        <f>+L35</f>
        <v>0.10432257058934746</v>
      </c>
      <c r="H42" s="680"/>
      <c r="I42" s="680"/>
      <c r="J42" s="680"/>
      <c r="K42" s="680"/>
      <c r="L42" s="657"/>
      <c r="M42" s="657"/>
      <c r="N42" s="657"/>
      <c r="O42" s="681"/>
      <c r="P42" s="682">
        <f>+P40+P41</f>
        <v>89457425.393526465</v>
      </c>
      <c r="Q42" s="666"/>
      <c r="S42" s="678" t="s">
        <v>816</v>
      </c>
      <c r="T42" s="676">
        <f>+AB25</f>
        <v>3.5342098065073733E-2</v>
      </c>
      <c r="V42" s="678" t="s">
        <v>817</v>
      </c>
      <c r="W42" s="676">
        <f>+AB35</f>
        <v>0.10429511896776096</v>
      </c>
      <c r="X42" s="680"/>
      <c r="Y42" s="680"/>
      <c r="Z42" s="680"/>
      <c r="AA42" s="680"/>
      <c r="AB42" s="657"/>
      <c r="AC42" s="672"/>
      <c r="AD42" s="672"/>
      <c r="AE42" s="672"/>
      <c r="AF42" s="675">
        <f>AE74*(AF41/12)*24</f>
        <v>-365551.60274568247</v>
      </c>
      <c r="AG42" s="672" t="s">
        <v>725</v>
      </c>
      <c r="AI42" s="636"/>
    </row>
    <row r="43" spans="1:36">
      <c r="A43" s="683" t="s">
        <v>182</v>
      </c>
      <c r="B43" s="683" t="s">
        <v>183</v>
      </c>
      <c r="C43" s="684" t="s">
        <v>818</v>
      </c>
      <c r="D43" s="683" t="s">
        <v>819</v>
      </c>
      <c r="E43" s="683" t="s">
        <v>820</v>
      </c>
      <c r="F43" s="683" t="s">
        <v>821</v>
      </c>
      <c r="G43" s="683" t="s">
        <v>822</v>
      </c>
      <c r="H43" s="683" t="s">
        <v>823</v>
      </c>
      <c r="I43" s="683" t="s">
        <v>824</v>
      </c>
      <c r="J43" s="683" t="s">
        <v>825</v>
      </c>
      <c r="K43" s="683" t="s">
        <v>184</v>
      </c>
      <c r="L43" s="683" t="s">
        <v>185</v>
      </c>
      <c r="M43" s="683" t="s">
        <v>186</v>
      </c>
      <c r="N43" s="683" t="s">
        <v>188</v>
      </c>
      <c r="O43" s="667"/>
      <c r="P43" s="685">
        <v>0</v>
      </c>
      <c r="Q43" s="686" t="s">
        <v>191</v>
      </c>
      <c r="S43" s="683" t="s">
        <v>826</v>
      </c>
      <c r="T43" s="683" t="s">
        <v>827</v>
      </c>
      <c r="U43" s="683" t="s">
        <v>828</v>
      </c>
      <c r="V43" s="683" t="s">
        <v>829</v>
      </c>
      <c r="W43" s="683" t="s">
        <v>830</v>
      </c>
      <c r="X43" s="683" t="s">
        <v>831</v>
      </c>
      <c r="Y43" s="683" t="s">
        <v>832</v>
      </c>
      <c r="Z43" s="683" t="s">
        <v>833</v>
      </c>
      <c r="AA43" s="683" t="s">
        <v>192</v>
      </c>
      <c r="AB43" s="683" t="s">
        <v>193</v>
      </c>
      <c r="AC43" s="683" t="s">
        <v>194</v>
      </c>
      <c r="AD43" s="667"/>
      <c r="AE43" s="685" t="s">
        <v>200</v>
      </c>
      <c r="AF43" s="685" t="s">
        <v>201</v>
      </c>
      <c r="AG43" s="685" t="s">
        <v>202</v>
      </c>
      <c r="AI43" s="636"/>
    </row>
    <row r="44" spans="1:36" ht="60">
      <c r="A44" s="687" t="s">
        <v>412</v>
      </c>
      <c r="B44" s="688" t="s">
        <v>411</v>
      </c>
      <c r="C44" s="689" t="s">
        <v>834</v>
      </c>
      <c r="D44" s="689" t="s">
        <v>816</v>
      </c>
      <c r="E44" s="690" t="s">
        <v>414</v>
      </c>
      <c r="F44" s="689" t="s">
        <v>415</v>
      </c>
      <c r="G44" s="689" t="s">
        <v>817</v>
      </c>
      <c r="H44" s="691" t="s">
        <v>416</v>
      </c>
      <c r="I44" s="689" t="s">
        <v>417</v>
      </c>
      <c r="J44" s="692" t="s">
        <v>418</v>
      </c>
      <c r="K44" s="693" t="s">
        <v>419</v>
      </c>
      <c r="L44" s="694" t="s">
        <v>835</v>
      </c>
      <c r="M44" s="693" t="s">
        <v>421</v>
      </c>
      <c r="N44" s="693" t="s">
        <v>836</v>
      </c>
      <c r="O44" s="695"/>
      <c r="P44" s="693" t="s">
        <v>837</v>
      </c>
      <c r="Q44" s="693" t="s">
        <v>838</v>
      </c>
      <c r="R44" s="696"/>
      <c r="S44" s="697" t="s">
        <v>839</v>
      </c>
      <c r="T44" s="689" t="s">
        <v>816</v>
      </c>
      <c r="U44" s="690" t="s">
        <v>414</v>
      </c>
      <c r="V44" s="689" t="s">
        <v>415</v>
      </c>
      <c r="W44" s="689" t="s">
        <v>817</v>
      </c>
      <c r="X44" s="691" t="s">
        <v>416</v>
      </c>
      <c r="Y44" s="689" t="s">
        <v>417</v>
      </c>
      <c r="Z44" s="692" t="s">
        <v>418</v>
      </c>
      <c r="AA44" s="693" t="s">
        <v>419</v>
      </c>
      <c r="AB44" s="694" t="s">
        <v>835</v>
      </c>
      <c r="AC44" s="693" t="s">
        <v>421</v>
      </c>
      <c r="AD44" s="695"/>
      <c r="AE44" s="693" t="s">
        <v>840</v>
      </c>
      <c r="AF44" s="693" t="s">
        <v>841</v>
      </c>
      <c r="AG44" s="693" t="str">
        <f>"Total "&amp;A42&amp;" True-up"</f>
        <v>Total 2014 True-up</v>
      </c>
      <c r="AH44" s="696"/>
      <c r="AI44" s="636"/>
    </row>
    <row r="45" spans="1:36" hidden="1" outlineLevel="1">
      <c r="A45" s="698"/>
      <c r="B45" s="698"/>
      <c r="C45" s="699"/>
      <c r="D45" s="699"/>
      <c r="E45" s="700"/>
      <c r="F45" s="699"/>
      <c r="G45" s="699"/>
      <c r="H45" s="701"/>
      <c r="I45" s="699"/>
      <c r="J45" s="701"/>
      <c r="K45" s="701"/>
      <c r="L45" s="702"/>
      <c r="M45" s="703"/>
      <c r="N45" s="703"/>
      <c r="O45" s="667"/>
      <c r="P45" s="703"/>
      <c r="Q45" s="703"/>
      <c r="S45" s="704"/>
      <c r="T45" s="699"/>
      <c r="U45" s="700"/>
      <c r="V45" s="699"/>
      <c r="W45" s="699"/>
      <c r="X45" s="701"/>
      <c r="Y45" s="699"/>
      <c r="Z45" s="701"/>
      <c r="AA45" s="701"/>
      <c r="AB45" s="702"/>
      <c r="AC45" s="703"/>
      <c r="AD45" s="667"/>
      <c r="AE45" s="703"/>
      <c r="AF45" s="703"/>
      <c r="AG45" s="703"/>
      <c r="AI45" s="636"/>
    </row>
    <row r="46" spans="1:36" collapsed="1">
      <c r="A46" s="705"/>
      <c r="B46" s="680"/>
      <c r="C46" s="680"/>
      <c r="D46" s="680"/>
      <c r="E46" s="706"/>
      <c r="F46" s="680"/>
      <c r="G46" s="680"/>
      <c r="H46" s="707"/>
      <c r="I46" s="680"/>
      <c r="J46" s="707"/>
      <c r="K46" s="707"/>
      <c r="L46" s="657"/>
      <c r="M46" s="708"/>
      <c r="N46" s="708"/>
      <c r="O46" s="667"/>
      <c r="P46" s="708"/>
      <c r="Q46" s="708"/>
      <c r="S46" s="709"/>
      <c r="T46" s="680"/>
      <c r="U46" s="706"/>
      <c r="V46" s="680"/>
      <c r="W46" s="680"/>
      <c r="X46" s="707"/>
      <c r="Y46" s="680"/>
      <c r="Z46" s="707"/>
      <c r="AA46" s="707"/>
      <c r="AB46" s="657"/>
      <c r="AC46" s="708"/>
      <c r="AD46" s="667"/>
      <c r="AE46" s="708"/>
      <c r="AF46" s="708"/>
      <c r="AG46" s="708"/>
      <c r="AI46" s="636"/>
    </row>
    <row r="47" spans="1:36">
      <c r="A47" s="710">
        <v>345</v>
      </c>
      <c r="B47" s="635" t="s">
        <v>774</v>
      </c>
      <c r="C47" s="671">
        <v>148563323.00999996</v>
      </c>
      <c r="D47" s="656">
        <f>+D42</f>
        <v>3.6822877462734584E-2</v>
      </c>
      <c r="E47" s="711">
        <f t="shared" ref="E47:E72" si="0">C47*D47</f>
        <v>5470529.0386538859</v>
      </c>
      <c r="F47" s="671">
        <v>127679117.39075936</v>
      </c>
      <c r="G47" s="656">
        <f>+G42</f>
        <v>0.10432257058934746</v>
      </c>
      <c r="H47" s="712">
        <f t="shared" ref="H47:H72" si="1">F47*G47</f>
        <v>13319813.736783074</v>
      </c>
      <c r="I47" s="671">
        <v>4013551.0792406364</v>
      </c>
      <c r="J47" s="713">
        <v>0</v>
      </c>
      <c r="K47" s="712">
        <f t="shared" ref="K47:K72" si="2">E47+H47+I47+J47</f>
        <v>22803893.854677595</v>
      </c>
      <c r="L47" s="671">
        <v>-1414404.5786856352</v>
      </c>
      <c r="M47" s="714">
        <f t="shared" ref="M47:M72" si="3">K47+L47</f>
        <v>21389489.275991961</v>
      </c>
      <c r="N47" s="715">
        <f>+M47/$M74</f>
        <v>0.2475134332926951</v>
      </c>
      <c r="O47" s="637"/>
      <c r="P47" s="714">
        <f>+P42*N47</f>
        <v>22141914.492676862</v>
      </c>
      <c r="Q47" s="715">
        <f>+P47/$P74</f>
        <v>0.2475134332926951</v>
      </c>
      <c r="R47" s="637"/>
      <c r="S47" s="716">
        <v>148563323.00999996</v>
      </c>
      <c r="T47" s="656">
        <f>+T42</f>
        <v>3.5342098065073733E-2</v>
      </c>
      <c r="U47" s="717">
        <f t="shared" ref="U47:U72" si="4">S47*T47</f>
        <v>5250539.5306926435</v>
      </c>
      <c r="V47" s="716">
        <v>127844694.47000001</v>
      </c>
      <c r="W47" s="656">
        <f>+W42</f>
        <v>0.10429511896776096</v>
      </c>
      <c r="X47" s="712">
        <f t="shared" ref="X47:X72" si="5">V47*W47</f>
        <v>13333577.619145703</v>
      </c>
      <c r="Y47" s="716">
        <v>3847974</v>
      </c>
      <c r="Z47" s="716">
        <v>0</v>
      </c>
      <c r="AA47" s="712">
        <f t="shared" ref="AA47:AA72" si="6">U47+X47+Y47+Z47</f>
        <v>22432091.149838347</v>
      </c>
      <c r="AB47" s="716">
        <f t="shared" ref="AB47:AB72" si="7">+L47</f>
        <v>-1414404.5786856352</v>
      </c>
      <c r="AC47" s="714">
        <f t="shared" ref="AC47:AC72" si="8">AA47+AB47</f>
        <v>21017686.571152713</v>
      </c>
      <c r="AD47" s="637"/>
      <c r="AE47" s="714">
        <f t="shared" ref="AE47:AE72" si="9">+AC47-P47</f>
        <v>-1124227.9215241484</v>
      </c>
      <c r="AF47" s="714">
        <f>(AE47/AE74)*AF42</f>
        <v>-72849.969314764836</v>
      </c>
      <c r="AG47" s="714">
        <f t="shared" ref="AG47:AG72" si="10">+AE47+AF47</f>
        <v>-1197077.8908389132</v>
      </c>
      <c r="AI47" s="636"/>
    </row>
    <row r="48" spans="1:36">
      <c r="A48" s="710">
        <v>1453</v>
      </c>
      <c r="B48" s="635" t="s">
        <v>775</v>
      </c>
      <c r="C48" s="671">
        <v>8751971.6800000053</v>
      </c>
      <c r="D48" s="656">
        <f t="shared" ref="D48:D72" si="11">+D47</f>
        <v>3.6822877462734584E-2</v>
      </c>
      <c r="E48" s="711">
        <f t="shared" si="0"/>
        <v>322272.7807299635</v>
      </c>
      <c r="F48" s="671">
        <v>7327298.2305663247</v>
      </c>
      <c r="G48" s="656">
        <f t="shared" ref="G48:G72" si="12">+G47</f>
        <v>0.10432257058934746</v>
      </c>
      <c r="H48" s="712">
        <f t="shared" si="1"/>
        <v>764402.58688745613</v>
      </c>
      <c r="I48" s="671">
        <v>236441.16643367676</v>
      </c>
      <c r="J48" s="713">
        <v>0</v>
      </c>
      <c r="K48" s="712">
        <f t="shared" si="2"/>
        <v>1323116.5340510965</v>
      </c>
      <c r="L48" s="671">
        <v>-56535.309259493617</v>
      </c>
      <c r="M48" s="714">
        <f t="shared" si="3"/>
        <v>1266581.2247916029</v>
      </c>
      <c r="N48" s="715">
        <f>+M48/$M74</f>
        <v>1.4656538239279569E-2</v>
      </c>
      <c r="O48" s="637"/>
      <c r="P48" s="714">
        <f>+P42*N48</f>
        <v>1311136.1760677197</v>
      </c>
      <c r="Q48" s="715">
        <f>+P48/$P74</f>
        <v>1.4656538239279569E-2</v>
      </c>
      <c r="R48" s="637"/>
      <c r="S48" s="716">
        <v>8751971.6800000034</v>
      </c>
      <c r="T48" s="656">
        <f t="shared" ref="T48:T72" si="13">+T47</f>
        <v>3.5342098065073733E-2</v>
      </c>
      <c r="U48" s="717">
        <f t="shared" si="4"/>
        <v>309313.04137730825</v>
      </c>
      <c r="V48" s="716">
        <v>7312143.3170000007</v>
      </c>
      <c r="W48" s="656">
        <f t="shared" ref="W48:W72" si="14">+W47</f>
        <v>0.10429511896776096</v>
      </c>
      <c r="X48" s="712">
        <f t="shared" si="5"/>
        <v>762620.85715583328</v>
      </c>
      <c r="Y48" s="716">
        <v>251596.08</v>
      </c>
      <c r="Z48" s="716">
        <v>0</v>
      </c>
      <c r="AA48" s="712">
        <f t="shared" si="6"/>
        <v>1323529.9785331415</v>
      </c>
      <c r="AB48" s="716">
        <f t="shared" si="7"/>
        <v>-56535.309259493617</v>
      </c>
      <c r="AC48" s="714">
        <f t="shared" si="8"/>
        <v>1266994.6692736479</v>
      </c>
      <c r="AD48" s="637"/>
      <c r="AE48" s="714">
        <f t="shared" si="9"/>
        <v>-44141.506794071756</v>
      </c>
      <c r="AF48" s="714">
        <f>(AE48/AE74)*AF42</f>
        <v>-2860.3696402558508</v>
      </c>
      <c r="AG48" s="714">
        <f t="shared" si="10"/>
        <v>-47001.876434327605</v>
      </c>
      <c r="AI48" s="636"/>
    </row>
    <row r="49" spans="1:35">
      <c r="A49" s="710">
        <v>352</v>
      </c>
      <c r="B49" s="635" t="s">
        <v>776</v>
      </c>
      <c r="C49" s="671">
        <v>92880728.390000015</v>
      </c>
      <c r="D49" s="656">
        <f t="shared" si="11"/>
        <v>3.6822877462734584E-2</v>
      </c>
      <c r="E49" s="711">
        <f t="shared" si="0"/>
        <v>3420135.6801545038</v>
      </c>
      <c r="F49" s="671">
        <v>80337771.56319055</v>
      </c>
      <c r="G49" s="656">
        <f t="shared" si="12"/>
        <v>0.10432257058934746</v>
      </c>
      <c r="H49" s="712">
        <f t="shared" si="1"/>
        <v>8381042.8448918173</v>
      </c>
      <c r="I49" s="671">
        <v>2509243.466809426</v>
      </c>
      <c r="J49" s="713">
        <v>0</v>
      </c>
      <c r="K49" s="712">
        <f t="shared" si="2"/>
        <v>14310421.991855746</v>
      </c>
      <c r="L49" s="671">
        <v>-809933.08799944492</v>
      </c>
      <c r="M49" s="714">
        <f t="shared" si="3"/>
        <v>13500488.903856302</v>
      </c>
      <c r="N49" s="715">
        <f>+M49/$M74</f>
        <v>0.15622403679708424</v>
      </c>
      <c r="O49" s="637"/>
      <c r="P49" s="714">
        <f>+P42*N49</f>
        <v>13975400.116450697</v>
      </c>
      <c r="Q49" s="715">
        <f>+P49/$P74</f>
        <v>0.15622403679708424</v>
      </c>
      <c r="R49" s="637"/>
      <c r="S49" s="716">
        <v>88271860.389230788</v>
      </c>
      <c r="T49" s="656">
        <f t="shared" si="13"/>
        <v>3.5342098065073733E-2</v>
      </c>
      <c r="U49" s="717">
        <f t="shared" si="4"/>
        <v>3119712.7462626924</v>
      </c>
      <c r="V49" s="716">
        <v>76526943.780000001</v>
      </c>
      <c r="W49" s="656">
        <f t="shared" si="14"/>
        <v>0.10429511896776096</v>
      </c>
      <c r="X49" s="712">
        <f t="shared" si="5"/>
        <v>7981386.7057742551</v>
      </c>
      <c r="Y49" s="716">
        <v>2271945.48</v>
      </c>
      <c r="Z49" s="716">
        <v>0</v>
      </c>
      <c r="AA49" s="712">
        <f t="shared" si="6"/>
        <v>13373044.932036947</v>
      </c>
      <c r="AB49" s="716">
        <f t="shared" si="7"/>
        <v>-809933.08799944492</v>
      </c>
      <c r="AC49" s="714">
        <f t="shared" si="8"/>
        <v>12563111.844037503</v>
      </c>
      <c r="AD49" s="637"/>
      <c r="AE49" s="714">
        <f t="shared" si="9"/>
        <v>-1412288.2724131942</v>
      </c>
      <c r="AF49" s="714">
        <f>(AE49/AE74)*AF42</f>
        <v>-91516.280052375005</v>
      </c>
      <c r="AG49" s="714">
        <f t="shared" si="10"/>
        <v>-1503804.5524655692</v>
      </c>
      <c r="AI49" s="636"/>
    </row>
    <row r="50" spans="1:35">
      <c r="A50" s="710">
        <v>356</v>
      </c>
      <c r="B50" s="635" t="s">
        <v>777</v>
      </c>
      <c r="C50" s="671">
        <v>139097082.04999998</v>
      </c>
      <c r="D50" s="656">
        <f t="shared" si="11"/>
        <v>3.6822877462734584E-2</v>
      </c>
      <c r="E50" s="711">
        <f t="shared" si="0"/>
        <v>5121954.8077510875</v>
      </c>
      <c r="F50" s="671">
        <v>133783146.58905786</v>
      </c>
      <c r="G50" s="656">
        <f t="shared" si="12"/>
        <v>0.10432257058934746</v>
      </c>
      <c r="H50" s="712">
        <f t="shared" si="1"/>
        <v>13956601.753702009</v>
      </c>
      <c r="I50" s="671">
        <v>3757749.7244806928</v>
      </c>
      <c r="J50" s="713">
        <v>0</v>
      </c>
      <c r="K50" s="712">
        <f t="shared" si="2"/>
        <v>22836306.285933789</v>
      </c>
      <c r="L50" s="671">
        <v>-736883.63231340342</v>
      </c>
      <c r="M50" s="714">
        <f t="shared" si="3"/>
        <v>22099422.653620385</v>
      </c>
      <c r="N50" s="715">
        <f>+M50/$M74</f>
        <v>0.25572859193620323</v>
      </c>
      <c r="O50" s="637"/>
      <c r="P50" s="714">
        <f>+P42*N50</f>
        <v>22876821.434124473</v>
      </c>
      <c r="Q50" s="715">
        <f>+P50/$P74</f>
        <v>0.25572859193620323</v>
      </c>
      <c r="R50" s="637"/>
      <c r="S50" s="716">
        <v>140315731.35153845</v>
      </c>
      <c r="T50" s="656">
        <f t="shared" si="13"/>
        <v>3.5342098065073733E-2</v>
      </c>
      <c r="U50" s="717">
        <f t="shared" si="4"/>
        <v>4959052.3374986127</v>
      </c>
      <c r="V50" s="716">
        <v>135179630.02076924</v>
      </c>
      <c r="W50" s="656">
        <f t="shared" si="14"/>
        <v>0.10429511896776096</v>
      </c>
      <c r="X50" s="712">
        <f t="shared" si="5"/>
        <v>14098575.595034039</v>
      </c>
      <c r="Y50" s="716">
        <v>3571084.2399999993</v>
      </c>
      <c r="Z50" s="716">
        <v>0</v>
      </c>
      <c r="AA50" s="712">
        <f t="shared" si="6"/>
        <v>22628712.172532652</v>
      </c>
      <c r="AB50" s="716">
        <f t="shared" si="7"/>
        <v>-736883.63231340342</v>
      </c>
      <c r="AC50" s="714">
        <f t="shared" si="8"/>
        <v>21891828.540219247</v>
      </c>
      <c r="AD50" s="637"/>
      <c r="AE50" s="714">
        <f t="shared" si="9"/>
        <v>-984992.89390522614</v>
      </c>
      <c r="AF50" s="714">
        <f>(AE50/AE74)*AF42</f>
        <v>-63827.539525058681</v>
      </c>
      <c r="AG50" s="714">
        <f t="shared" si="10"/>
        <v>-1048820.4334302847</v>
      </c>
      <c r="AI50" s="636"/>
    </row>
    <row r="51" spans="1:35">
      <c r="A51" s="710">
        <v>1621</v>
      </c>
      <c r="B51" s="635" t="s">
        <v>842</v>
      </c>
      <c r="C51" s="671">
        <v>0</v>
      </c>
      <c r="D51" s="656">
        <f t="shared" si="11"/>
        <v>3.6822877462734584E-2</v>
      </c>
      <c r="E51" s="711">
        <f t="shared" si="0"/>
        <v>0</v>
      </c>
      <c r="F51" s="671">
        <v>0</v>
      </c>
      <c r="G51" s="656">
        <f t="shared" si="12"/>
        <v>0.10432257058934746</v>
      </c>
      <c r="H51" s="712">
        <f t="shared" si="1"/>
        <v>0</v>
      </c>
      <c r="I51" s="671">
        <v>0</v>
      </c>
      <c r="J51" s="713">
        <v>0</v>
      </c>
      <c r="K51" s="712">
        <f t="shared" si="2"/>
        <v>0</v>
      </c>
      <c r="L51" s="671">
        <v>0</v>
      </c>
      <c r="M51" s="714">
        <f t="shared" si="3"/>
        <v>0</v>
      </c>
      <c r="N51" s="715">
        <f>+M51/$M74</f>
        <v>0</v>
      </c>
      <c r="O51" s="637"/>
      <c r="P51" s="714">
        <f>+P42*N51</f>
        <v>0</v>
      </c>
      <c r="Q51" s="715">
        <f>+P51/$P74</f>
        <v>0</v>
      </c>
      <c r="R51" s="637"/>
      <c r="S51" s="716">
        <v>0</v>
      </c>
      <c r="T51" s="656">
        <f t="shared" si="13"/>
        <v>3.5342098065073733E-2</v>
      </c>
      <c r="U51" s="717">
        <f t="shared" si="4"/>
        <v>0</v>
      </c>
      <c r="V51" s="716">
        <v>0</v>
      </c>
      <c r="W51" s="656">
        <f t="shared" si="14"/>
        <v>0.10429511896776096</v>
      </c>
      <c r="X51" s="712">
        <f t="shared" si="5"/>
        <v>0</v>
      </c>
      <c r="Y51" s="716">
        <v>0</v>
      </c>
      <c r="Z51" s="716">
        <v>0</v>
      </c>
      <c r="AA51" s="712">
        <f t="shared" si="6"/>
        <v>0</v>
      </c>
      <c r="AB51" s="716">
        <f t="shared" si="7"/>
        <v>0</v>
      </c>
      <c r="AC51" s="714">
        <f t="shared" si="8"/>
        <v>0</v>
      </c>
      <c r="AD51" s="637"/>
      <c r="AE51" s="714">
        <f t="shared" si="9"/>
        <v>0</v>
      </c>
      <c r="AF51" s="714">
        <f>(AE51/AE74)*AF42</f>
        <v>0</v>
      </c>
      <c r="AG51" s="714">
        <f t="shared" si="10"/>
        <v>0</v>
      </c>
      <c r="AI51" s="636"/>
    </row>
    <row r="52" spans="1:35">
      <c r="A52" s="710">
        <v>1712</v>
      </c>
      <c r="B52" s="635" t="s">
        <v>843</v>
      </c>
      <c r="C52" s="671">
        <v>0</v>
      </c>
      <c r="D52" s="656">
        <f t="shared" si="11"/>
        <v>3.6822877462734584E-2</v>
      </c>
      <c r="E52" s="711">
        <f t="shared" si="0"/>
        <v>0</v>
      </c>
      <c r="F52" s="671">
        <v>0</v>
      </c>
      <c r="G52" s="656">
        <f t="shared" si="12"/>
        <v>0.10432257058934746</v>
      </c>
      <c r="H52" s="712">
        <f t="shared" si="1"/>
        <v>0</v>
      </c>
      <c r="I52" s="671">
        <v>0</v>
      </c>
      <c r="J52" s="713">
        <v>0</v>
      </c>
      <c r="K52" s="712">
        <f t="shared" si="2"/>
        <v>0</v>
      </c>
      <c r="L52" s="671">
        <v>0</v>
      </c>
      <c r="M52" s="714">
        <f t="shared" si="3"/>
        <v>0</v>
      </c>
      <c r="N52" s="715">
        <f>+M52/$M74</f>
        <v>0</v>
      </c>
      <c r="O52" s="637"/>
      <c r="P52" s="714">
        <f>+$P42*N52</f>
        <v>0</v>
      </c>
      <c r="Q52" s="715">
        <f>+P52/$P74</f>
        <v>0</v>
      </c>
      <c r="R52" s="637"/>
      <c r="S52" s="716">
        <v>0</v>
      </c>
      <c r="T52" s="656">
        <f t="shared" si="13"/>
        <v>3.5342098065073733E-2</v>
      </c>
      <c r="U52" s="717">
        <f t="shared" si="4"/>
        <v>0</v>
      </c>
      <c r="V52" s="716">
        <v>0</v>
      </c>
      <c r="W52" s="656">
        <f t="shared" si="14"/>
        <v>0.10429511896776096</v>
      </c>
      <c r="X52" s="712">
        <f t="shared" si="5"/>
        <v>0</v>
      </c>
      <c r="Y52" s="716">
        <v>0</v>
      </c>
      <c r="Z52" s="716">
        <v>0</v>
      </c>
      <c r="AA52" s="712">
        <f t="shared" si="6"/>
        <v>0</v>
      </c>
      <c r="AB52" s="716">
        <f t="shared" si="7"/>
        <v>0</v>
      </c>
      <c r="AC52" s="714">
        <f t="shared" si="8"/>
        <v>0</v>
      </c>
      <c r="AD52" s="637"/>
      <c r="AE52" s="714">
        <f t="shared" si="9"/>
        <v>0</v>
      </c>
      <c r="AF52" s="714">
        <f>(AE52/AE74)*AF42</f>
        <v>0</v>
      </c>
      <c r="AG52" s="714">
        <f t="shared" si="10"/>
        <v>0</v>
      </c>
      <c r="AI52" s="636"/>
    </row>
    <row r="53" spans="1:35">
      <c r="A53" s="710">
        <v>1616</v>
      </c>
      <c r="B53" s="635" t="s">
        <v>778</v>
      </c>
      <c r="C53" s="671">
        <v>1379725.86</v>
      </c>
      <c r="D53" s="656">
        <f t="shared" si="11"/>
        <v>3.6822877462734584E-2</v>
      </c>
      <c r="E53" s="711">
        <f t="shared" si="0"/>
        <v>50805.476274946093</v>
      </c>
      <c r="F53" s="671">
        <v>1162187.3873004464</v>
      </c>
      <c r="G53" s="656">
        <f t="shared" si="12"/>
        <v>0.10432257058934746</v>
      </c>
      <c r="H53" s="712">
        <f t="shared" si="1"/>
        <v>121242.37574970012</v>
      </c>
      <c r="I53" s="671">
        <v>37274.342699553599</v>
      </c>
      <c r="J53" s="713">
        <v>0</v>
      </c>
      <c r="K53" s="712">
        <f t="shared" si="2"/>
        <v>209322.19472419983</v>
      </c>
      <c r="L53" s="671">
        <v>45412.024753281323</v>
      </c>
      <c r="M53" s="714">
        <f t="shared" si="3"/>
        <v>254734.21947748115</v>
      </c>
      <c r="N53" s="715">
        <f>+M53/$M74</f>
        <v>2.9477160686943171E-3</v>
      </c>
      <c r="O53" s="637"/>
      <c r="P53" s="714">
        <f>+$P42*N53</f>
        <v>263695.09029652103</v>
      </c>
      <c r="Q53" s="715">
        <f>+P53/$P74</f>
        <v>2.9477160686943176E-3</v>
      </c>
      <c r="R53" s="637"/>
      <c r="S53" s="716">
        <v>1379725.8599999996</v>
      </c>
      <c r="T53" s="656">
        <f t="shared" si="13"/>
        <v>3.5342098065073733E-2</v>
      </c>
      <c r="U53" s="717">
        <f t="shared" si="4"/>
        <v>48762.40664703818</v>
      </c>
      <c r="V53" s="716">
        <v>1161315.4100000001</v>
      </c>
      <c r="W53" s="656">
        <f t="shared" si="14"/>
        <v>0.10429511896776096</v>
      </c>
      <c r="X53" s="712">
        <f t="shared" si="5"/>
        <v>121119.52884504411</v>
      </c>
      <c r="Y53" s="716">
        <v>76292.639999999999</v>
      </c>
      <c r="Z53" s="716">
        <v>0</v>
      </c>
      <c r="AA53" s="712">
        <f t="shared" si="6"/>
        <v>246174.57549208228</v>
      </c>
      <c r="AB53" s="716">
        <f t="shared" si="7"/>
        <v>45412.024753281323</v>
      </c>
      <c r="AC53" s="714">
        <f t="shared" si="8"/>
        <v>291586.6002453636</v>
      </c>
      <c r="AD53" s="637"/>
      <c r="AE53" s="714">
        <f t="shared" si="9"/>
        <v>27891.509948842577</v>
      </c>
      <c r="AF53" s="714">
        <f>(AE53/AE74)*AF42</f>
        <v>1807.3698446849996</v>
      </c>
      <c r="AG53" s="714">
        <f t="shared" si="10"/>
        <v>29698.879793527576</v>
      </c>
      <c r="AI53" s="636"/>
    </row>
    <row r="54" spans="1:35">
      <c r="A54" s="710" t="s">
        <v>780</v>
      </c>
      <c r="B54" s="635" t="s">
        <v>779</v>
      </c>
      <c r="C54" s="671">
        <v>2147722.77</v>
      </c>
      <c r="D54" s="656">
        <f t="shared" si="11"/>
        <v>3.6822877462734584E-2</v>
      </c>
      <c r="E54" s="711">
        <f t="shared" si="0"/>
        <v>79085.332383634886</v>
      </c>
      <c r="F54" s="671">
        <v>2009166.1020991446</v>
      </c>
      <c r="G54" s="656">
        <f t="shared" si="12"/>
        <v>0.10432257058934746</v>
      </c>
      <c r="H54" s="712">
        <f t="shared" si="1"/>
        <v>209601.37251196211</v>
      </c>
      <c r="I54" s="671">
        <v>58022.362900855194</v>
      </c>
      <c r="J54" s="713">
        <v>0</v>
      </c>
      <c r="K54" s="712">
        <f t="shared" si="2"/>
        <v>346709.0677964522</v>
      </c>
      <c r="L54" s="671">
        <v>76673.341300502361</v>
      </c>
      <c r="M54" s="714">
        <f t="shared" si="3"/>
        <v>423382.40909695457</v>
      </c>
      <c r="N54" s="715">
        <f>+M54/$M74</f>
        <v>4.8992676879359345E-3</v>
      </c>
      <c r="O54" s="637"/>
      <c r="P54" s="714">
        <f>+$P42*N54</f>
        <v>438275.87367644376</v>
      </c>
      <c r="Q54" s="715">
        <f>+P54/$P74</f>
        <v>4.8992676879359345E-3</v>
      </c>
      <c r="R54" s="637"/>
      <c r="S54" s="716">
        <v>2147722.77</v>
      </c>
      <c r="T54" s="656">
        <f t="shared" si="13"/>
        <v>3.5342098065073733E-2</v>
      </c>
      <c r="U54" s="717">
        <f t="shared" si="4"/>
        <v>75905.028753931794</v>
      </c>
      <c r="V54" s="716">
        <v>2007484.7450000006</v>
      </c>
      <c r="W54" s="656">
        <f t="shared" si="14"/>
        <v>0.10429511896776096</v>
      </c>
      <c r="X54" s="712">
        <f t="shared" si="5"/>
        <v>209370.86030574032</v>
      </c>
      <c r="Y54" s="716">
        <v>119407.43999999999</v>
      </c>
      <c r="Z54" s="716">
        <v>0</v>
      </c>
      <c r="AA54" s="712">
        <f t="shared" si="6"/>
        <v>404683.32905967213</v>
      </c>
      <c r="AB54" s="716">
        <f t="shared" si="7"/>
        <v>76673.341300502361</v>
      </c>
      <c r="AC54" s="714">
        <f t="shared" si="8"/>
        <v>481356.6703601745</v>
      </c>
      <c r="AD54" s="637"/>
      <c r="AE54" s="714">
        <f t="shared" si="9"/>
        <v>43080.796683730732</v>
      </c>
      <c r="AF54" s="714">
        <f>(AE54/AE74)*AF42</f>
        <v>2791.6356251057523</v>
      </c>
      <c r="AG54" s="714">
        <f t="shared" si="10"/>
        <v>45872.432308836484</v>
      </c>
      <c r="AI54" s="636"/>
    </row>
    <row r="55" spans="1:35">
      <c r="A55" s="710">
        <v>2837</v>
      </c>
      <c r="B55" s="635" t="s">
        <v>783</v>
      </c>
      <c r="C55" s="671">
        <v>626602.79500000004</v>
      </c>
      <c r="D55" s="656">
        <f t="shared" si="11"/>
        <v>3.6822877462734584E-2</v>
      </c>
      <c r="E55" s="711">
        <f t="shared" si="0"/>
        <v>23073.317938092001</v>
      </c>
      <c r="F55" s="671">
        <v>583653.95927495079</v>
      </c>
      <c r="G55" s="656">
        <f t="shared" si="12"/>
        <v>0.10432257058934746</v>
      </c>
      <c r="H55" s="712">
        <f t="shared" si="1"/>
        <v>60888.281366213181</v>
      </c>
      <c r="I55" s="671">
        <v>16928.150725049203</v>
      </c>
      <c r="J55" s="713">
        <v>0</v>
      </c>
      <c r="K55" s="712">
        <f t="shared" si="2"/>
        <v>100889.75002935439</v>
      </c>
      <c r="L55" s="671">
        <v>25990.300548957122</v>
      </c>
      <c r="M55" s="714">
        <f t="shared" si="3"/>
        <v>126880.05057831151</v>
      </c>
      <c r="N55" s="715">
        <f>+M55/$M74</f>
        <v>1.4682219163707575E-3</v>
      </c>
      <c r="O55" s="637"/>
      <c r="P55" s="714">
        <f>+$P42*N55</f>
        <v>131343.3525448775</v>
      </c>
      <c r="Q55" s="715">
        <f>+P55/$P74</f>
        <v>1.4682219163707577E-3</v>
      </c>
      <c r="R55" s="637"/>
      <c r="S55" s="716">
        <v>626602.79500000004</v>
      </c>
      <c r="T55" s="656">
        <f t="shared" si="13"/>
        <v>3.5342098065073733E-2</v>
      </c>
      <c r="U55" s="717">
        <f t="shared" si="4"/>
        <v>22145.457428739293</v>
      </c>
      <c r="V55" s="716">
        <v>582303.17000000004</v>
      </c>
      <c r="W55" s="656">
        <f t="shared" si="14"/>
        <v>0.10429511896776096</v>
      </c>
      <c r="X55" s="712">
        <f t="shared" si="5"/>
        <v>60731.378390454338</v>
      </c>
      <c r="Y55" s="716">
        <v>36557.87999999999</v>
      </c>
      <c r="Z55" s="716">
        <v>0</v>
      </c>
      <c r="AA55" s="712">
        <f t="shared" si="6"/>
        <v>119434.71581919362</v>
      </c>
      <c r="AB55" s="716">
        <f t="shared" si="7"/>
        <v>25990.300548957122</v>
      </c>
      <c r="AC55" s="714">
        <f t="shared" si="8"/>
        <v>145425.01636815074</v>
      </c>
      <c r="AD55" s="637"/>
      <c r="AE55" s="714">
        <f t="shared" si="9"/>
        <v>14081.663823273237</v>
      </c>
      <c r="AF55" s="714">
        <f>(AE55/AE74)*AF42</f>
        <v>912.49181574810609</v>
      </c>
      <c r="AG55" s="714">
        <f t="shared" si="10"/>
        <v>14994.155639021343</v>
      </c>
      <c r="AI55" s="636"/>
    </row>
    <row r="56" spans="1:35">
      <c r="A56" s="710">
        <v>2793</v>
      </c>
      <c r="B56" s="635" t="s">
        <v>784</v>
      </c>
      <c r="C56" s="671">
        <v>405929.96499999991</v>
      </c>
      <c r="D56" s="656">
        <f t="shared" si="11"/>
        <v>3.6822877462734584E-2</v>
      </c>
      <c r="E56" s="711">
        <f t="shared" si="0"/>
        <v>14947.509359647134</v>
      </c>
      <c r="F56" s="671">
        <v>369890.49848875176</v>
      </c>
      <c r="G56" s="656">
        <f t="shared" si="12"/>
        <v>0.10432257058934746</v>
      </c>
      <c r="H56" s="712">
        <f t="shared" si="1"/>
        <v>38587.927638921727</v>
      </c>
      <c r="I56" s="671">
        <v>10966.506511248399</v>
      </c>
      <c r="J56" s="713">
        <v>0</v>
      </c>
      <c r="K56" s="712">
        <f t="shared" si="2"/>
        <v>64501.943509817262</v>
      </c>
      <c r="L56" s="671">
        <v>28215.115541198622</v>
      </c>
      <c r="M56" s="714">
        <f t="shared" si="3"/>
        <v>92717.05905101588</v>
      </c>
      <c r="N56" s="715">
        <f>+M56/$M74</f>
        <v>1.0728969408482624E-3</v>
      </c>
      <c r="O56" s="637"/>
      <c r="P56" s="714">
        <f>+$P42*N56</f>
        <v>95978.598040876212</v>
      </c>
      <c r="Q56" s="715">
        <f>+P56/$P74</f>
        <v>1.0728969408482624E-3</v>
      </c>
      <c r="R56" s="637"/>
      <c r="S56" s="716">
        <v>405929.96499999991</v>
      </c>
      <c r="T56" s="656">
        <f t="shared" si="13"/>
        <v>3.5342098065073733E-2</v>
      </c>
      <c r="U56" s="717">
        <f t="shared" si="4"/>
        <v>14346.416630581945</v>
      </c>
      <c r="V56" s="716">
        <v>363158.44500000001</v>
      </c>
      <c r="W56" s="656">
        <f t="shared" si="14"/>
        <v>0.10429511896776096</v>
      </c>
      <c r="X56" s="712">
        <f t="shared" si="5"/>
        <v>37875.653225422073</v>
      </c>
      <c r="Y56" s="716">
        <v>35397.12000000001</v>
      </c>
      <c r="Z56" s="716">
        <v>0</v>
      </c>
      <c r="AA56" s="712">
        <f t="shared" si="6"/>
        <v>87619.189856004028</v>
      </c>
      <c r="AB56" s="716">
        <f t="shared" si="7"/>
        <v>28215.115541198622</v>
      </c>
      <c r="AC56" s="714">
        <f t="shared" si="8"/>
        <v>115834.30539720265</v>
      </c>
      <c r="AD56" s="637"/>
      <c r="AE56" s="714">
        <f t="shared" si="9"/>
        <v>19855.707356326442</v>
      </c>
      <c r="AF56" s="714">
        <f>(AE56/AE74)*AF42</f>
        <v>1286.6498366899539</v>
      </c>
      <c r="AG56" s="714">
        <f t="shared" si="10"/>
        <v>21142.357193016396</v>
      </c>
      <c r="AI56" s="636"/>
    </row>
    <row r="57" spans="1:35">
      <c r="A57" s="710">
        <v>1950</v>
      </c>
      <c r="B57" s="635" t="s">
        <v>781</v>
      </c>
      <c r="C57" s="671">
        <v>15402302.789999994</v>
      </c>
      <c r="D57" s="656">
        <f t="shared" si="11"/>
        <v>3.6822877462734584E-2</v>
      </c>
      <c r="E57" s="711">
        <f t="shared" si="0"/>
        <v>567157.10828010482</v>
      </c>
      <c r="F57" s="671">
        <v>14098690.014378028</v>
      </c>
      <c r="G57" s="656">
        <f t="shared" si="12"/>
        <v>0.10432257058934746</v>
      </c>
      <c r="H57" s="712">
        <f t="shared" si="1"/>
        <v>1470811.5842422801</v>
      </c>
      <c r="I57" s="671">
        <v>416104.91562197031</v>
      </c>
      <c r="J57" s="713">
        <v>0</v>
      </c>
      <c r="K57" s="712">
        <f t="shared" si="2"/>
        <v>2454073.608144355</v>
      </c>
      <c r="L57" s="671">
        <v>-83320.166499888772</v>
      </c>
      <c r="M57" s="714">
        <f t="shared" si="3"/>
        <v>2370753.441644466</v>
      </c>
      <c r="N57" s="715">
        <f>+M57/$M74</f>
        <v>2.7433722996393593E-2</v>
      </c>
      <c r="O57" s="637"/>
      <c r="P57" s="714">
        <f>+$P42*N57</f>
        <v>2454150.2282165512</v>
      </c>
      <c r="Q57" s="715">
        <f>+P57/$P74</f>
        <v>2.7433722996393593E-2</v>
      </c>
      <c r="R57" s="637"/>
      <c r="S57" s="716">
        <v>15402302.789999994</v>
      </c>
      <c r="T57" s="656">
        <f t="shared" si="13"/>
        <v>3.5342098065073733E-2</v>
      </c>
      <c r="U57" s="717">
        <f t="shared" si="4"/>
        <v>544349.69563213852</v>
      </c>
      <c r="V57" s="716">
        <v>14058672.426153848</v>
      </c>
      <c r="W57" s="656">
        <f t="shared" si="14"/>
        <v>0.10429511896776096</v>
      </c>
      <c r="X57" s="712">
        <f t="shared" si="5"/>
        <v>1466250.9132144961</v>
      </c>
      <c r="Y57" s="716">
        <v>456122.31000000006</v>
      </c>
      <c r="Z57" s="716">
        <v>0</v>
      </c>
      <c r="AA57" s="712">
        <f t="shared" si="6"/>
        <v>2466722.9188466347</v>
      </c>
      <c r="AB57" s="716">
        <f t="shared" si="7"/>
        <v>-83320.166499888772</v>
      </c>
      <c r="AC57" s="714">
        <f t="shared" si="8"/>
        <v>2383402.7523467457</v>
      </c>
      <c r="AD57" s="637"/>
      <c r="AE57" s="714">
        <f t="shared" si="9"/>
        <v>-70747.475869805552</v>
      </c>
      <c r="AF57" s="714">
        <f>(AE57/AE74)*AF42</f>
        <v>-4584.4364363634013</v>
      </c>
      <c r="AG57" s="714">
        <f t="shared" si="10"/>
        <v>-75331.912306168961</v>
      </c>
      <c r="AI57" s="636"/>
    </row>
    <row r="58" spans="1:35">
      <c r="A58" s="710">
        <v>3206</v>
      </c>
      <c r="B58" s="635" t="s">
        <v>787</v>
      </c>
      <c r="C58" s="671">
        <v>0</v>
      </c>
      <c r="D58" s="656">
        <f t="shared" si="11"/>
        <v>3.6822877462734584E-2</v>
      </c>
      <c r="E58" s="711">
        <f t="shared" si="0"/>
        <v>0</v>
      </c>
      <c r="F58" s="671">
        <v>0</v>
      </c>
      <c r="G58" s="656">
        <f t="shared" si="12"/>
        <v>0.10432257058934746</v>
      </c>
      <c r="H58" s="712">
        <f t="shared" si="1"/>
        <v>0</v>
      </c>
      <c r="I58" s="671">
        <v>0</v>
      </c>
      <c r="J58" s="713">
        <v>865000</v>
      </c>
      <c r="K58" s="712">
        <f t="shared" si="2"/>
        <v>865000</v>
      </c>
      <c r="L58" s="671">
        <v>-149780.17964734379</v>
      </c>
      <c r="M58" s="714">
        <f t="shared" si="3"/>
        <v>715219.82035265618</v>
      </c>
      <c r="N58" s="715">
        <f>+M58/$M74</f>
        <v>8.2763319409018821E-3</v>
      </c>
      <c r="O58" s="637"/>
      <c r="P58" s="714">
        <f>+$P42*N58</f>
        <v>740379.34713529015</v>
      </c>
      <c r="Q58" s="715">
        <f>+P58/$P74</f>
        <v>8.2763319409018821E-3</v>
      </c>
      <c r="R58" s="637"/>
      <c r="S58" s="716">
        <v>0</v>
      </c>
      <c r="T58" s="656">
        <f t="shared" si="13"/>
        <v>3.5342098065073733E-2</v>
      </c>
      <c r="U58" s="717">
        <f t="shared" si="4"/>
        <v>0</v>
      </c>
      <c r="V58" s="716">
        <v>0</v>
      </c>
      <c r="W58" s="656">
        <f t="shared" si="14"/>
        <v>0.10429511896776096</v>
      </c>
      <c r="X58" s="712">
        <f t="shared" si="5"/>
        <v>0</v>
      </c>
      <c r="Y58" s="716">
        <v>0</v>
      </c>
      <c r="Z58" s="716">
        <v>859167.39</v>
      </c>
      <c r="AA58" s="712">
        <f t="shared" si="6"/>
        <v>859167.39</v>
      </c>
      <c r="AB58" s="716">
        <f t="shared" si="7"/>
        <v>-149780.17964734379</v>
      </c>
      <c r="AC58" s="714">
        <f t="shared" si="8"/>
        <v>709387.2103526562</v>
      </c>
      <c r="AD58" s="637"/>
      <c r="AE58" s="714">
        <f t="shared" si="9"/>
        <v>-30992.136782633956</v>
      </c>
      <c r="AF58" s="714">
        <f>(AE58/AE74)*AF42</f>
        <v>-2008.2904635146811</v>
      </c>
      <c r="AG58" s="714">
        <f t="shared" si="10"/>
        <v>-33000.42724614864</v>
      </c>
      <c r="AI58" s="636"/>
    </row>
    <row r="59" spans="1:35">
      <c r="A59" s="710">
        <v>2846</v>
      </c>
      <c r="B59" s="635" t="s">
        <v>782</v>
      </c>
      <c r="C59" s="671">
        <v>113509921.67923078</v>
      </c>
      <c r="D59" s="656">
        <f t="shared" si="11"/>
        <v>3.6822877462734584E-2</v>
      </c>
      <c r="E59" s="711">
        <f t="shared" si="0"/>
        <v>4179761.9367989148</v>
      </c>
      <c r="F59" s="671">
        <v>112699691.55564621</v>
      </c>
      <c r="G59" s="656">
        <f t="shared" si="12"/>
        <v>0.10432257058934746</v>
      </c>
      <c r="H59" s="712">
        <f t="shared" si="1"/>
        <v>11757121.527711589</v>
      </c>
      <c r="I59" s="671">
        <v>1621674.426152851</v>
      </c>
      <c r="J59" s="713">
        <v>0</v>
      </c>
      <c r="K59" s="712">
        <f t="shared" si="2"/>
        <v>17558557.890663356</v>
      </c>
      <c r="L59" s="671">
        <v>1496787.8018154723</v>
      </c>
      <c r="M59" s="714">
        <f t="shared" si="3"/>
        <v>19055345.692478828</v>
      </c>
      <c r="N59" s="715">
        <f>+M59/$M74</f>
        <v>0.22050334975592223</v>
      </c>
      <c r="O59" s="637"/>
      <c r="P59" s="714">
        <f>+$P42*N59</f>
        <v>19725661.959813084</v>
      </c>
      <c r="Q59" s="715">
        <f>+P59/$P74</f>
        <v>0.22050334975592223</v>
      </c>
      <c r="R59" s="637"/>
      <c r="S59" s="716">
        <v>113481349.04846156</v>
      </c>
      <c r="T59" s="656">
        <f t="shared" si="13"/>
        <v>3.5342098065073733E-2</v>
      </c>
      <c r="U59" s="717">
        <f t="shared" si="4"/>
        <v>4010668.9666275904</v>
      </c>
      <c r="V59" s="716">
        <v>112737667.08615386</v>
      </c>
      <c r="W59" s="656">
        <f t="shared" si="14"/>
        <v>0.10429511896776096</v>
      </c>
      <c r="X59" s="712">
        <f t="shared" si="5"/>
        <v>11757988.400898246</v>
      </c>
      <c r="Y59" s="716">
        <v>1491012.5700000003</v>
      </c>
      <c r="Z59" s="716">
        <v>0</v>
      </c>
      <c r="AA59" s="712">
        <f t="shared" si="6"/>
        <v>17259669.937525839</v>
      </c>
      <c r="AB59" s="716">
        <f t="shared" si="7"/>
        <v>1496787.8018154723</v>
      </c>
      <c r="AC59" s="714">
        <f t="shared" si="8"/>
        <v>18756457.739341311</v>
      </c>
      <c r="AD59" s="637"/>
      <c r="AE59" s="714">
        <f t="shared" si="9"/>
        <v>-969204.2204717733</v>
      </c>
      <c r="AF59" s="714">
        <f>(AE59/AE74)*AF42</f>
        <v>-62804.433486570932</v>
      </c>
      <c r="AG59" s="714">
        <f t="shared" si="10"/>
        <v>-1032008.6539583442</v>
      </c>
      <c r="AI59" s="636"/>
    </row>
    <row r="60" spans="1:35">
      <c r="A60" s="710">
        <v>1270</v>
      </c>
      <c r="B60" s="635" t="s">
        <v>785</v>
      </c>
      <c r="C60" s="671">
        <v>109190.47923076921</v>
      </c>
      <c r="D60" s="656">
        <f t="shared" si="11"/>
        <v>3.6822877462734584E-2</v>
      </c>
      <c r="E60" s="711">
        <f t="shared" si="0"/>
        <v>4020.7076368118801</v>
      </c>
      <c r="F60" s="671">
        <v>109190.47923076921</v>
      </c>
      <c r="G60" s="656">
        <f t="shared" si="12"/>
        <v>0.10432257058934746</v>
      </c>
      <c r="H60" s="712">
        <f t="shared" si="1"/>
        <v>11391.0314772366</v>
      </c>
      <c r="I60" s="671">
        <v>0</v>
      </c>
      <c r="J60" s="713">
        <v>46450</v>
      </c>
      <c r="K60" s="712">
        <f t="shared" si="2"/>
        <v>61861.739114048483</v>
      </c>
      <c r="L60" s="671">
        <v>3184.1869014711292</v>
      </c>
      <c r="M60" s="714">
        <f t="shared" si="3"/>
        <v>65045.92601551961</v>
      </c>
      <c r="N60" s="715">
        <f>+M60/$M74</f>
        <v>7.5269401069218611E-4</v>
      </c>
      <c r="O60" s="637"/>
      <c r="P60" s="714">
        <f>+$P42*N60</f>
        <v>67334.068305650449</v>
      </c>
      <c r="Q60" s="715">
        <f>+P60/$P74</f>
        <v>7.5269401069218611E-4</v>
      </c>
      <c r="R60" s="637"/>
      <c r="S60" s="716">
        <v>0</v>
      </c>
      <c r="T60" s="656">
        <f t="shared" si="13"/>
        <v>3.5342098065073733E-2</v>
      </c>
      <c r="U60" s="717">
        <f t="shared" si="4"/>
        <v>0</v>
      </c>
      <c r="V60" s="716">
        <v>0</v>
      </c>
      <c r="W60" s="656">
        <f t="shared" si="14"/>
        <v>0.10429511896776096</v>
      </c>
      <c r="X60" s="712">
        <f t="shared" si="5"/>
        <v>0</v>
      </c>
      <c r="Y60" s="716">
        <v>0</v>
      </c>
      <c r="Z60" s="716">
        <v>0</v>
      </c>
      <c r="AA60" s="712">
        <f t="shared" si="6"/>
        <v>0</v>
      </c>
      <c r="AB60" s="716">
        <f t="shared" si="7"/>
        <v>3184.1869014711292</v>
      </c>
      <c r="AC60" s="714">
        <f t="shared" si="8"/>
        <v>3184.1869014711292</v>
      </c>
      <c r="AD60" s="637"/>
      <c r="AE60" s="714">
        <f t="shared" si="9"/>
        <v>-64149.881404179323</v>
      </c>
      <c r="AF60" s="714">
        <f>(AE60/AE74)*AF42</f>
        <v>-4156.9123149908219</v>
      </c>
      <c r="AG60" s="714">
        <f t="shared" si="10"/>
        <v>-68306.793719170149</v>
      </c>
      <c r="AI60" s="636"/>
    </row>
    <row r="61" spans="1:35">
      <c r="A61" s="710">
        <v>3125</v>
      </c>
      <c r="B61" s="635" t="s">
        <v>786</v>
      </c>
      <c r="C61" s="671">
        <v>8336956.9476923067</v>
      </c>
      <c r="D61" s="656">
        <f t="shared" si="11"/>
        <v>3.6822877462734584E-2</v>
      </c>
      <c r="E61" s="711">
        <f t="shared" si="0"/>
        <v>306990.74409696757</v>
      </c>
      <c r="F61" s="671">
        <v>8333377.3300451282</v>
      </c>
      <c r="G61" s="656">
        <f t="shared" si="12"/>
        <v>0.10432257058934746</v>
      </c>
      <c r="H61" s="712">
        <f t="shared" si="1"/>
        <v>869359.34476130083</v>
      </c>
      <c r="I61" s="671">
        <v>3594.4763151784005</v>
      </c>
      <c r="J61" s="713">
        <v>0</v>
      </c>
      <c r="K61" s="712">
        <f t="shared" si="2"/>
        <v>1179944.5651734469</v>
      </c>
      <c r="L61" s="671">
        <v>18332.937070787306</v>
      </c>
      <c r="M61" s="714">
        <f t="shared" si="3"/>
        <v>1198277.5022442343</v>
      </c>
      <c r="N61" s="715">
        <f>+M61/$M74</f>
        <v>1.3866145880853945E-2</v>
      </c>
      <c r="O61" s="637"/>
      <c r="P61" s="714">
        <f>+$P42*N61</f>
        <v>1240429.7106322462</v>
      </c>
      <c r="Q61" s="715">
        <f>+P61/$P74</f>
        <v>1.3866145880853947E-2</v>
      </c>
      <c r="R61" s="637"/>
      <c r="S61" s="716">
        <v>10459716.731538463</v>
      </c>
      <c r="T61" s="656">
        <f t="shared" si="13"/>
        <v>3.5342098065073733E-2</v>
      </c>
      <c r="U61" s="717">
        <f t="shared" si="4"/>
        <v>369668.33445892489</v>
      </c>
      <c r="V61" s="716">
        <v>10459716.731538463</v>
      </c>
      <c r="W61" s="656">
        <f t="shared" si="14"/>
        <v>0.10429511896776096</v>
      </c>
      <c r="X61" s="712">
        <f t="shared" si="5"/>
        <v>1090897.4008848839</v>
      </c>
      <c r="Y61" s="716">
        <v>0</v>
      </c>
      <c r="Z61" s="716">
        <v>0</v>
      </c>
      <c r="AA61" s="712">
        <f t="shared" si="6"/>
        <v>1460565.7353438088</v>
      </c>
      <c r="AB61" s="716">
        <f t="shared" si="7"/>
        <v>18332.937070787306</v>
      </c>
      <c r="AC61" s="714">
        <f t="shared" si="8"/>
        <v>1478898.6724145962</v>
      </c>
      <c r="AD61" s="637"/>
      <c r="AE61" s="714">
        <f t="shared" si="9"/>
        <v>238468.96178234997</v>
      </c>
      <c r="AF61" s="714">
        <f>(AE61/AE74)*AF42</f>
        <v>15452.788723496282</v>
      </c>
      <c r="AG61" s="714">
        <f t="shared" si="10"/>
        <v>253921.75050584626</v>
      </c>
      <c r="AI61" s="636"/>
    </row>
    <row r="62" spans="1:35">
      <c r="A62" s="710">
        <v>3679</v>
      </c>
      <c r="B62" s="635" t="s">
        <v>844</v>
      </c>
      <c r="C62" s="671">
        <v>1349499.3976923078</v>
      </c>
      <c r="D62" s="656">
        <f t="shared" si="11"/>
        <v>3.6822877462734584E-2</v>
      </c>
      <c r="E62" s="711">
        <f t="shared" si="0"/>
        <v>49692.450957257977</v>
      </c>
      <c r="F62" s="671">
        <v>1349499.3976923078</v>
      </c>
      <c r="G62" s="656">
        <f t="shared" si="12"/>
        <v>0.10432257058934746</v>
      </c>
      <c r="H62" s="712">
        <f t="shared" si="1"/>
        <v>140783.24617603768</v>
      </c>
      <c r="I62" s="671">
        <v>0</v>
      </c>
      <c r="J62" s="713">
        <v>3668674.6270000003</v>
      </c>
      <c r="K62" s="712">
        <f t="shared" si="2"/>
        <v>3859150.324133296</v>
      </c>
      <c r="L62" s="671">
        <v>0</v>
      </c>
      <c r="M62" s="714">
        <f t="shared" si="3"/>
        <v>3859150.324133296</v>
      </c>
      <c r="N62" s="715">
        <f>+M62/$M74</f>
        <v>4.4657052536124717E-2</v>
      </c>
      <c r="O62" s="637"/>
      <c r="P62" s="714">
        <f>+$P42*N62</f>
        <v>3994904.9455451686</v>
      </c>
      <c r="Q62" s="715">
        <f>+P62/$P74</f>
        <v>4.4657052536124717E-2</v>
      </c>
      <c r="R62" s="637"/>
      <c r="S62" s="716">
        <v>3702498.4790461534</v>
      </c>
      <c r="T62" s="656">
        <f t="shared" si="13"/>
        <v>3.5342098065073733E-2</v>
      </c>
      <c r="U62" s="717">
        <f t="shared" si="4"/>
        <v>130854.0643322355</v>
      </c>
      <c r="V62" s="716">
        <v>3702498.4790461534</v>
      </c>
      <c r="W62" s="656">
        <f t="shared" si="14"/>
        <v>0.10429511896776096</v>
      </c>
      <c r="X62" s="712">
        <f t="shared" si="5"/>
        <v>386152.5193500726</v>
      </c>
      <c r="Y62" s="716">
        <v>0</v>
      </c>
      <c r="Z62" s="716">
        <v>2194035.5940000005</v>
      </c>
      <c r="AA62" s="712">
        <f t="shared" si="6"/>
        <v>2711042.1776823085</v>
      </c>
      <c r="AB62" s="716">
        <f t="shared" si="7"/>
        <v>0</v>
      </c>
      <c r="AC62" s="714">
        <f t="shared" si="8"/>
        <v>2711042.1776823085</v>
      </c>
      <c r="AD62" s="637"/>
      <c r="AE62" s="714">
        <f t="shared" si="9"/>
        <v>-1283862.7678628601</v>
      </c>
      <c r="AF62" s="714">
        <f>(AE62/AE74)*AF42</f>
        <v>-83194.30735751336</v>
      </c>
      <c r="AG62" s="714">
        <f t="shared" si="10"/>
        <v>-1367057.0752203735</v>
      </c>
      <c r="AI62" s="636"/>
    </row>
    <row r="63" spans="1:35">
      <c r="A63" s="710"/>
      <c r="C63" s="671">
        <v>0</v>
      </c>
      <c r="D63" s="656">
        <f t="shared" si="11"/>
        <v>3.6822877462734584E-2</v>
      </c>
      <c r="E63" s="711">
        <f t="shared" si="0"/>
        <v>0</v>
      </c>
      <c r="F63" s="671">
        <v>0</v>
      </c>
      <c r="G63" s="656">
        <f t="shared" si="12"/>
        <v>0.10432257058934746</v>
      </c>
      <c r="H63" s="712">
        <f t="shared" si="1"/>
        <v>0</v>
      </c>
      <c r="I63" s="671">
        <v>0</v>
      </c>
      <c r="J63" s="713">
        <v>0</v>
      </c>
      <c r="K63" s="712">
        <f t="shared" si="2"/>
        <v>0</v>
      </c>
      <c r="L63" s="671">
        <v>0</v>
      </c>
      <c r="M63" s="714">
        <f t="shared" si="3"/>
        <v>0</v>
      </c>
      <c r="N63" s="715">
        <f>+M63/$M74</f>
        <v>0</v>
      </c>
      <c r="O63" s="637"/>
      <c r="P63" s="714">
        <f>+$P42*N63</f>
        <v>0</v>
      </c>
      <c r="Q63" s="715">
        <f>+P63/$P74</f>
        <v>0</v>
      </c>
      <c r="R63" s="637"/>
      <c r="S63" s="716">
        <v>0</v>
      </c>
      <c r="T63" s="656">
        <f t="shared" si="13"/>
        <v>3.5342098065073733E-2</v>
      </c>
      <c r="U63" s="717">
        <f t="shared" si="4"/>
        <v>0</v>
      </c>
      <c r="V63" s="716">
        <v>0</v>
      </c>
      <c r="W63" s="656">
        <f t="shared" si="14"/>
        <v>0.10429511896776096</v>
      </c>
      <c r="X63" s="712">
        <f t="shared" si="5"/>
        <v>0</v>
      </c>
      <c r="Y63" s="716">
        <v>0</v>
      </c>
      <c r="Z63" s="716">
        <v>0</v>
      </c>
      <c r="AA63" s="712">
        <f t="shared" si="6"/>
        <v>0</v>
      </c>
      <c r="AB63" s="716">
        <f t="shared" si="7"/>
        <v>0</v>
      </c>
      <c r="AC63" s="714">
        <f t="shared" si="8"/>
        <v>0</v>
      </c>
      <c r="AD63" s="637"/>
      <c r="AE63" s="714">
        <f t="shared" si="9"/>
        <v>0</v>
      </c>
      <c r="AF63" s="714">
        <f>(AE63/AE74)*AF42</f>
        <v>0</v>
      </c>
      <c r="AG63" s="714">
        <f t="shared" si="10"/>
        <v>0</v>
      </c>
      <c r="AI63" s="636"/>
    </row>
    <row r="64" spans="1:35">
      <c r="A64" s="710"/>
      <c r="C64" s="671">
        <v>0</v>
      </c>
      <c r="D64" s="656">
        <f t="shared" si="11"/>
        <v>3.6822877462734584E-2</v>
      </c>
      <c r="E64" s="711">
        <f t="shared" si="0"/>
        <v>0</v>
      </c>
      <c r="F64" s="671">
        <v>0</v>
      </c>
      <c r="G64" s="656">
        <f t="shared" si="12"/>
        <v>0.10432257058934746</v>
      </c>
      <c r="H64" s="712">
        <f t="shared" si="1"/>
        <v>0</v>
      </c>
      <c r="I64" s="671">
        <v>0</v>
      </c>
      <c r="J64" s="713">
        <v>0</v>
      </c>
      <c r="K64" s="712">
        <f t="shared" si="2"/>
        <v>0</v>
      </c>
      <c r="L64" s="671">
        <v>0</v>
      </c>
      <c r="M64" s="714">
        <f t="shared" si="3"/>
        <v>0</v>
      </c>
      <c r="N64" s="715">
        <f>+M64/$M74</f>
        <v>0</v>
      </c>
      <c r="O64" s="637"/>
      <c r="P64" s="714">
        <f>+$P42*N64</f>
        <v>0</v>
      </c>
      <c r="Q64" s="715">
        <f>+P64/$P74</f>
        <v>0</v>
      </c>
      <c r="R64" s="637"/>
      <c r="S64" s="716">
        <v>0</v>
      </c>
      <c r="T64" s="656">
        <f t="shared" si="13"/>
        <v>3.5342098065073733E-2</v>
      </c>
      <c r="U64" s="717">
        <f t="shared" si="4"/>
        <v>0</v>
      </c>
      <c r="V64" s="716">
        <v>0</v>
      </c>
      <c r="W64" s="656">
        <f t="shared" si="14"/>
        <v>0.10429511896776096</v>
      </c>
      <c r="X64" s="712">
        <f t="shared" si="5"/>
        <v>0</v>
      </c>
      <c r="Y64" s="716">
        <v>0</v>
      </c>
      <c r="Z64" s="716">
        <v>0</v>
      </c>
      <c r="AA64" s="712">
        <f t="shared" si="6"/>
        <v>0</v>
      </c>
      <c r="AB64" s="716">
        <f t="shared" si="7"/>
        <v>0</v>
      </c>
      <c r="AC64" s="714">
        <f t="shared" si="8"/>
        <v>0</v>
      </c>
      <c r="AD64" s="637"/>
      <c r="AE64" s="714">
        <f t="shared" si="9"/>
        <v>0</v>
      </c>
      <c r="AF64" s="714">
        <f>(AE64/AE74)*AF42</f>
        <v>0</v>
      </c>
      <c r="AG64" s="714">
        <f t="shared" si="10"/>
        <v>0</v>
      </c>
      <c r="AI64" s="636"/>
    </row>
    <row r="65" spans="1:35">
      <c r="A65" s="710"/>
      <c r="C65" s="671">
        <v>0</v>
      </c>
      <c r="D65" s="656">
        <f t="shared" si="11"/>
        <v>3.6822877462734584E-2</v>
      </c>
      <c r="E65" s="711">
        <f t="shared" si="0"/>
        <v>0</v>
      </c>
      <c r="F65" s="671">
        <v>0</v>
      </c>
      <c r="G65" s="656">
        <f t="shared" si="12"/>
        <v>0.10432257058934746</v>
      </c>
      <c r="H65" s="712">
        <f t="shared" si="1"/>
        <v>0</v>
      </c>
      <c r="I65" s="671">
        <v>0</v>
      </c>
      <c r="J65" s="713">
        <v>0</v>
      </c>
      <c r="K65" s="712">
        <f t="shared" si="2"/>
        <v>0</v>
      </c>
      <c r="L65" s="671">
        <v>0</v>
      </c>
      <c r="M65" s="714">
        <f t="shared" si="3"/>
        <v>0</v>
      </c>
      <c r="N65" s="715">
        <f>+M65/$M74</f>
        <v>0</v>
      </c>
      <c r="O65" s="637"/>
      <c r="P65" s="714">
        <f>+$P42*N65</f>
        <v>0</v>
      </c>
      <c r="Q65" s="715">
        <f>+P65/$P74</f>
        <v>0</v>
      </c>
      <c r="R65" s="637"/>
      <c r="S65" s="716">
        <v>0</v>
      </c>
      <c r="T65" s="656">
        <f t="shared" si="13"/>
        <v>3.5342098065073733E-2</v>
      </c>
      <c r="U65" s="717">
        <f t="shared" si="4"/>
        <v>0</v>
      </c>
      <c r="V65" s="716">
        <v>0</v>
      </c>
      <c r="W65" s="656">
        <f t="shared" si="14"/>
        <v>0.10429511896776096</v>
      </c>
      <c r="X65" s="712">
        <f t="shared" si="5"/>
        <v>0</v>
      </c>
      <c r="Y65" s="716">
        <v>0</v>
      </c>
      <c r="Z65" s="716">
        <v>0</v>
      </c>
      <c r="AA65" s="712">
        <f t="shared" si="6"/>
        <v>0</v>
      </c>
      <c r="AB65" s="716">
        <f t="shared" si="7"/>
        <v>0</v>
      </c>
      <c r="AC65" s="714">
        <f t="shared" si="8"/>
        <v>0</v>
      </c>
      <c r="AD65" s="637"/>
      <c r="AE65" s="714">
        <f t="shared" si="9"/>
        <v>0</v>
      </c>
      <c r="AF65" s="714">
        <f>(AE65/AE74)*AF42</f>
        <v>0</v>
      </c>
      <c r="AG65" s="714">
        <f t="shared" si="10"/>
        <v>0</v>
      </c>
      <c r="AI65" s="636"/>
    </row>
    <row r="66" spans="1:35">
      <c r="A66" s="710"/>
      <c r="C66" s="671">
        <v>0</v>
      </c>
      <c r="D66" s="656">
        <f t="shared" si="11"/>
        <v>3.6822877462734584E-2</v>
      </c>
      <c r="E66" s="711">
        <f t="shared" si="0"/>
        <v>0</v>
      </c>
      <c r="F66" s="671">
        <v>0</v>
      </c>
      <c r="G66" s="656">
        <f t="shared" si="12"/>
        <v>0.10432257058934746</v>
      </c>
      <c r="H66" s="712">
        <f t="shared" si="1"/>
        <v>0</v>
      </c>
      <c r="I66" s="671">
        <v>0</v>
      </c>
      <c r="J66" s="713">
        <v>0</v>
      </c>
      <c r="K66" s="712">
        <f t="shared" si="2"/>
        <v>0</v>
      </c>
      <c r="L66" s="671">
        <v>0</v>
      </c>
      <c r="M66" s="714">
        <f t="shared" si="3"/>
        <v>0</v>
      </c>
      <c r="N66" s="715">
        <f>+M66/$M74</f>
        <v>0</v>
      </c>
      <c r="O66" s="637"/>
      <c r="P66" s="714">
        <f>+$P42*N66</f>
        <v>0</v>
      </c>
      <c r="Q66" s="715">
        <f>+P66/$P74</f>
        <v>0</v>
      </c>
      <c r="R66" s="637"/>
      <c r="S66" s="716">
        <v>0</v>
      </c>
      <c r="T66" s="656">
        <f t="shared" si="13"/>
        <v>3.5342098065073733E-2</v>
      </c>
      <c r="U66" s="717">
        <f t="shared" si="4"/>
        <v>0</v>
      </c>
      <c r="V66" s="716">
        <v>0</v>
      </c>
      <c r="W66" s="656">
        <f t="shared" si="14"/>
        <v>0.10429511896776096</v>
      </c>
      <c r="X66" s="712">
        <f t="shared" si="5"/>
        <v>0</v>
      </c>
      <c r="Y66" s="716">
        <v>0</v>
      </c>
      <c r="Z66" s="716">
        <v>0</v>
      </c>
      <c r="AA66" s="712">
        <f t="shared" si="6"/>
        <v>0</v>
      </c>
      <c r="AB66" s="716">
        <f t="shared" si="7"/>
        <v>0</v>
      </c>
      <c r="AC66" s="714">
        <f t="shared" si="8"/>
        <v>0</v>
      </c>
      <c r="AD66" s="637"/>
      <c r="AE66" s="714">
        <f t="shared" si="9"/>
        <v>0</v>
      </c>
      <c r="AF66" s="714">
        <f>(AE66/AE74)*AF42</f>
        <v>0</v>
      </c>
      <c r="AG66" s="714">
        <f t="shared" si="10"/>
        <v>0</v>
      </c>
      <c r="AI66" s="636"/>
    </row>
    <row r="67" spans="1:35">
      <c r="A67" s="710"/>
      <c r="C67" s="671">
        <v>0</v>
      </c>
      <c r="D67" s="656">
        <f t="shared" si="11"/>
        <v>3.6822877462734584E-2</v>
      </c>
      <c r="E67" s="711">
        <f t="shared" si="0"/>
        <v>0</v>
      </c>
      <c r="F67" s="671">
        <v>0</v>
      </c>
      <c r="G67" s="656">
        <f t="shared" si="12"/>
        <v>0.10432257058934746</v>
      </c>
      <c r="H67" s="712">
        <f t="shared" si="1"/>
        <v>0</v>
      </c>
      <c r="I67" s="671">
        <v>0</v>
      </c>
      <c r="J67" s="713">
        <v>0</v>
      </c>
      <c r="K67" s="712">
        <f t="shared" si="2"/>
        <v>0</v>
      </c>
      <c r="L67" s="671">
        <v>0</v>
      </c>
      <c r="M67" s="714">
        <f t="shared" si="3"/>
        <v>0</v>
      </c>
      <c r="N67" s="715">
        <f>+M67/$M74</f>
        <v>0</v>
      </c>
      <c r="O67" s="637"/>
      <c r="P67" s="714">
        <f>+$P42*N67</f>
        <v>0</v>
      </c>
      <c r="Q67" s="715">
        <f>+P67/$P74</f>
        <v>0</v>
      </c>
      <c r="R67" s="637"/>
      <c r="S67" s="716">
        <v>0</v>
      </c>
      <c r="T67" s="656">
        <f t="shared" si="13"/>
        <v>3.5342098065073733E-2</v>
      </c>
      <c r="U67" s="717">
        <f t="shared" si="4"/>
        <v>0</v>
      </c>
      <c r="V67" s="716">
        <v>0</v>
      </c>
      <c r="W67" s="656">
        <f t="shared" si="14"/>
        <v>0.10429511896776096</v>
      </c>
      <c r="X67" s="712">
        <f t="shared" si="5"/>
        <v>0</v>
      </c>
      <c r="Y67" s="716">
        <v>0</v>
      </c>
      <c r="Z67" s="716">
        <v>0</v>
      </c>
      <c r="AA67" s="712">
        <f t="shared" si="6"/>
        <v>0</v>
      </c>
      <c r="AB67" s="716">
        <f t="shared" si="7"/>
        <v>0</v>
      </c>
      <c r="AC67" s="714">
        <f t="shared" si="8"/>
        <v>0</v>
      </c>
      <c r="AD67" s="637"/>
      <c r="AE67" s="714">
        <f t="shared" si="9"/>
        <v>0</v>
      </c>
      <c r="AF67" s="714">
        <f>(AE67/AE74)*AF42</f>
        <v>0</v>
      </c>
      <c r="AG67" s="714">
        <f t="shared" si="10"/>
        <v>0</v>
      </c>
      <c r="AI67" s="636"/>
    </row>
    <row r="68" spans="1:35">
      <c r="A68" s="710"/>
      <c r="C68" s="671">
        <v>0</v>
      </c>
      <c r="D68" s="656">
        <f t="shared" si="11"/>
        <v>3.6822877462734584E-2</v>
      </c>
      <c r="E68" s="711">
        <f t="shared" si="0"/>
        <v>0</v>
      </c>
      <c r="F68" s="671">
        <v>0</v>
      </c>
      <c r="G68" s="656">
        <f t="shared" si="12"/>
        <v>0.10432257058934746</v>
      </c>
      <c r="H68" s="712">
        <f t="shared" si="1"/>
        <v>0</v>
      </c>
      <c r="I68" s="671">
        <v>0</v>
      </c>
      <c r="J68" s="713">
        <v>0</v>
      </c>
      <c r="K68" s="712">
        <f t="shared" si="2"/>
        <v>0</v>
      </c>
      <c r="L68" s="671">
        <v>0</v>
      </c>
      <c r="M68" s="714">
        <f t="shared" si="3"/>
        <v>0</v>
      </c>
      <c r="N68" s="715">
        <f>+M68/$M74</f>
        <v>0</v>
      </c>
      <c r="O68" s="637"/>
      <c r="P68" s="714">
        <f>+$P42*N68</f>
        <v>0</v>
      </c>
      <c r="Q68" s="715">
        <f>+P68/$P74</f>
        <v>0</v>
      </c>
      <c r="R68" s="637"/>
      <c r="S68" s="716">
        <v>0</v>
      </c>
      <c r="T68" s="656">
        <f t="shared" si="13"/>
        <v>3.5342098065073733E-2</v>
      </c>
      <c r="U68" s="717">
        <f t="shared" si="4"/>
        <v>0</v>
      </c>
      <c r="V68" s="716">
        <v>0</v>
      </c>
      <c r="W68" s="656">
        <f t="shared" si="14"/>
        <v>0.10429511896776096</v>
      </c>
      <c r="X68" s="712">
        <f t="shared" si="5"/>
        <v>0</v>
      </c>
      <c r="Y68" s="716">
        <v>0</v>
      </c>
      <c r="Z68" s="716">
        <v>0</v>
      </c>
      <c r="AA68" s="712">
        <f t="shared" si="6"/>
        <v>0</v>
      </c>
      <c r="AB68" s="716">
        <f t="shared" si="7"/>
        <v>0</v>
      </c>
      <c r="AC68" s="714">
        <f t="shared" si="8"/>
        <v>0</v>
      </c>
      <c r="AD68" s="637"/>
      <c r="AE68" s="714">
        <f t="shared" si="9"/>
        <v>0</v>
      </c>
      <c r="AF68" s="714">
        <f>(AE68/AE74)*AF42</f>
        <v>0</v>
      </c>
      <c r="AG68" s="714">
        <f t="shared" si="10"/>
        <v>0</v>
      </c>
      <c r="AI68" s="636"/>
    </row>
    <row r="69" spans="1:35">
      <c r="A69" s="710"/>
      <c r="C69" s="671">
        <v>0</v>
      </c>
      <c r="D69" s="656">
        <f t="shared" si="11"/>
        <v>3.6822877462734584E-2</v>
      </c>
      <c r="E69" s="711">
        <f t="shared" si="0"/>
        <v>0</v>
      </c>
      <c r="F69" s="671">
        <v>0</v>
      </c>
      <c r="G69" s="656">
        <f t="shared" si="12"/>
        <v>0.10432257058934746</v>
      </c>
      <c r="H69" s="712">
        <f t="shared" si="1"/>
        <v>0</v>
      </c>
      <c r="I69" s="671">
        <v>0</v>
      </c>
      <c r="J69" s="713">
        <v>0</v>
      </c>
      <c r="K69" s="712">
        <f t="shared" si="2"/>
        <v>0</v>
      </c>
      <c r="L69" s="671">
        <v>0</v>
      </c>
      <c r="M69" s="714">
        <f t="shared" si="3"/>
        <v>0</v>
      </c>
      <c r="N69" s="715">
        <f>+M69/$M74</f>
        <v>0</v>
      </c>
      <c r="O69" s="637"/>
      <c r="P69" s="714">
        <f>+$P42*N69</f>
        <v>0</v>
      </c>
      <c r="Q69" s="715">
        <f>+P69/$P74</f>
        <v>0</v>
      </c>
      <c r="R69" s="637"/>
      <c r="S69" s="716">
        <v>0</v>
      </c>
      <c r="T69" s="656">
        <f t="shared" si="13"/>
        <v>3.5342098065073733E-2</v>
      </c>
      <c r="U69" s="717">
        <f t="shared" si="4"/>
        <v>0</v>
      </c>
      <c r="V69" s="716">
        <v>0</v>
      </c>
      <c r="W69" s="656">
        <f t="shared" si="14"/>
        <v>0.10429511896776096</v>
      </c>
      <c r="X69" s="712">
        <f t="shared" si="5"/>
        <v>0</v>
      </c>
      <c r="Y69" s="716">
        <v>0</v>
      </c>
      <c r="Z69" s="716">
        <v>0</v>
      </c>
      <c r="AA69" s="712">
        <f t="shared" si="6"/>
        <v>0</v>
      </c>
      <c r="AB69" s="716">
        <f t="shared" si="7"/>
        <v>0</v>
      </c>
      <c r="AC69" s="714">
        <f t="shared" si="8"/>
        <v>0</v>
      </c>
      <c r="AD69" s="637"/>
      <c r="AE69" s="714">
        <f t="shared" si="9"/>
        <v>0</v>
      </c>
      <c r="AF69" s="714">
        <f>(AE69/AE74)*AF42</f>
        <v>0</v>
      </c>
      <c r="AG69" s="714">
        <f t="shared" si="10"/>
        <v>0</v>
      </c>
      <c r="AI69" s="636"/>
    </row>
    <row r="70" spans="1:35">
      <c r="A70" s="710"/>
      <c r="C70" s="671">
        <v>0</v>
      </c>
      <c r="D70" s="656">
        <f t="shared" si="11"/>
        <v>3.6822877462734584E-2</v>
      </c>
      <c r="E70" s="711">
        <f t="shared" si="0"/>
        <v>0</v>
      </c>
      <c r="F70" s="671">
        <v>0</v>
      </c>
      <c r="G70" s="656">
        <f t="shared" si="12"/>
        <v>0.10432257058934746</v>
      </c>
      <c r="H70" s="712">
        <f t="shared" si="1"/>
        <v>0</v>
      </c>
      <c r="I70" s="671">
        <v>0</v>
      </c>
      <c r="J70" s="713">
        <v>0</v>
      </c>
      <c r="K70" s="712">
        <f t="shared" si="2"/>
        <v>0</v>
      </c>
      <c r="L70" s="671">
        <v>0</v>
      </c>
      <c r="M70" s="714">
        <f t="shared" si="3"/>
        <v>0</v>
      </c>
      <c r="N70" s="715">
        <f>+M70/$M74</f>
        <v>0</v>
      </c>
      <c r="O70" s="637"/>
      <c r="P70" s="714">
        <f>+$P42*N70</f>
        <v>0</v>
      </c>
      <c r="Q70" s="715">
        <f>+P70/$P74</f>
        <v>0</v>
      </c>
      <c r="R70" s="637"/>
      <c r="S70" s="716">
        <v>0</v>
      </c>
      <c r="T70" s="656">
        <f t="shared" si="13"/>
        <v>3.5342098065073733E-2</v>
      </c>
      <c r="U70" s="717">
        <f t="shared" si="4"/>
        <v>0</v>
      </c>
      <c r="V70" s="716">
        <v>0</v>
      </c>
      <c r="W70" s="656">
        <f t="shared" si="14"/>
        <v>0.10429511896776096</v>
      </c>
      <c r="X70" s="712">
        <f t="shared" si="5"/>
        <v>0</v>
      </c>
      <c r="Y70" s="716">
        <v>0</v>
      </c>
      <c r="Z70" s="716">
        <v>0</v>
      </c>
      <c r="AA70" s="712">
        <f t="shared" si="6"/>
        <v>0</v>
      </c>
      <c r="AB70" s="716">
        <f t="shared" si="7"/>
        <v>0</v>
      </c>
      <c r="AC70" s="714">
        <f t="shared" si="8"/>
        <v>0</v>
      </c>
      <c r="AD70" s="637"/>
      <c r="AE70" s="714">
        <f t="shared" si="9"/>
        <v>0</v>
      </c>
      <c r="AF70" s="714">
        <f>(AE70/AE74)*AF42</f>
        <v>0</v>
      </c>
      <c r="AG70" s="714">
        <f t="shared" si="10"/>
        <v>0</v>
      </c>
      <c r="AI70" s="636"/>
    </row>
    <row r="71" spans="1:35">
      <c r="A71" s="710"/>
      <c r="C71" s="671">
        <v>0</v>
      </c>
      <c r="D71" s="656">
        <f t="shared" si="11"/>
        <v>3.6822877462734584E-2</v>
      </c>
      <c r="E71" s="711">
        <f t="shared" si="0"/>
        <v>0</v>
      </c>
      <c r="F71" s="671">
        <v>0</v>
      </c>
      <c r="G71" s="656">
        <f t="shared" si="12"/>
        <v>0.10432257058934746</v>
      </c>
      <c r="H71" s="712">
        <f t="shared" si="1"/>
        <v>0</v>
      </c>
      <c r="I71" s="671">
        <v>0</v>
      </c>
      <c r="J71" s="713">
        <v>0</v>
      </c>
      <c r="K71" s="712">
        <f t="shared" si="2"/>
        <v>0</v>
      </c>
      <c r="L71" s="671">
        <v>0</v>
      </c>
      <c r="M71" s="714">
        <f t="shared" si="3"/>
        <v>0</v>
      </c>
      <c r="N71" s="715">
        <f>+M71/$M74</f>
        <v>0</v>
      </c>
      <c r="O71" s="637"/>
      <c r="P71" s="714">
        <f>+$P42*N71</f>
        <v>0</v>
      </c>
      <c r="Q71" s="715">
        <f>+P71/$P74</f>
        <v>0</v>
      </c>
      <c r="R71" s="637"/>
      <c r="S71" s="716">
        <v>0</v>
      </c>
      <c r="T71" s="656">
        <f t="shared" si="13"/>
        <v>3.5342098065073733E-2</v>
      </c>
      <c r="U71" s="717">
        <f t="shared" si="4"/>
        <v>0</v>
      </c>
      <c r="V71" s="716">
        <v>0</v>
      </c>
      <c r="W71" s="656">
        <f t="shared" si="14"/>
        <v>0.10429511896776096</v>
      </c>
      <c r="X71" s="712">
        <f t="shared" si="5"/>
        <v>0</v>
      </c>
      <c r="Y71" s="716">
        <v>0</v>
      </c>
      <c r="Z71" s="716">
        <v>0</v>
      </c>
      <c r="AA71" s="712">
        <f t="shared" si="6"/>
        <v>0</v>
      </c>
      <c r="AB71" s="716">
        <f t="shared" si="7"/>
        <v>0</v>
      </c>
      <c r="AC71" s="714">
        <f t="shared" si="8"/>
        <v>0</v>
      </c>
      <c r="AD71" s="637"/>
      <c r="AE71" s="714">
        <f t="shared" si="9"/>
        <v>0</v>
      </c>
      <c r="AF71" s="714">
        <f>(AE71/AE74)*AF42</f>
        <v>0</v>
      </c>
      <c r="AG71" s="714">
        <f t="shared" si="10"/>
        <v>0</v>
      </c>
      <c r="AI71" s="636"/>
    </row>
    <row r="72" spans="1:35">
      <c r="A72" s="710"/>
      <c r="C72" s="671">
        <v>0</v>
      </c>
      <c r="D72" s="656">
        <f t="shared" si="11"/>
        <v>3.6822877462734584E-2</v>
      </c>
      <c r="E72" s="711">
        <f t="shared" si="0"/>
        <v>0</v>
      </c>
      <c r="F72" s="671">
        <v>0</v>
      </c>
      <c r="G72" s="656">
        <f t="shared" si="12"/>
        <v>0.10432257058934746</v>
      </c>
      <c r="H72" s="712">
        <f t="shared" si="1"/>
        <v>0</v>
      </c>
      <c r="I72" s="671">
        <v>0</v>
      </c>
      <c r="J72" s="713">
        <v>0</v>
      </c>
      <c r="K72" s="712">
        <f t="shared" si="2"/>
        <v>0</v>
      </c>
      <c r="L72" s="671">
        <v>0</v>
      </c>
      <c r="M72" s="714">
        <f t="shared" si="3"/>
        <v>0</v>
      </c>
      <c r="N72" s="715">
        <f>+M72/$M74</f>
        <v>0</v>
      </c>
      <c r="O72" s="637"/>
      <c r="P72" s="714">
        <f>+$P42*N72</f>
        <v>0</v>
      </c>
      <c r="Q72" s="715">
        <f>+P72/$P74</f>
        <v>0</v>
      </c>
      <c r="R72" s="637"/>
      <c r="S72" s="716">
        <v>0</v>
      </c>
      <c r="T72" s="656">
        <f t="shared" si="13"/>
        <v>3.5342098065073733E-2</v>
      </c>
      <c r="U72" s="717">
        <f t="shared" si="4"/>
        <v>0</v>
      </c>
      <c r="V72" s="716">
        <v>0</v>
      </c>
      <c r="W72" s="656">
        <f t="shared" si="14"/>
        <v>0.10429511896776096</v>
      </c>
      <c r="X72" s="712">
        <f t="shared" si="5"/>
        <v>0</v>
      </c>
      <c r="Y72" s="716">
        <v>0</v>
      </c>
      <c r="Z72" s="716">
        <v>0</v>
      </c>
      <c r="AA72" s="712">
        <f t="shared" si="6"/>
        <v>0</v>
      </c>
      <c r="AB72" s="716">
        <f t="shared" si="7"/>
        <v>0</v>
      </c>
      <c r="AC72" s="714">
        <f t="shared" si="8"/>
        <v>0</v>
      </c>
      <c r="AD72" s="637"/>
      <c r="AE72" s="714">
        <f t="shared" si="9"/>
        <v>0</v>
      </c>
      <c r="AF72" s="714">
        <f>(AE72/AE74)*AF42</f>
        <v>0</v>
      </c>
      <c r="AG72" s="714">
        <f t="shared" si="10"/>
        <v>0</v>
      </c>
      <c r="AI72" s="636"/>
    </row>
    <row r="73" spans="1:35">
      <c r="A73" s="718"/>
      <c r="B73" s="719"/>
      <c r="C73" s="719"/>
      <c r="D73" s="719"/>
      <c r="E73" s="720"/>
      <c r="F73" s="719"/>
      <c r="G73" s="719"/>
      <c r="H73" s="721"/>
      <c r="I73" s="719"/>
      <c r="J73" s="721"/>
      <c r="K73" s="721"/>
      <c r="L73" s="719"/>
      <c r="M73" s="721"/>
      <c r="N73" s="721"/>
      <c r="O73" s="637"/>
      <c r="P73" s="721"/>
      <c r="Q73" s="721"/>
      <c r="R73" s="637"/>
      <c r="S73" s="722"/>
      <c r="T73" s="719"/>
      <c r="U73" s="720"/>
      <c r="V73" s="719"/>
      <c r="W73" s="719"/>
      <c r="X73" s="721"/>
      <c r="Y73" s="719"/>
      <c r="Z73" s="721"/>
      <c r="AA73" s="721"/>
      <c r="AB73" s="719"/>
      <c r="AC73" s="721"/>
      <c r="AD73" s="637"/>
      <c r="AE73" s="721"/>
      <c r="AF73" s="721"/>
      <c r="AG73" s="721"/>
      <c r="AI73" s="636"/>
    </row>
    <row r="74" spans="1:35">
      <c r="A74" s="664"/>
      <c r="B74" s="664" t="s">
        <v>434</v>
      </c>
      <c r="C74" s="723"/>
      <c r="D74" s="723"/>
      <c r="E74" s="665"/>
      <c r="F74" s="657"/>
      <c r="G74" s="657"/>
      <c r="H74" s="657"/>
      <c r="I74" s="657"/>
      <c r="J74" s="657"/>
      <c r="K74" s="668">
        <f>SUM(K47:K73)</f>
        <v>87973749.749806553</v>
      </c>
      <c r="L74" s="668">
        <f>SUM(L47:L73)</f>
        <v>-1556261.2464735394</v>
      </c>
      <c r="M74" s="668">
        <f>SUM(M47:M73)</f>
        <v>86417488.503333017</v>
      </c>
      <c r="N74" s="236">
        <f>SUM(N47:N73)</f>
        <v>1</v>
      </c>
      <c r="O74" s="637"/>
      <c r="P74" s="668">
        <f>SUM(P47:P73)</f>
        <v>89457425.393526465</v>
      </c>
      <c r="Q74" s="236">
        <f>SUM(Q47:Q73)</f>
        <v>1</v>
      </c>
      <c r="R74" s="637"/>
      <c r="S74" s="723"/>
      <c r="T74" s="723"/>
      <c r="U74" s="665"/>
      <c r="V74" s="657"/>
      <c r="W74" s="657"/>
      <c r="X74" s="657"/>
      <c r="Y74" s="657"/>
      <c r="Z74" s="657"/>
      <c r="AA74" s="668">
        <f>SUM(AA47:AA73)</f>
        <v>85372458.202566653</v>
      </c>
      <c r="AB74" s="668">
        <f>SUM(AB47:AB73)</f>
        <v>-1556261.2464735394</v>
      </c>
      <c r="AC74" s="668">
        <f>SUM(AC47:AC73)</f>
        <v>83816196.956093103</v>
      </c>
      <c r="AD74" s="637"/>
      <c r="AE74" s="668">
        <f>SUM(AE47:AE73)</f>
        <v>-5641228.4374333695</v>
      </c>
      <c r="AF74" s="668">
        <f>SUM(AF47:AF73)</f>
        <v>-365551.60274568252</v>
      </c>
      <c r="AG74" s="668">
        <f>SUM(AG47:AG73)</f>
        <v>-6006780.0401790524</v>
      </c>
      <c r="AI74" s="724"/>
    </row>
    <row r="75" spans="1:35">
      <c r="A75" s="637"/>
      <c r="B75" s="637"/>
      <c r="C75" s="637"/>
      <c r="D75" s="637"/>
      <c r="E75" s="725"/>
      <c r="F75" s="637"/>
      <c r="G75" s="637"/>
      <c r="H75" s="637"/>
      <c r="I75" s="637"/>
      <c r="J75" s="637"/>
      <c r="K75" s="637"/>
      <c r="L75" s="637"/>
      <c r="M75" s="637"/>
      <c r="N75" s="637"/>
      <c r="O75" s="637"/>
      <c r="P75" s="637"/>
      <c r="Q75" s="637"/>
      <c r="R75" s="637"/>
      <c r="S75" s="637"/>
      <c r="T75" s="637"/>
      <c r="U75" s="725"/>
      <c r="V75" s="637"/>
      <c r="W75" s="637"/>
      <c r="X75" s="637"/>
      <c r="Y75" s="637"/>
      <c r="Z75" s="637"/>
      <c r="AA75" s="637"/>
      <c r="AB75" s="637"/>
      <c r="AC75" s="637"/>
      <c r="AD75" s="637"/>
      <c r="AE75" s="637"/>
      <c r="AF75" s="637"/>
      <c r="AG75" s="637"/>
      <c r="AI75" s="636"/>
    </row>
    <row r="76" spans="1:35" ht="15.75">
      <c r="A76" s="726" t="s">
        <v>845</v>
      </c>
      <c r="B76" s="727"/>
      <c r="C76" s="637"/>
      <c r="D76" s="637"/>
      <c r="E76" s="725"/>
      <c r="F76" s="637"/>
      <c r="G76" s="637"/>
      <c r="H76" s="637"/>
      <c r="I76" s="637"/>
      <c r="J76" s="637"/>
      <c r="K76" s="728"/>
      <c r="L76" s="637"/>
      <c r="M76" s="637"/>
      <c r="N76" s="637"/>
      <c r="O76" s="637"/>
      <c r="P76" s="637"/>
      <c r="Q76" s="637"/>
      <c r="R76" s="637"/>
      <c r="S76" s="637"/>
      <c r="T76" s="637"/>
      <c r="U76" s="725"/>
      <c r="V76" s="637"/>
      <c r="W76" s="637"/>
      <c r="X76" s="637"/>
      <c r="Y76" s="637"/>
      <c r="Z76" s="637"/>
      <c r="AA76" s="728"/>
      <c r="AB76" s="637"/>
      <c r="AC76" s="637"/>
      <c r="AD76" s="637"/>
      <c r="AE76" s="637"/>
      <c r="AF76" s="637"/>
      <c r="AG76" s="637"/>
      <c r="AI76" s="636"/>
    </row>
    <row r="77" spans="1:35" ht="15.75">
      <c r="A77" s="729" t="s">
        <v>846</v>
      </c>
      <c r="B77" s="637"/>
      <c r="C77" s="637"/>
      <c r="D77" s="637"/>
      <c r="E77" s="725"/>
      <c r="F77" s="637"/>
      <c r="G77" s="637"/>
      <c r="H77" s="637"/>
      <c r="I77" s="637"/>
      <c r="J77" s="637"/>
      <c r="K77" s="637"/>
      <c r="L77" s="637"/>
      <c r="M77" s="637"/>
      <c r="N77" s="637"/>
      <c r="O77" s="637"/>
      <c r="P77" s="637"/>
      <c r="Q77" s="637"/>
      <c r="R77" s="637"/>
      <c r="S77" s="637"/>
      <c r="T77" s="637"/>
      <c r="U77" s="725"/>
      <c r="V77" s="637"/>
      <c r="W77" s="637"/>
      <c r="X77" s="637"/>
      <c r="Y77" s="637"/>
      <c r="Z77" s="637"/>
      <c r="AA77" s="637"/>
      <c r="AB77" s="637"/>
      <c r="AC77" s="637"/>
      <c r="AD77" s="637"/>
      <c r="AE77" s="637"/>
      <c r="AF77" s="637"/>
      <c r="AG77" s="637"/>
      <c r="AI77" s="730"/>
    </row>
    <row r="78" spans="1:35" ht="15.75">
      <c r="A78" s="729" t="s">
        <v>847</v>
      </c>
      <c r="B78" s="637"/>
      <c r="C78" s="637"/>
      <c r="D78" s="637"/>
      <c r="E78" s="725"/>
      <c r="F78" s="637"/>
      <c r="G78" s="637"/>
      <c r="H78" s="637"/>
      <c r="I78" s="637"/>
      <c r="J78" s="637"/>
      <c r="K78" s="637"/>
      <c r="L78" s="637"/>
      <c r="M78" s="637"/>
      <c r="N78" s="637"/>
      <c r="O78" s="637"/>
      <c r="P78" s="637"/>
      <c r="Q78" s="637"/>
      <c r="R78" s="637"/>
      <c r="S78" s="637"/>
      <c r="T78" s="637"/>
      <c r="U78" s="725"/>
      <c r="V78" s="637"/>
      <c r="W78" s="637"/>
      <c r="X78" s="637"/>
      <c r="Y78" s="637"/>
      <c r="Z78" s="637"/>
      <c r="AA78" s="637"/>
      <c r="AB78" s="637"/>
      <c r="AC78" s="637"/>
      <c r="AD78" s="637"/>
      <c r="AE78" s="637"/>
      <c r="AF78" s="637"/>
      <c r="AG78" s="637"/>
      <c r="AI78" s="730"/>
    </row>
    <row r="79" spans="1:35" ht="15.75">
      <c r="A79" s="729" t="s">
        <v>848</v>
      </c>
      <c r="B79" s="637"/>
      <c r="C79" s="637"/>
      <c r="D79" s="637"/>
      <c r="E79" s="725"/>
      <c r="F79" s="637"/>
      <c r="G79" s="637"/>
      <c r="H79" s="637"/>
      <c r="I79" s="637"/>
      <c r="J79" s="637"/>
      <c r="K79" s="637"/>
      <c r="L79" s="637"/>
      <c r="M79" s="637"/>
      <c r="N79" s="637"/>
      <c r="O79" s="637"/>
      <c r="P79" s="637"/>
      <c r="Q79" s="637"/>
      <c r="R79" s="637"/>
      <c r="S79" s="637"/>
      <c r="T79" s="637"/>
      <c r="U79" s="725"/>
      <c r="V79" s="637"/>
      <c r="W79" s="637"/>
      <c r="X79" s="637"/>
      <c r="Y79" s="637"/>
      <c r="Z79" s="637"/>
      <c r="AA79" s="637"/>
      <c r="AB79" s="637"/>
      <c r="AC79" s="637"/>
      <c r="AD79" s="637"/>
      <c r="AE79" s="637"/>
      <c r="AF79" s="637"/>
      <c r="AG79" s="637"/>
      <c r="AI79" s="730"/>
    </row>
    <row r="80" spans="1:35" ht="15.75">
      <c r="A80" s="729" t="s">
        <v>849</v>
      </c>
      <c r="B80" s="637"/>
      <c r="C80" s="637"/>
      <c r="D80" s="637"/>
      <c r="E80" s="725"/>
      <c r="F80" s="637"/>
      <c r="G80" s="637"/>
      <c r="H80" s="637"/>
      <c r="I80" s="637"/>
      <c r="J80" s="637"/>
      <c r="K80" s="637"/>
      <c r="L80" s="637"/>
      <c r="M80" s="637"/>
      <c r="N80" s="637"/>
      <c r="O80" s="637"/>
      <c r="P80" s="637"/>
      <c r="Q80" s="637"/>
      <c r="R80" s="637"/>
      <c r="S80" s="637"/>
      <c r="T80" s="637"/>
      <c r="U80" s="725"/>
      <c r="V80" s="637"/>
      <c r="W80" s="637"/>
      <c r="X80" s="637"/>
      <c r="Y80" s="637"/>
      <c r="Z80" s="637"/>
      <c r="AA80" s="637"/>
      <c r="AB80" s="637"/>
      <c r="AC80" s="637"/>
      <c r="AD80" s="637"/>
      <c r="AE80" s="637"/>
      <c r="AF80" s="637"/>
      <c r="AG80" s="637"/>
      <c r="AI80" s="730"/>
    </row>
    <row r="81" spans="1:35" ht="15.75">
      <c r="A81" s="729" t="s">
        <v>850</v>
      </c>
      <c r="B81" s="731"/>
      <c r="C81" s="731"/>
      <c r="D81" s="731"/>
      <c r="E81" s="731"/>
      <c r="F81" s="731"/>
      <c r="G81" s="731"/>
      <c r="H81" s="731"/>
      <c r="I81" s="731"/>
      <c r="J81" s="731"/>
      <c r="K81" s="731"/>
      <c r="L81" s="731"/>
      <c r="M81" s="731"/>
      <c r="N81" s="637"/>
      <c r="O81" s="637"/>
      <c r="P81" s="637"/>
      <c r="Q81" s="637"/>
      <c r="R81" s="637"/>
      <c r="S81" s="637"/>
      <c r="U81" s="635"/>
      <c r="AD81" s="637"/>
      <c r="AE81" s="637"/>
      <c r="AF81" s="637"/>
      <c r="AG81" s="637"/>
      <c r="AI81" s="730"/>
    </row>
    <row r="82" spans="1:35" ht="15.75">
      <c r="A82" s="729" t="s">
        <v>851</v>
      </c>
      <c r="B82" s="731"/>
      <c r="C82" s="731"/>
      <c r="D82" s="731"/>
      <c r="E82" s="731"/>
      <c r="F82" s="731"/>
      <c r="G82" s="731"/>
      <c r="H82" s="731"/>
      <c r="I82" s="731"/>
      <c r="J82" s="731"/>
      <c r="K82" s="731"/>
      <c r="L82" s="731"/>
      <c r="M82" s="731"/>
      <c r="N82" s="637"/>
      <c r="O82" s="637"/>
      <c r="P82" s="637"/>
      <c r="Q82" s="637"/>
      <c r="R82" s="637"/>
      <c r="S82" s="637"/>
      <c r="U82" s="635"/>
      <c r="AD82" s="637"/>
      <c r="AE82" s="637"/>
      <c r="AF82" s="637"/>
      <c r="AG82" s="637"/>
      <c r="AI82" s="730"/>
    </row>
    <row r="83" spans="1:35" ht="15.75" thickBot="1">
      <c r="A83" s="732"/>
      <c r="B83" s="732"/>
      <c r="C83" s="732"/>
      <c r="D83" s="732"/>
      <c r="E83" s="733"/>
      <c r="F83" s="732"/>
      <c r="G83" s="732"/>
      <c r="H83" s="732"/>
      <c r="I83" s="732"/>
      <c r="J83" s="732"/>
      <c r="K83" s="732"/>
      <c r="L83" s="732"/>
      <c r="M83" s="732"/>
      <c r="N83" s="732"/>
      <c r="O83" s="732"/>
      <c r="P83" s="732"/>
      <c r="Q83" s="732"/>
      <c r="R83" s="732"/>
      <c r="S83" s="732"/>
      <c r="T83" s="732"/>
      <c r="U83" s="733"/>
      <c r="V83" s="732"/>
      <c r="W83" s="732"/>
      <c r="X83" s="732"/>
      <c r="Y83" s="732"/>
      <c r="Z83" s="732"/>
      <c r="AA83" s="732"/>
      <c r="AB83" s="732"/>
      <c r="AC83" s="732"/>
      <c r="AD83" s="732"/>
      <c r="AE83" s="732"/>
      <c r="AF83" s="732"/>
      <c r="AG83" s="732"/>
      <c r="AH83" s="734"/>
      <c r="AI83" s="730"/>
    </row>
    <row r="84" spans="1:35">
      <c r="A84" s="735"/>
      <c r="B84" s="735"/>
      <c r="C84" s="735"/>
      <c r="D84" s="735"/>
      <c r="E84" s="736"/>
      <c r="F84" s="735"/>
      <c r="G84" s="735"/>
      <c r="H84" s="735"/>
      <c r="I84" s="735"/>
      <c r="J84" s="735"/>
      <c r="K84" s="735"/>
      <c r="L84" s="735"/>
      <c r="M84" s="735"/>
      <c r="N84" s="735"/>
      <c r="O84" s="735"/>
      <c r="P84" s="735"/>
      <c r="Q84" s="735"/>
      <c r="R84" s="735"/>
      <c r="S84" s="735"/>
      <c r="T84" s="735"/>
      <c r="U84" s="736"/>
      <c r="V84" s="735"/>
      <c r="W84" s="735"/>
      <c r="X84" s="735"/>
      <c r="Y84" s="735"/>
      <c r="Z84" s="735"/>
      <c r="AA84" s="735"/>
      <c r="AB84" s="735"/>
      <c r="AC84" s="735"/>
      <c r="AD84" s="735"/>
      <c r="AE84" s="735"/>
      <c r="AF84" s="735"/>
      <c r="AG84" s="735"/>
      <c r="AH84" s="735"/>
      <c r="AI84" s="735"/>
    </row>
    <row r="85" spans="1:35">
      <c r="A85" s="735"/>
      <c r="B85" s="735"/>
      <c r="C85" s="735"/>
      <c r="D85" s="735"/>
      <c r="E85" s="736"/>
      <c r="F85" s="735"/>
      <c r="G85" s="735"/>
      <c r="H85" s="735"/>
      <c r="I85" s="735"/>
      <c r="J85" s="735"/>
      <c r="K85" s="735"/>
      <c r="L85" s="735"/>
      <c r="M85" s="735"/>
      <c r="N85" s="735"/>
      <c r="O85" s="735"/>
      <c r="P85" s="735"/>
      <c r="Q85" s="735"/>
      <c r="R85" s="735"/>
      <c r="S85" s="735"/>
      <c r="T85" s="735"/>
      <c r="U85" s="736"/>
      <c r="V85" s="735"/>
      <c r="W85" s="735"/>
      <c r="X85" s="735"/>
      <c r="Y85" s="735"/>
      <c r="Z85" s="735"/>
      <c r="AA85" s="735"/>
      <c r="AB85" s="735"/>
      <c r="AC85" s="735"/>
      <c r="AD85" s="735"/>
      <c r="AE85" s="735"/>
      <c r="AF85" s="735"/>
      <c r="AG85" s="735"/>
      <c r="AH85" s="735"/>
      <c r="AI85" s="735"/>
    </row>
    <row r="86" spans="1:35">
      <c r="A86" s="735"/>
      <c r="B86" s="735"/>
      <c r="C86" s="735"/>
      <c r="D86" s="735"/>
      <c r="E86" s="736"/>
      <c r="F86" s="735"/>
      <c r="G86" s="735"/>
      <c r="H86" s="735"/>
      <c r="I86" s="735"/>
      <c r="J86" s="735"/>
      <c r="K86" s="735"/>
      <c r="L86" s="735"/>
      <c r="M86" s="735"/>
      <c r="N86" s="735"/>
      <c r="O86" s="735"/>
      <c r="P86" s="735"/>
      <c r="Q86" s="735"/>
      <c r="R86" s="735"/>
      <c r="S86" s="735"/>
      <c r="T86" s="735"/>
      <c r="U86" s="736"/>
      <c r="V86" s="735"/>
      <c r="W86" s="735"/>
      <c r="X86" s="735"/>
      <c r="Y86" s="735"/>
      <c r="Z86" s="735"/>
      <c r="AA86" s="735"/>
      <c r="AB86" s="735"/>
      <c r="AC86" s="735"/>
      <c r="AD86" s="735"/>
      <c r="AE86" s="735"/>
      <c r="AF86" s="735"/>
      <c r="AG86" s="735"/>
      <c r="AH86" s="735"/>
      <c r="AI86" s="735"/>
    </row>
    <row r="87" spans="1:35">
      <c r="A87" s="735"/>
      <c r="B87" s="735"/>
      <c r="C87" s="735"/>
      <c r="D87" s="735"/>
      <c r="E87" s="736"/>
      <c r="F87" s="735"/>
      <c r="G87" s="735"/>
      <c r="H87" s="735"/>
      <c r="I87" s="735"/>
      <c r="J87" s="735"/>
      <c r="K87" s="735"/>
      <c r="L87" s="735"/>
      <c r="M87" s="735"/>
      <c r="N87" s="735"/>
      <c r="O87" s="735"/>
      <c r="P87" s="735"/>
      <c r="Q87" s="735"/>
      <c r="R87" s="735"/>
      <c r="S87" s="735"/>
      <c r="T87" s="735"/>
      <c r="U87" s="736"/>
      <c r="V87" s="735"/>
      <c r="W87" s="735"/>
      <c r="X87" s="735"/>
      <c r="Y87" s="735"/>
      <c r="Z87" s="735"/>
      <c r="AA87" s="735"/>
      <c r="AB87" s="735"/>
      <c r="AC87" s="735"/>
      <c r="AD87" s="735"/>
      <c r="AE87" s="735"/>
      <c r="AF87" s="735"/>
      <c r="AG87" s="735"/>
      <c r="AH87" s="735"/>
      <c r="AI87" s="735"/>
    </row>
    <row r="88" spans="1:35">
      <c r="A88" s="735"/>
      <c r="B88" s="735"/>
      <c r="C88" s="735"/>
      <c r="D88" s="735"/>
      <c r="E88" s="736"/>
      <c r="F88" s="735"/>
      <c r="G88" s="735"/>
      <c r="H88" s="735"/>
      <c r="I88" s="735"/>
      <c r="J88" s="735"/>
      <c r="K88" s="735"/>
      <c r="L88" s="735"/>
      <c r="M88" s="735"/>
      <c r="N88" s="735"/>
      <c r="O88" s="735"/>
      <c r="P88" s="735"/>
      <c r="Q88" s="735"/>
      <c r="R88" s="735"/>
      <c r="S88" s="735"/>
      <c r="T88" s="735"/>
      <c r="U88" s="736"/>
      <c r="V88" s="735"/>
      <c r="W88" s="735"/>
      <c r="X88" s="735"/>
      <c r="Y88" s="735"/>
      <c r="Z88" s="735"/>
      <c r="AA88" s="735"/>
      <c r="AB88" s="735"/>
      <c r="AC88" s="735"/>
      <c r="AD88" s="735"/>
      <c r="AE88" s="735"/>
      <c r="AF88" s="735"/>
      <c r="AG88" s="735"/>
      <c r="AH88" s="735"/>
      <c r="AI88" s="735"/>
    </row>
    <row r="89" spans="1:35">
      <c r="A89" s="735"/>
      <c r="B89" s="735"/>
      <c r="C89" s="735"/>
      <c r="D89" s="735"/>
      <c r="E89" s="736"/>
      <c r="F89" s="735"/>
      <c r="G89" s="735"/>
      <c r="H89" s="735"/>
      <c r="I89" s="735"/>
      <c r="J89" s="735"/>
      <c r="K89" s="735"/>
      <c r="L89" s="735"/>
      <c r="M89" s="735"/>
      <c r="N89" s="735"/>
      <c r="O89" s="735"/>
      <c r="P89" s="735"/>
      <c r="Q89" s="735"/>
      <c r="R89" s="735"/>
      <c r="S89" s="735"/>
      <c r="T89" s="735"/>
      <c r="U89" s="736"/>
      <c r="V89" s="735"/>
      <c r="W89" s="735"/>
      <c r="X89" s="735"/>
      <c r="Y89" s="735"/>
      <c r="Z89" s="735"/>
      <c r="AA89" s="735"/>
      <c r="AB89" s="735"/>
      <c r="AC89" s="735"/>
      <c r="AD89" s="735"/>
      <c r="AE89" s="735"/>
      <c r="AF89" s="735"/>
      <c r="AG89" s="735"/>
      <c r="AH89" s="735"/>
      <c r="AI89" s="735"/>
    </row>
  </sheetData>
  <mergeCells count="4">
    <mergeCell ref="C39:N39"/>
    <mergeCell ref="P39:Q39"/>
    <mergeCell ref="S39:AC39"/>
    <mergeCell ref="AE39:AG39"/>
  </mergeCells>
  <pageMargins left="0.25" right="0.25" top="0.75" bottom="0.75" header="0.3" footer="0.3"/>
  <pageSetup scale="42" orientation="landscape" verticalDpi="300" r:id="rId1"/>
  <colBreaks count="1" manualBreakCount="1">
    <brk id="3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Normal="100" zoomScaleSheetLayoutView="100" workbookViewId="0">
      <pane ySplit="4" topLeftCell="A5" activePane="bottomLeft" state="frozen"/>
      <selection activeCell="B2" sqref="B2:L2"/>
      <selection pane="bottomLeft" activeCell="A5" sqref="A5"/>
    </sheetView>
  </sheetViews>
  <sheetFormatPr defaultColWidth="9.140625" defaultRowHeight="15"/>
  <cols>
    <col min="1" max="1" width="9.140625" style="739"/>
    <col min="2" max="2" width="23.28515625" style="739" customWidth="1"/>
    <col min="3" max="3" width="11.7109375" style="739" bestFit="1" customWidth="1"/>
    <col min="4" max="4" width="12" style="739" customWidth="1"/>
    <col min="5" max="5" width="2.28515625" style="739" customWidth="1"/>
    <col min="6" max="10" width="11.140625" style="739" customWidth="1"/>
    <col min="11" max="11" width="13" style="739" customWidth="1"/>
    <col min="12" max="12" width="2.28515625" style="739" customWidth="1"/>
    <col min="13" max="16384" width="9.140625" style="739"/>
  </cols>
  <sheetData>
    <row r="1" spans="1:13">
      <c r="A1" s="737"/>
      <c r="B1" s="738" t="s">
        <v>852</v>
      </c>
      <c r="M1" s="737"/>
    </row>
    <row r="2" spans="1:13" ht="80.25" customHeight="1">
      <c r="A2" s="737"/>
      <c r="B2" s="997" t="s">
        <v>920</v>
      </c>
      <c r="C2" s="998"/>
      <c r="D2" s="998"/>
      <c r="E2" s="998"/>
      <c r="F2" s="998"/>
      <c r="G2" s="998"/>
      <c r="H2" s="998"/>
      <c r="I2" s="998"/>
      <c r="J2" s="998"/>
      <c r="K2" s="998"/>
      <c r="L2" s="998"/>
      <c r="M2" s="737"/>
    </row>
    <row r="3" spans="1:13">
      <c r="A3" s="737"/>
      <c r="M3" s="737"/>
    </row>
    <row r="4" spans="1:13">
      <c r="A4" s="737"/>
      <c r="B4" s="469"/>
      <c r="C4" s="469"/>
      <c r="D4" s="469"/>
      <c r="F4" s="740">
        <v>2009</v>
      </c>
      <c r="G4" s="740">
        <v>2010</v>
      </c>
      <c r="H4" s="740">
        <v>2011</v>
      </c>
      <c r="I4" s="740">
        <v>2012</v>
      </c>
      <c r="J4" s="740">
        <v>2013</v>
      </c>
      <c r="K4" s="740" t="s">
        <v>10</v>
      </c>
      <c r="M4" s="737"/>
    </row>
    <row r="5" spans="1:13">
      <c r="A5" s="737"/>
      <c r="M5" s="737"/>
    </row>
    <row r="6" spans="1:13">
      <c r="A6" s="737"/>
      <c r="B6" s="741" t="s">
        <v>853</v>
      </c>
      <c r="F6" s="558">
        <v>-846422.89167252183</v>
      </c>
      <c r="G6" s="558">
        <v>-835986.94076514989</v>
      </c>
      <c r="H6" s="558">
        <v>-754365.85926496983</v>
      </c>
      <c r="I6" s="558">
        <v>-735246.28836303949</v>
      </c>
      <c r="J6" s="558">
        <v>-732998.1402939558</v>
      </c>
      <c r="K6" s="742">
        <f>SUM(F6:J6)</f>
        <v>-3905020.1203596368</v>
      </c>
      <c r="M6" s="737"/>
    </row>
    <row r="7" spans="1:13">
      <c r="A7" s="737"/>
      <c r="B7" s="741" t="s">
        <v>815</v>
      </c>
      <c r="F7" s="743">
        <f>F41</f>
        <v>3.2933333333333328E-2</v>
      </c>
      <c r="G7" s="743">
        <f>G41</f>
        <v>3.2400000000000005E-2</v>
      </c>
      <c r="H7" s="743">
        <f>H41</f>
        <v>3.2400000000000005E-2</v>
      </c>
      <c r="I7" s="743">
        <f>I41</f>
        <v>3.2400000000000005E-2</v>
      </c>
      <c r="J7" s="743">
        <f>J41</f>
        <v>3.2400000000000005E-2</v>
      </c>
      <c r="M7" s="737"/>
    </row>
    <row r="8" spans="1:13">
      <c r="A8" s="737"/>
      <c r="B8" s="741" t="s">
        <v>854</v>
      </c>
      <c r="F8" s="739">
        <f>2016-F4</f>
        <v>7</v>
      </c>
      <c r="G8" s="739">
        <f>2016-G4</f>
        <v>6</v>
      </c>
      <c r="H8" s="739">
        <f>2016-H4</f>
        <v>5</v>
      </c>
      <c r="I8" s="739">
        <f>2016-I4</f>
        <v>4</v>
      </c>
      <c r="J8" s="739">
        <f>2016-J4</f>
        <v>3</v>
      </c>
      <c r="M8" s="737"/>
    </row>
    <row r="9" spans="1:13">
      <c r="A9" s="737"/>
      <c r="B9" s="741" t="s">
        <v>725</v>
      </c>
      <c r="F9" s="558">
        <f>F6*F7*F8</f>
        <v>-195128.69062690533</v>
      </c>
      <c r="G9" s="558">
        <f>G6*G7*G8</f>
        <v>-162515.86128474516</v>
      </c>
      <c r="H9" s="558">
        <f>H6*H7*H8</f>
        <v>-122207.26920092513</v>
      </c>
      <c r="I9" s="558">
        <f>I6*I7*I8</f>
        <v>-95287.91897184994</v>
      </c>
      <c r="J9" s="558">
        <f>J6*J7*J8</f>
        <v>-71247.419236572518</v>
      </c>
      <c r="K9" s="742">
        <f>SUM(F9:J9)</f>
        <v>-646387.15932099801</v>
      </c>
      <c r="M9" s="737"/>
    </row>
    <row r="10" spans="1:13">
      <c r="A10" s="737"/>
      <c r="B10" s="744" t="s">
        <v>855</v>
      </c>
      <c r="F10" s="745">
        <f t="shared" ref="F10:K10" si="0">F6+F9</f>
        <v>-1041551.5822994271</v>
      </c>
      <c r="G10" s="745">
        <f t="shared" si="0"/>
        <v>-998502.80204989505</v>
      </c>
      <c r="H10" s="745">
        <f t="shared" si="0"/>
        <v>-876573.12846589496</v>
      </c>
      <c r="I10" s="745">
        <f t="shared" si="0"/>
        <v>-830534.20733488945</v>
      </c>
      <c r="J10" s="745">
        <f t="shared" si="0"/>
        <v>-804245.55953052826</v>
      </c>
      <c r="K10" s="746">
        <f t="shared" si="0"/>
        <v>-4551407.2796806348</v>
      </c>
      <c r="M10" s="737"/>
    </row>
    <row r="11" spans="1:13">
      <c r="A11" s="737"/>
      <c r="M11" s="737"/>
    </row>
    <row r="12" spans="1:13" ht="30">
      <c r="A12" s="737"/>
      <c r="B12" s="469" t="s">
        <v>856</v>
      </c>
      <c r="C12" s="469" t="s">
        <v>857</v>
      </c>
      <c r="D12" s="469" t="s">
        <v>858</v>
      </c>
      <c r="F12" s="740">
        <v>2009</v>
      </c>
      <c r="G12" s="740">
        <v>2010</v>
      </c>
      <c r="H12" s="740">
        <v>2011</v>
      </c>
      <c r="I12" s="740">
        <v>2012</v>
      </c>
      <c r="J12" s="740">
        <v>2013</v>
      </c>
      <c r="M12" s="737"/>
    </row>
    <row r="13" spans="1:13">
      <c r="A13" s="737"/>
      <c r="B13" s="739" t="s">
        <v>859</v>
      </c>
      <c r="C13" s="743">
        <v>4.5199999999999997E-2</v>
      </c>
      <c r="D13" s="739">
        <v>3.8E-3</v>
      </c>
      <c r="F13" s="739">
        <f t="shared" ref="F13:J39" si="1">$D13</f>
        <v>3.8E-3</v>
      </c>
      <c r="M13" s="737"/>
    </row>
    <row r="14" spans="1:13">
      <c r="A14" s="737"/>
      <c r="B14" s="739" t="s">
        <v>860</v>
      </c>
      <c r="C14" s="743">
        <v>3.3700000000000001E-2</v>
      </c>
      <c r="D14" s="739">
        <v>2.8E-3</v>
      </c>
      <c r="F14" s="739">
        <f t="shared" si="1"/>
        <v>2.8E-3</v>
      </c>
      <c r="M14" s="737"/>
    </row>
    <row r="15" spans="1:13">
      <c r="A15" s="737"/>
      <c r="B15" s="739" t="s">
        <v>861</v>
      </c>
      <c r="C15" s="743">
        <v>3.2500000000000001E-2</v>
      </c>
      <c r="D15" s="739">
        <v>2.7000000000000001E-3</v>
      </c>
      <c r="F15" s="739">
        <f t="shared" si="1"/>
        <v>2.7000000000000001E-3</v>
      </c>
      <c r="M15" s="737"/>
    </row>
    <row r="16" spans="1:13">
      <c r="A16" s="737"/>
      <c r="B16" s="739" t="s">
        <v>862</v>
      </c>
      <c r="C16" s="743">
        <v>3.2500000000000001E-2</v>
      </c>
      <c r="D16" s="739">
        <v>2.7000000000000001E-3</v>
      </c>
      <c r="F16" s="739">
        <f t="shared" si="1"/>
        <v>2.7000000000000001E-3</v>
      </c>
      <c r="M16" s="737"/>
    </row>
    <row r="17" spans="1:13">
      <c r="A17" s="737"/>
      <c r="B17" s="739" t="s">
        <v>863</v>
      </c>
      <c r="C17" s="743">
        <v>3.2500000000000001E-2</v>
      </c>
      <c r="D17" s="739">
        <v>2.7000000000000001E-3</v>
      </c>
      <c r="F17" s="739">
        <f t="shared" si="1"/>
        <v>2.7000000000000001E-3</v>
      </c>
      <c r="G17" s="739">
        <f t="shared" si="1"/>
        <v>2.7000000000000001E-3</v>
      </c>
      <c r="M17" s="737"/>
    </row>
    <row r="18" spans="1:13">
      <c r="A18" s="737"/>
      <c r="B18" s="739" t="s">
        <v>864</v>
      </c>
      <c r="C18" s="743">
        <v>3.2500000000000001E-2</v>
      </c>
      <c r="D18" s="739">
        <v>2.7000000000000001E-3</v>
      </c>
      <c r="F18" s="739">
        <f t="shared" si="1"/>
        <v>2.7000000000000001E-3</v>
      </c>
      <c r="G18" s="739">
        <f t="shared" si="1"/>
        <v>2.7000000000000001E-3</v>
      </c>
      <c r="M18" s="737"/>
    </row>
    <row r="19" spans="1:13">
      <c r="A19" s="737"/>
      <c r="B19" s="739" t="s">
        <v>865</v>
      </c>
      <c r="C19" s="743">
        <v>3.2500000000000001E-2</v>
      </c>
      <c r="D19" s="739">
        <v>2.7000000000000001E-3</v>
      </c>
      <c r="F19" s="739">
        <f t="shared" si="1"/>
        <v>2.7000000000000001E-3</v>
      </c>
      <c r="G19" s="739">
        <f t="shared" si="1"/>
        <v>2.7000000000000001E-3</v>
      </c>
      <c r="M19" s="737"/>
    </row>
    <row r="20" spans="1:13">
      <c r="A20" s="737"/>
      <c r="B20" s="739" t="s">
        <v>866</v>
      </c>
      <c r="C20" s="743">
        <v>3.2500000000000001E-2</v>
      </c>
      <c r="D20" s="739">
        <v>2.7000000000000001E-3</v>
      </c>
      <c r="F20" s="739">
        <f t="shared" si="1"/>
        <v>2.7000000000000001E-3</v>
      </c>
      <c r="G20" s="739">
        <f t="shared" si="1"/>
        <v>2.7000000000000001E-3</v>
      </c>
      <c r="M20" s="737"/>
    </row>
    <row r="21" spans="1:13">
      <c r="A21" s="737"/>
      <c r="B21" s="739" t="s">
        <v>867</v>
      </c>
      <c r="C21" s="743">
        <v>3.2500000000000001E-2</v>
      </c>
      <c r="D21" s="739">
        <v>2.7000000000000001E-3</v>
      </c>
      <c r="F21" s="739">
        <f t="shared" si="1"/>
        <v>2.7000000000000001E-3</v>
      </c>
      <c r="G21" s="739">
        <f t="shared" si="1"/>
        <v>2.7000000000000001E-3</v>
      </c>
      <c r="H21" s="739">
        <f t="shared" si="1"/>
        <v>2.7000000000000001E-3</v>
      </c>
      <c r="M21" s="737"/>
    </row>
    <row r="22" spans="1:13">
      <c r="A22" s="737"/>
      <c r="B22" s="739" t="s">
        <v>868</v>
      </c>
      <c r="C22" s="743">
        <v>3.2500000000000001E-2</v>
      </c>
      <c r="D22" s="739">
        <v>2.7000000000000001E-3</v>
      </c>
      <c r="F22" s="739">
        <f t="shared" si="1"/>
        <v>2.7000000000000001E-3</v>
      </c>
      <c r="G22" s="739">
        <f t="shared" si="1"/>
        <v>2.7000000000000001E-3</v>
      </c>
      <c r="H22" s="739">
        <f t="shared" si="1"/>
        <v>2.7000000000000001E-3</v>
      </c>
      <c r="M22" s="737"/>
    </row>
    <row r="23" spans="1:13">
      <c r="A23" s="737"/>
      <c r="B23" s="739" t="s">
        <v>869</v>
      </c>
      <c r="C23" s="743">
        <v>3.2500000000000001E-2</v>
      </c>
      <c r="D23" s="739">
        <v>2.7000000000000001E-3</v>
      </c>
      <c r="F23" s="739">
        <f t="shared" si="1"/>
        <v>2.7000000000000001E-3</v>
      </c>
      <c r="G23" s="739">
        <f t="shared" si="1"/>
        <v>2.7000000000000001E-3</v>
      </c>
      <c r="H23" s="739">
        <f t="shared" si="1"/>
        <v>2.7000000000000001E-3</v>
      </c>
      <c r="M23" s="737"/>
    </row>
    <row r="24" spans="1:13">
      <c r="A24" s="737"/>
      <c r="B24" s="739" t="s">
        <v>870</v>
      </c>
      <c r="C24" s="743">
        <v>3.2500000000000001E-2</v>
      </c>
      <c r="D24" s="739">
        <v>2.7000000000000001E-3</v>
      </c>
      <c r="F24" s="739">
        <f t="shared" si="1"/>
        <v>2.7000000000000001E-3</v>
      </c>
      <c r="G24" s="739">
        <f t="shared" si="1"/>
        <v>2.7000000000000001E-3</v>
      </c>
      <c r="H24" s="739">
        <f t="shared" si="1"/>
        <v>2.7000000000000001E-3</v>
      </c>
      <c r="M24" s="737"/>
    </row>
    <row r="25" spans="1:13">
      <c r="A25" s="737"/>
      <c r="B25" s="739" t="s">
        <v>871</v>
      </c>
      <c r="C25" s="743">
        <v>3.2500000000000001E-2</v>
      </c>
      <c r="D25" s="739">
        <v>2.7000000000000001E-3</v>
      </c>
      <c r="F25" s="739">
        <f t="shared" si="1"/>
        <v>2.7000000000000001E-3</v>
      </c>
      <c r="G25" s="739">
        <f t="shared" si="1"/>
        <v>2.7000000000000001E-3</v>
      </c>
      <c r="H25" s="739">
        <f t="shared" si="1"/>
        <v>2.7000000000000001E-3</v>
      </c>
      <c r="I25" s="739">
        <f t="shared" si="1"/>
        <v>2.7000000000000001E-3</v>
      </c>
      <c r="M25" s="737"/>
    </row>
    <row r="26" spans="1:13">
      <c r="A26" s="737"/>
      <c r="B26" s="739" t="s">
        <v>872</v>
      </c>
      <c r="C26" s="743">
        <v>3.2500000000000001E-2</v>
      </c>
      <c r="D26" s="739">
        <v>2.7000000000000001E-3</v>
      </c>
      <c r="F26" s="739">
        <f t="shared" si="1"/>
        <v>2.7000000000000001E-3</v>
      </c>
      <c r="G26" s="739">
        <f t="shared" si="1"/>
        <v>2.7000000000000001E-3</v>
      </c>
      <c r="H26" s="739">
        <f t="shared" si="1"/>
        <v>2.7000000000000001E-3</v>
      </c>
      <c r="I26" s="739">
        <f t="shared" si="1"/>
        <v>2.7000000000000001E-3</v>
      </c>
      <c r="M26" s="737"/>
    </row>
    <row r="27" spans="1:13">
      <c r="A27" s="737"/>
      <c r="B27" s="739" t="s">
        <v>873</v>
      </c>
      <c r="C27" s="743">
        <v>3.2500000000000001E-2</v>
      </c>
      <c r="D27" s="739">
        <v>2.7000000000000001E-3</v>
      </c>
      <c r="F27" s="739">
        <f t="shared" si="1"/>
        <v>2.7000000000000001E-3</v>
      </c>
      <c r="G27" s="739">
        <f t="shared" si="1"/>
        <v>2.7000000000000001E-3</v>
      </c>
      <c r="H27" s="739">
        <f t="shared" si="1"/>
        <v>2.7000000000000001E-3</v>
      </c>
      <c r="I27" s="739">
        <f t="shared" si="1"/>
        <v>2.7000000000000001E-3</v>
      </c>
      <c r="M27" s="737"/>
    </row>
    <row r="28" spans="1:13">
      <c r="A28" s="737"/>
      <c r="B28" s="739" t="s">
        <v>874</v>
      </c>
      <c r="C28" s="743">
        <v>3.2500000000000001E-2</v>
      </c>
      <c r="D28" s="739">
        <v>2.7000000000000001E-3</v>
      </c>
      <c r="F28" s="739">
        <f t="shared" si="1"/>
        <v>2.7000000000000001E-3</v>
      </c>
      <c r="G28" s="739">
        <f t="shared" si="1"/>
        <v>2.7000000000000001E-3</v>
      </c>
      <c r="H28" s="739">
        <f t="shared" si="1"/>
        <v>2.7000000000000001E-3</v>
      </c>
      <c r="I28" s="739">
        <f t="shared" si="1"/>
        <v>2.7000000000000001E-3</v>
      </c>
      <c r="M28" s="737"/>
    </row>
    <row r="29" spans="1:13">
      <c r="A29" s="737"/>
      <c r="B29" s="739" t="s">
        <v>875</v>
      </c>
      <c r="C29" s="743">
        <v>3.2500000000000001E-2</v>
      </c>
      <c r="D29" s="739">
        <v>2.7000000000000001E-3</v>
      </c>
      <c r="F29" s="739">
        <f t="shared" si="1"/>
        <v>2.7000000000000001E-3</v>
      </c>
      <c r="G29" s="739">
        <f t="shared" si="1"/>
        <v>2.7000000000000001E-3</v>
      </c>
      <c r="H29" s="739">
        <f t="shared" si="1"/>
        <v>2.7000000000000001E-3</v>
      </c>
      <c r="I29" s="739">
        <f t="shared" si="1"/>
        <v>2.7000000000000001E-3</v>
      </c>
      <c r="J29" s="739">
        <f t="shared" si="1"/>
        <v>2.7000000000000001E-3</v>
      </c>
      <c r="M29" s="737"/>
    </row>
    <row r="30" spans="1:13">
      <c r="A30" s="737"/>
      <c r="B30" s="739" t="s">
        <v>876</v>
      </c>
      <c r="C30" s="743">
        <v>3.2500000000000001E-2</v>
      </c>
      <c r="D30" s="739">
        <v>2.7000000000000001E-3</v>
      </c>
      <c r="F30" s="739">
        <f t="shared" si="1"/>
        <v>2.7000000000000001E-3</v>
      </c>
      <c r="G30" s="739">
        <f t="shared" si="1"/>
        <v>2.7000000000000001E-3</v>
      </c>
      <c r="H30" s="739">
        <f t="shared" si="1"/>
        <v>2.7000000000000001E-3</v>
      </c>
      <c r="I30" s="739">
        <f t="shared" si="1"/>
        <v>2.7000000000000001E-3</v>
      </c>
      <c r="J30" s="739">
        <f t="shared" si="1"/>
        <v>2.7000000000000001E-3</v>
      </c>
      <c r="M30" s="737"/>
    </row>
    <row r="31" spans="1:13">
      <c r="A31" s="737"/>
      <c r="B31" s="739" t="s">
        <v>877</v>
      </c>
      <c r="C31" s="743">
        <v>3.2500000000000001E-2</v>
      </c>
      <c r="D31" s="739">
        <v>2.7000000000000001E-3</v>
      </c>
      <c r="F31" s="739">
        <f t="shared" si="1"/>
        <v>2.7000000000000001E-3</v>
      </c>
      <c r="G31" s="739">
        <f t="shared" si="1"/>
        <v>2.7000000000000001E-3</v>
      </c>
      <c r="H31" s="739">
        <f t="shared" si="1"/>
        <v>2.7000000000000001E-3</v>
      </c>
      <c r="I31" s="739">
        <f t="shared" si="1"/>
        <v>2.7000000000000001E-3</v>
      </c>
      <c r="J31" s="739">
        <f t="shared" si="1"/>
        <v>2.7000000000000001E-3</v>
      </c>
      <c r="M31" s="737"/>
    </row>
    <row r="32" spans="1:13">
      <c r="A32" s="737"/>
      <c r="B32" s="739" t="s">
        <v>878</v>
      </c>
      <c r="C32" s="743">
        <v>3.2500000000000001E-2</v>
      </c>
      <c r="D32" s="739">
        <v>2.7000000000000001E-3</v>
      </c>
      <c r="F32" s="739">
        <f t="shared" si="1"/>
        <v>2.7000000000000001E-3</v>
      </c>
      <c r="G32" s="739">
        <f t="shared" si="1"/>
        <v>2.7000000000000001E-3</v>
      </c>
      <c r="H32" s="739">
        <f t="shared" si="1"/>
        <v>2.7000000000000001E-3</v>
      </c>
      <c r="I32" s="739">
        <f t="shared" si="1"/>
        <v>2.7000000000000001E-3</v>
      </c>
      <c r="J32" s="739">
        <f t="shared" si="1"/>
        <v>2.7000000000000001E-3</v>
      </c>
      <c r="M32" s="737"/>
    </row>
    <row r="33" spans="1:13">
      <c r="A33" s="737"/>
      <c r="B33" s="739" t="s">
        <v>879</v>
      </c>
      <c r="C33" s="743">
        <v>3.2500000000000001E-2</v>
      </c>
      <c r="D33" s="739">
        <v>2.7000000000000001E-3</v>
      </c>
      <c r="F33" s="739">
        <f t="shared" si="1"/>
        <v>2.7000000000000001E-3</v>
      </c>
      <c r="G33" s="739">
        <f t="shared" si="1"/>
        <v>2.7000000000000001E-3</v>
      </c>
      <c r="H33" s="739">
        <f t="shared" si="1"/>
        <v>2.7000000000000001E-3</v>
      </c>
      <c r="I33" s="739">
        <f t="shared" si="1"/>
        <v>2.7000000000000001E-3</v>
      </c>
      <c r="J33" s="739">
        <f t="shared" si="1"/>
        <v>2.7000000000000001E-3</v>
      </c>
      <c r="M33" s="737"/>
    </row>
    <row r="34" spans="1:13">
      <c r="A34" s="737"/>
      <c r="B34" s="739" t="s">
        <v>880</v>
      </c>
      <c r="C34" s="743">
        <v>3.2500000000000001E-2</v>
      </c>
      <c r="D34" s="739">
        <v>2.7000000000000001E-3</v>
      </c>
      <c r="F34" s="739">
        <f t="shared" si="1"/>
        <v>2.7000000000000001E-3</v>
      </c>
      <c r="G34" s="739">
        <f t="shared" si="1"/>
        <v>2.7000000000000001E-3</v>
      </c>
      <c r="H34" s="739">
        <f t="shared" si="1"/>
        <v>2.7000000000000001E-3</v>
      </c>
      <c r="I34" s="739">
        <f t="shared" si="1"/>
        <v>2.7000000000000001E-3</v>
      </c>
      <c r="J34" s="739">
        <f t="shared" si="1"/>
        <v>2.7000000000000001E-3</v>
      </c>
      <c r="M34" s="737"/>
    </row>
    <row r="35" spans="1:13">
      <c r="A35" s="737"/>
      <c r="B35" s="739" t="s">
        <v>881</v>
      </c>
      <c r="C35" s="743">
        <v>3.2500000000000001E-2</v>
      </c>
      <c r="D35" s="739">
        <v>2.7000000000000001E-3</v>
      </c>
      <c r="F35" s="739">
        <f t="shared" si="1"/>
        <v>2.7000000000000001E-3</v>
      </c>
      <c r="G35" s="739">
        <f t="shared" si="1"/>
        <v>2.7000000000000001E-3</v>
      </c>
      <c r="H35" s="739">
        <f t="shared" si="1"/>
        <v>2.7000000000000001E-3</v>
      </c>
      <c r="I35" s="739">
        <f t="shared" si="1"/>
        <v>2.7000000000000001E-3</v>
      </c>
      <c r="J35" s="739">
        <f t="shared" si="1"/>
        <v>2.7000000000000001E-3</v>
      </c>
      <c r="M35" s="737"/>
    </row>
    <row r="36" spans="1:13">
      <c r="A36" s="737"/>
      <c r="B36" s="739" t="s">
        <v>882</v>
      </c>
      <c r="C36" s="743">
        <v>3.2500000000000001E-2</v>
      </c>
      <c r="D36" s="739">
        <v>2.7000000000000001E-3</v>
      </c>
      <c r="F36" s="739">
        <f t="shared" si="1"/>
        <v>2.7000000000000001E-3</v>
      </c>
      <c r="G36" s="739">
        <f t="shared" si="1"/>
        <v>2.7000000000000001E-3</v>
      </c>
      <c r="H36" s="739">
        <f t="shared" si="1"/>
        <v>2.7000000000000001E-3</v>
      </c>
      <c r="I36" s="739">
        <f t="shared" si="1"/>
        <v>2.7000000000000001E-3</v>
      </c>
      <c r="J36" s="739">
        <f t="shared" si="1"/>
        <v>2.7000000000000001E-3</v>
      </c>
      <c r="M36" s="737"/>
    </row>
    <row r="37" spans="1:13">
      <c r="A37" s="737"/>
      <c r="B37" s="739" t="s">
        <v>883</v>
      </c>
      <c r="C37" s="743">
        <v>3.2500000000000001E-2</v>
      </c>
      <c r="D37" s="739">
        <v>2.7000000000000001E-3</v>
      </c>
      <c r="F37" s="739">
        <f t="shared" si="1"/>
        <v>2.7000000000000001E-3</v>
      </c>
      <c r="G37" s="739">
        <f t="shared" si="1"/>
        <v>2.7000000000000001E-3</v>
      </c>
      <c r="H37" s="739">
        <f t="shared" si="1"/>
        <v>2.7000000000000001E-3</v>
      </c>
      <c r="I37" s="739">
        <f t="shared" si="1"/>
        <v>2.7000000000000001E-3</v>
      </c>
      <c r="J37" s="739">
        <f t="shared" si="1"/>
        <v>2.7000000000000001E-3</v>
      </c>
      <c r="M37" s="737"/>
    </row>
    <row r="38" spans="1:13">
      <c r="A38" s="737"/>
      <c r="B38" s="739" t="s">
        <v>884</v>
      </c>
      <c r="C38" s="743">
        <v>3.2500000000000001E-2</v>
      </c>
      <c r="D38" s="739">
        <v>2.7000000000000001E-3</v>
      </c>
      <c r="F38" s="739">
        <f t="shared" si="1"/>
        <v>2.7000000000000001E-3</v>
      </c>
      <c r="G38" s="739">
        <f t="shared" si="1"/>
        <v>2.7000000000000001E-3</v>
      </c>
      <c r="H38" s="739">
        <f t="shared" si="1"/>
        <v>2.7000000000000001E-3</v>
      </c>
      <c r="I38" s="739">
        <f t="shared" si="1"/>
        <v>2.7000000000000001E-3</v>
      </c>
      <c r="J38" s="739">
        <f t="shared" si="1"/>
        <v>2.7000000000000001E-3</v>
      </c>
      <c r="M38" s="737"/>
    </row>
    <row r="39" spans="1:13">
      <c r="A39" s="737"/>
      <c r="B39" s="739" t="s">
        <v>885</v>
      </c>
      <c r="C39" s="743">
        <v>3.2500000000000001E-2</v>
      </c>
      <c r="D39" s="739">
        <v>2.7000000000000001E-3</v>
      </c>
      <c r="F39" s="739">
        <f t="shared" si="1"/>
        <v>2.7000000000000001E-3</v>
      </c>
      <c r="G39" s="739">
        <f t="shared" si="1"/>
        <v>2.7000000000000001E-3</v>
      </c>
      <c r="H39" s="739">
        <f t="shared" si="1"/>
        <v>2.7000000000000001E-3</v>
      </c>
      <c r="I39" s="739">
        <f t="shared" si="1"/>
        <v>2.7000000000000001E-3</v>
      </c>
      <c r="J39" s="739">
        <f t="shared" si="1"/>
        <v>2.7000000000000001E-3</v>
      </c>
      <c r="M39" s="737"/>
    </row>
    <row r="40" spans="1:13">
      <c r="A40" s="737"/>
      <c r="M40" s="737"/>
    </row>
    <row r="41" spans="1:13">
      <c r="A41" s="737"/>
      <c r="C41" s="747" t="s">
        <v>886</v>
      </c>
      <c r="D41" s="748">
        <f>AVERAGE(D13:D39)*12</f>
        <v>3.2933333333333328E-2</v>
      </c>
      <c r="F41" s="748">
        <f>AVERAGE(F13:F39)*12</f>
        <v>3.2933333333333328E-2</v>
      </c>
      <c r="G41" s="748">
        <f>AVERAGE(G17:G39)*12</f>
        <v>3.2400000000000005E-2</v>
      </c>
      <c r="H41" s="748">
        <f>AVERAGE(H21:H39)*12</f>
        <v>3.2400000000000005E-2</v>
      </c>
      <c r="I41" s="748">
        <f>AVERAGE(I25:I39)*12</f>
        <v>3.2400000000000005E-2</v>
      </c>
      <c r="J41" s="748">
        <f>AVERAGE(J29:J39)*12</f>
        <v>3.2400000000000005E-2</v>
      </c>
      <c r="M41" s="737"/>
    </row>
    <row r="42" spans="1:13">
      <c r="A42" s="737"/>
      <c r="C42" s="744"/>
      <c r="M42" s="737"/>
    </row>
    <row r="43" spans="1:13">
      <c r="A43" s="737"/>
      <c r="M43" s="737"/>
    </row>
    <row r="44" spans="1:13">
      <c r="A44" s="737"/>
      <c r="M44" s="737"/>
    </row>
    <row r="45" spans="1:13">
      <c r="A45" s="737"/>
      <c r="B45" s="737"/>
      <c r="C45" s="737"/>
      <c r="D45" s="737"/>
      <c r="E45" s="737"/>
      <c r="F45" s="737"/>
      <c r="G45" s="737"/>
      <c r="H45" s="737"/>
      <c r="I45" s="737"/>
      <c r="J45" s="737"/>
      <c r="K45" s="737"/>
      <c r="L45" s="737"/>
      <c r="M45" s="737"/>
    </row>
    <row r="46" spans="1:13">
      <c r="A46" s="737"/>
      <c r="B46" s="737"/>
      <c r="C46" s="737"/>
      <c r="D46" s="737"/>
      <c r="E46" s="737"/>
      <c r="F46" s="737"/>
      <c r="G46" s="737"/>
      <c r="H46" s="737"/>
      <c r="I46" s="737"/>
      <c r="J46" s="737"/>
      <c r="K46" s="737"/>
      <c r="L46" s="737"/>
      <c r="M46" s="737"/>
    </row>
  </sheetData>
  <mergeCells count="1">
    <mergeCell ref="B2:L2"/>
  </mergeCells>
  <pageMargins left="0.7" right="0.7" top="0.75" bottom="0.75" header="0.3" footer="0.3"/>
  <pageSetup scale="74" orientation="portrait"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showGridLines="0" zoomScaleNormal="100" zoomScaleSheetLayoutView="100" workbookViewId="0">
      <pane ySplit="4" topLeftCell="A5" activePane="bottomLeft" state="frozen"/>
      <selection activeCell="B2" sqref="B2:L2"/>
      <selection pane="bottomLeft" activeCell="A5" sqref="A5"/>
    </sheetView>
  </sheetViews>
  <sheetFormatPr defaultColWidth="9.140625" defaultRowHeight="15"/>
  <cols>
    <col min="1" max="1" width="9.140625" style="739"/>
    <col min="2" max="2" width="23.28515625" style="739" customWidth="1"/>
    <col min="3" max="3" width="11.7109375" style="739" bestFit="1" customWidth="1"/>
    <col min="4" max="4" width="12" style="739" customWidth="1"/>
    <col min="5" max="5" width="2.28515625" style="739" customWidth="1"/>
    <col min="6" max="10" width="11.140625" style="739" customWidth="1"/>
    <col min="11" max="11" width="13" style="739" customWidth="1"/>
    <col min="12" max="12" width="2.28515625" style="739" customWidth="1"/>
    <col min="13" max="13" width="9.140625" style="739"/>
    <col min="14" max="14" width="11.5703125" style="749" bestFit="1" customWidth="1"/>
    <col min="15" max="16384" width="9.140625" style="739"/>
  </cols>
  <sheetData>
    <row r="1" spans="1:14">
      <c r="A1" s="737"/>
      <c r="B1" s="738" t="s">
        <v>887</v>
      </c>
      <c r="M1" s="737"/>
    </row>
    <row r="2" spans="1:14" ht="75" customHeight="1">
      <c r="A2" s="737"/>
      <c r="B2" s="997" t="s">
        <v>921</v>
      </c>
      <c r="C2" s="998"/>
      <c r="D2" s="998"/>
      <c r="E2" s="998"/>
      <c r="F2" s="998"/>
      <c r="G2" s="998"/>
      <c r="H2" s="998"/>
      <c r="I2" s="998"/>
      <c r="J2" s="998"/>
      <c r="K2" s="998"/>
      <c r="L2" s="998"/>
      <c r="M2" s="737"/>
    </row>
    <row r="3" spans="1:14">
      <c r="A3" s="737"/>
      <c r="M3" s="737"/>
    </row>
    <row r="4" spans="1:14">
      <c r="A4" s="737"/>
      <c r="B4" s="469"/>
      <c r="C4" s="469"/>
      <c r="D4" s="469"/>
      <c r="F4" s="740">
        <v>2010</v>
      </c>
      <c r="G4" s="740">
        <v>2011</v>
      </c>
      <c r="H4" s="740">
        <v>2012</v>
      </c>
      <c r="I4" s="740">
        <v>2013</v>
      </c>
      <c r="J4" s="740">
        <v>2014</v>
      </c>
      <c r="K4" s="740" t="s">
        <v>10</v>
      </c>
      <c r="M4" s="737"/>
    </row>
    <row r="5" spans="1:14">
      <c r="A5" s="737"/>
      <c r="M5" s="737"/>
    </row>
    <row r="6" spans="1:14" s="751" customFormat="1">
      <c r="A6" s="737"/>
      <c r="B6" s="750" t="s">
        <v>888</v>
      </c>
      <c r="F6" s="752"/>
      <c r="G6" s="752"/>
      <c r="H6" s="752"/>
      <c r="I6" s="752"/>
      <c r="J6" s="752"/>
      <c r="K6" s="752"/>
      <c r="M6" s="737"/>
      <c r="N6" s="749"/>
    </row>
    <row r="7" spans="1:14" s="751" customFormat="1">
      <c r="A7" s="737"/>
      <c r="B7" s="753" t="s">
        <v>889</v>
      </c>
      <c r="F7" s="752">
        <v>72928.37</v>
      </c>
      <c r="G7" s="752">
        <v>39106.570000000014</v>
      </c>
      <c r="H7" s="752">
        <v>76538.880000000019</v>
      </c>
      <c r="I7" s="752">
        <v>76292.640000000014</v>
      </c>
      <c r="J7" s="752">
        <v>76292.639999999999</v>
      </c>
      <c r="K7" s="754">
        <f>SUM(F7:J7)</f>
        <v>341159.10000000003</v>
      </c>
      <c r="M7" s="737"/>
      <c r="N7" s="749"/>
    </row>
    <row r="8" spans="1:14" s="751" customFormat="1">
      <c r="A8" s="737"/>
      <c r="B8" s="753" t="s">
        <v>890</v>
      </c>
      <c r="F8" s="752">
        <v>0</v>
      </c>
      <c r="G8" s="752">
        <v>-198.24</v>
      </c>
      <c r="H8" s="752">
        <v>101364.88999999998</v>
      </c>
      <c r="I8" s="752">
        <v>119407.43999999997</v>
      </c>
      <c r="J8" s="752">
        <v>119407.43999999999</v>
      </c>
      <c r="K8" s="754">
        <f t="shared" ref="K8:K10" si="0">SUM(F8:J8)</f>
        <v>339981.52999999997</v>
      </c>
      <c r="M8" s="737"/>
      <c r="N8" s="749"/>
    </row>
    <row r="9" spans="1:14" s="751" customFormat="1">
      <c r="A9" s="737"/>
      <c r="B9" s="753" t="s">
        <v>891</v>
      </c>
      <c r="F9" s="752">
        <v>0</v>
      </c>
      <c r="G9" s="752">
        <v>0</v>
      </c>
      <c r="H9" s="752">
        <v>33762.429999999993</v>
      </c>
      <c r="I9" s="752">
        <v>36557.87999999999</v>
      </c>
      <c r="J9" s="752">
        <v>36557.87999999999</v>
      </c>
      <c r="K9" s="754">
        <f t="shared" si="0"/>
        <v>106878.18999999997</v>
      </c>
      <c r="M9" s="737"/>
      <c r="N9" s="749"/>
    </row>
    <row r="10" spans="1:14" s="751" customFormat="1">
      <c r="A10" s="737"/>
      <c r="B10" s="753" t="s">
        <v>892</v>
      </c>
      <c r="F10" s="752">
        <v>0</v>
      </c>
      <c r="G10" s="752">
        <v>0</v>
      </c>
      <c r="H10" s="752">
        <v>32447.360000000008</v>
      </c>
      <c r="I10" s="752">
        <v>35397.12000000001</v>
      </c>
      <c r="J10" s="752">
        <v>35397.12000000001</v>
      </c>
      <c r="K10" s="754">
        <f t="shared" si="0"/>
        <v>103241.60000000002</v>
      </c>
      <c r="M10" s="737"/>
      <c r="N10" s="749"/>
    </row>
    <row r="11" spans="1:14" s="751" customFormat="1">
      <c r="A11" s="737"/>
      <c r="B11" s="753"/>
      <c r="F11" s="755">
        <f>SUM(F7:F10)</f>
        <v>72928.37</v>
      </c>
      <c r="G11" s="755">
        <f t="shared" ref="G11:K11" si="1">SUM(G7:G10)</f>
        <v>38908.330000000016</v>
      </c>
      <c r="H11" s="755">
        <f t="shared" si="1"/>
        <v>244113.56000000003</v>
      </c>
      <c r="I11" s="755">
        <f t="shared" si="1"/>
        <v>267655.07999999996</v>
      </c>
      <c r="J11" s="755">
        <f t="shared" si="1"/>
        <v>267655.07999999996</v>
      </c>
      <c r="K11" s="756">
        <f t="shared" si="1"/>
        <v>891260.41999999993</v>
      </c>
      <c r="M11" s="737"/>
      <c r="N11" s="749"/>
    </row>
    <row r="12" spans="1:14" s="751" customFormat="1">
      <c r="A12" s="737"/>
      <c r="B12" s="753"/>
      <c r="F12" s="752"/>
      <c r="G12" s="752"/>
      <c r="H12" s="752"/>
      <c r="I12" s="752"/>
      <c r="J12" s="752"/>
      <c r="K12" s="752"/>
      <c r="M12" s="737"/>
      <c r="N12" s="749"/>
    </row>
    <row r="13" spans="1:14" s="751" customFormat="1">
      <c r="A13" s="737"/>
      <c r="B13" s="750" t="s">
        <v>893</v>
      </c>
      <c r="F13" s="752"/>
      <c r="G13" s="752"/>
      <c r="H13" s="752"/>
      <c r="I13" s="752"/>
      <c r="J13" s="752"/>
      <c r="K13" s="752"/>
      <c r="M13" s="737"/>
      <c r="N13" s="749"/>
    </row>
    <row r="14" spans="1:14" s="751" customFormat="1">
      <c r="A14" s="737"/>
      <c r="B14" s="753" t="s">
        <v>889</v>
      </c>
      <c r="F14" s="752">
        <v>36464.184999999998</v>
      </c>
      <c r="G14" s="752">
        <v>19553.285000000007</v>
      </c>
      <c r="H14" s="752">
        <v>38269.44000000001</v>
      </c>
      <c r="I14" s="752">
        <v>38146.320000000007</v>
      </c>
      <c r="J14" s="752">
        <v>38146.32</v>
      </c>
      <c r="K14" s="754">
        <f>SUM(F14:J14)</f>
        <v>170579.55000000002</v>
      </c>
      <c r="M14" s="737"/>
      <c r="N14" s="749"/>
    </row>
    <row r="15" spans="1:14" s="751" customFormat="1">
      <c r="A15" s="737"/>
      <c r="B15" s="753" t="s">
        <v>890</v>
      </c>
      <c r="F15" s="752">
        <v>0</v>
      </c>
      <c r="G15" s="752">
        <v>-99.12</v>
      </c>
      <c r="H15" s="752">
        <v>50682.444999999992</v>
      </c>
      <c r="I15" s="752">
        <v>59703.719999999987</v>
      </c>
      <c r="J15" s="752">
        <v>59703.719999999994</v>
      </c>
      <c r="K15" s="754">
        <f t="shared" ref="K15:K17" si="2">SUM(F15:J15)</f>
        <v>169990.76499999998</v>
      </c>
      <c r="M15" s="737"/>
      <c r="N15" s="749"/>
    </row>
    <row r="16" spans="1:14" s="751" customFormat="1">
      <c r="A16" s="737"/>
      <c r="B16" s="753" t="s">
        <v>891</v>
      </c>
      <c r="F16" s="752">
        <v>0</v>
      </c>
      <c r="G16" s="752">
        <v>0</v>
      </c>
      <c r="H16" s="752">
        <v>16881.214999999997</v>
      </c>
      <c r="I16" s="752">
        <v>18278.939999999995</v>
      </c>
      <c r="J16" s="752">
        <v>18278.939999999995</v>
      </c>
      <c r="K16" s="754">
        <f t="shared" si="2"/>
        <v>53439.094999999987</v>
      </c>
      <c r="M16" s="737"/>
      <c r="N16" s="749"/>
    </row>
    <row r="17" spans="1:14" s="751" customFormat="1">
      <c r="A17" s="737"/>
      <c r="B17" s="753" t="s">
        <v>892</v>
      </c>
      <c r="F17" s="752">
        <v>0</v>
      </c>
      <c r="G17" s="752">
        <v>0</v>
      </c>
      <c r="H17" s="752">
        <v>16223.680000000004</v>
      </c>
      <c r="I17" s="752">
        <v>17698.560000000005</v>
      </c>
      <c r="J17" s="752">
        <v>17698.560000000005</v>
      </c>
      <c r="K17" s="754">
        <f t="shared" si="2"/>
        <v>51620.80000000001</v>
      </c>
      <c r="M17" s="737"/>
      <c r="N17" s="749"/>
    </row>
    <row r="18" spans="1:14" s="751" customFormat="1">
      <c r="A18" s="737"/>
      <c r="B18" s="753"/>
      <c r="F18" s="755">
        <f>SUM(F14:F17)</f>
        <v>36464.184999999998</v>
      </c>
      <c r="G18" s="755">
        <f t="shared" ref="G18:K18" si="3">SUM(G14:G17)</f>
        <v>19454.165000000008</v>
      </c>
      <c r="H18" s="755">
        <f t="shared" si="3"/>
        <v>122056.78000000001</v>
      </c>
      <c r="I18" s="755">
        <f t="shared" si="3"/>
        <v>133827.53999999998</v>
      </c>
      <c r="J18" s="755">
        <f t="shared" si="3"/>
        <v>133827.53999999998</v>
      </c>
      <c r="K18" s="756">
        <f t="shared" si="3"/>
        <v>445630.20999999996</v>
      </c>
      <c r="M18" s="737"/>
      <c r="N18" s="749"/>
    </row>
    <row r="19" spans="1:14">
      <c r="A19" s="737"/>
      <c r="M19" s="737"/>
    </row>
    <row r="20" spans="1:14" s="751" customFormat="1">
      <c r="A20" s="737"/>
      <c r="B20" s="750" t="s">
        <v>894</v>
      </c>
      <c r="F20" s="752"/>
      <c r="G20" s="752"/>
      <c r="H20" s="752"/>
      <c r="I20" s="752"/>
      <c r="J20" s="752"/>
      <c r="K20" s="752"/>
      <c r="M20" s="737"/>
      <c r="N20" s="749"/>
    </row>
    <row r="21" spans="1:14" s="751" customFormat="1">
      <c r="A21" s="737"/>
      <c r="B21" s="753" t="s">
        <v>889</v>
      </c>
      <c r="F21" s="752">
        <f t="shared" ref="F21:J24" si="4">F14-F7</f>
        <v>-36464.184999999998</v>
      </c>
      <c r="G21" s="752">
        <f t="shared" si="4"/>
        <v>-19553.285000000007</v>
      </c>
      <c r="H21" s="752">
        <f t="shared" si="4"/>
        <v>-38269.44000000001</v>
      </c>
      <c r="I21" s="752">
        <f t="shared" si="4"/>
        <v>-38146.320000000007</v>
      </c>
      <c r="J21" s="752">
        <f t="shared" si="4"/>
        <v>-38146.32</v>
      </c>
      <c r="K21" s="754">
        <f>SUM(F21:J21)</f>
        <v>-170579.55000000002</v>
      </c>
      <c r="M21" s="737"/>
      <c r="N21" s="749"/>
    </row>
    <row r="22" spans="1:14" s="751" customFormat="1">
      <c r="A22" s="737"/>
      <c r="B22" s="753" t="s">
        <v>890</v>
      </c>
      <c r="F22" s="752">
        <f t="shared" si="4"/>
        <v>0</v>
      </c>
      <c r="G22" s="752">
        <f t="shared" si="4"/>
        <v>99.12</v>
      </c>
      <c r="H22" s="752">
        <f t="shared" si="4"/>
        <v>-50682.444999999992</v>
      </c>
      <c r="I22" s="752">
        <f t="shared" si="4"/>
        <v>-59703.719999999987</v>
      </c>
      <c r="J22" s="752">
        <f t="shared" si="4"/>
        <v>-59703.719999999994</v>
      </c>
      <c r="K22" s="754">
        <f t="shared" ref="K22:K24" si="5">SUM(F22:J22)</f>
        <v>-169990.76499999998</v>
      </c>
      <c r="M22" s="737"/>
      <c r="N22" s="749"/>
    </row>
    <row r="23" spans="1:14" s="751" customFormat="1">
      <c r="A23" s="737"/>
      <c r="B23" s="753" t="s">
        <v>891</v>
      </c>
      <c r="F23" s="752">
        <f t="shared" si="4"/>
        <v>0</v>
      </c>
      <c r="G23" s="752">
        <f t="shared" si="4"/>
        <v>0</v>
      </c>
      <c r="H23" s="752">
        <f t="shared" si="4"/>
        <v>-16881.214999999997</v>
      </c>
      <c r="I23" s="752">
        <f t="shared" si="4"/>
        <v>-18278.939999999995</v>
      </c>
      <c r="J23" s="752">
        <f t="shared" si="4"/>
        <v>-18278.939999999995</v>
      </c>
      <c r="K23" s="754">
        <f t="shared" si="5"/>
        <v>-53439.094999999987</v>
      </c>
      <c r="M23" s="737"/>
      <c r="N23" s="749"/>
    </row>
    <row r="24" spans="1:14" s="751" customFormat="1">
      <c r="A24" s="737"/>
      <c r="B24" s="753" t="s">
        <v>892</v>
      </c>
      <c r="F24" s="752">
        <f t="shared" si="4"/>
        <v>0</v>
      </c>
      <c r="G24" s="752">
        <f t="shared" si="4"/>
        <v>0</v>
      </c>
      <c r="H24" s="752">
        <f t="shared" si="4"/>
        <v>-16223.680000000004</v>
      </c>
      <c r="I24" s="752">
        <f t="shared" si="4"/>
        <v>-17698.560000000005</v>
      </c>
      <c r="J24" s="752">
        <f t="shared" si="4"/>
        <v>-17698.560000000005</v>
      </c>
      <c r="K24" s="754">
        <f t="shared" si="5"/>
        <v>-51620.80000000001</v>
      </c>
      <c r="M24" s="737"/>
      <c r="N24" s="749"/>
    </row>
    <row r="25" spans="1:14" s="751" customFormat="1">
      <c r="A25" s="737"/>
      <c r="B25" s="757"/>
      <c r="C25" s="747" t="s">
        <v>895</v>
      </c>
      <c r="F25" s="755">
        <f>SUM(F21:F24)</f>
        <v>-36464.184999999998</v>
      </c>
      <c r="G25" s="755">
        <f t="shared" ref="G25:K25" si="6">SUM(G21:G24)</f>
        <v>-19454.165000000008</v>
      </c>
      <c r="H25" s="755">
        <f t="shared" si="6"/>
        <v>-122056.78000000001</v>
      </c>
      <c r="I25" s="755">
        <f t="shared" si="6"/>
        <v>-133827.53999999998</v>
      </c>
      <c r="J25" s="755">
        <f t="shared" si="6"/>
        <v>-133827.53999999998</v>
      </c>
      <c r="K25" s="756">
        <f t="shared" si="6"/>
        <v>-445630.20999999996</v>
      </c>
      <c r="M25" s="737"/>
      <c r="N25" s="758"/>
    </row>
    <row r="26" spans="1:14" s="751" customFormat="1">
      <c r="A26" s="737"/>
      <c r="B26" s="753"/>
      <c r="F26" s="752"/>
      <c r="G26" s="752"/>
      <c r="H26" s="752"/>
      <c r="I26" s="752"/>
      <c r="J26" s="752"/>
      <c r="K26" s="752"/>
      <c r="M26" s="737"/>
      <c r="N26" s="749"/>
    </row>
    <row r="27" spans="1:14" s="751" customFormat="1">
      <c r="A27" s="737"/>
      <c r="B27" s="739"/>
      <c r="C27" s="747" t="s">
        <v>886</v>
      </c>
      <c r="D27" s="748"/>
      <c r="E27" s="739"/>
      <c r="F27" s="748">
        <f>F69</f>
        <v>3.2400000000000005E-2</v>
      </c>
      <c r="G27" s="748">
        <f t="shared" ref="G27:J27" si="7">G69</f>
        <v>3.2400000000000005E-2</v>
      </c>
      <c r="H27" s="748">
        <f t="shared" si="7"/>
        <v>3.2400000000000005E-2</v>
      </c>
      <c r="I27" s="748">
        <f t="shared" si="7"/>
        <v>3.2400000000000005E-2</v>
      </c>
      <c r="J27" s="748">
        <f t="shared" si="7"/>
        <v>3.2400000000000005E-2</v>
      </c>
      <c r="K27" s="739"/>
      <c r="M27" s="737"/>
      <c r="N27" s="749"/>
    </row>
    <row r="28" spans="1:14" s="751" customFormat="1">
      <c r="A28" s="737"/>
      <c r="B28" s="753"/>
      <c r="F28" s="752"/>
      <c r="G28" s="752"/>
      <c r="H28" s="752"/>
      <c r="I28" s="752"/>
      <c r="J28" s="752"/>
      <c r="K28" s="752"/>
      <c r="M28" s="737"/>
      <c r="N28" s="749"/>
    </row>
    <row r="29" spans="1:14" s="751" customFormat="1">
      <c r="A29" s="737"/>
      <c r="B29" s="750" t="s">
        <v>896</v>
      </c>
      <c r="F29" s="759"/>
      <c r="G29" s="759"/>
      <c r="H29" s="759"/>
      <c r="I29" s="759"/>
      <c r="J29" s="759"/>
      <c r="K29" s="752"/>
      <c r="M29" s="737"/>
      <c r="N29" s="749"/>
    </row>
    <row r="30" spans="1:14" s="751" customFormat="1">
      <c r="A30" s="737"/>
      <c r="B30" s="753" t="s">
        <v>889</v>
      </c>
      <c r="F30" s="752">
        <f>F21*F$27*(2016-F$4)</f>
        <v>-7088.6375640000006</v>
      </c>
      <c r="G30" s="752">
        <f t="shared" ref="G30:J30" si="8">G21*G$27*(2016-G$4)</f>
        <v>-3167.6321700000017</v>
      </c>
      <c r="H30" s="752">
        <f t="shared" si="8"/>
        <v>-4959.7194240000017</v>
      </c>
      <c r="I30" s="752">
        <f t="shared" si="8"/>
        <v>-3707.8223040000012</v>
      </c>
      <c r="J30" s="752">
        <f t="shared" si="8"/>
        <v>-2471.8815360000003</v>
      </c>
      <c r="K30" s="754">
        <f>SUM(F30:J30)</f>
        <v>-21395.692998000006</v>
      </c>
      <c r="M30" s="737"/>
      <c r="N30" s="749"/>
    </row>
    <row r="31" spans="1:14" s="751" customFormat="1">
      <c r="A31" s="737"/>
      <c r="B31" s="753" t="s">
        <v>890</v>
      </c>
      <c r="F31" s="752">
        <f t="shared" ref="F31:J33" si="9">F22*F$27*(2016-F$4)</f>
        <v>0</v>
      </c>
      <c r="G31" s="752">
        <f t="shared" si="9"/>
        <v>16.057440000000003</v>
      </c>
      <c r="H31" s="752">
        <f t="shared" si="9"/>
        <v>-6568.444872</v>
      </c>
      <c r="I31" s="752">
        <f t="shared" si="9"/>
        <v>-5803.2015839999995</v>
      </c>
      <c r="J31" s="752">
        <f t="shared" si="9"/>
        <v>-3868.8010560000002</v>
      </c>
      <c r="K31" s="754">
        <f t="shared" ref="K31:K33" si="10">SUM(F31:J31)</f>
        <v>-16224.390072</v>
      </c>
      <c r="M31" s="737"/>
      <c r="N31" s="749"/>
    </row>
    <row r="32" spans="1:14" s="751" customFormat="1">
      <c r="A32" s="737"/>
      <c r="B32" s="753" t="s">
        <v>891</v>
      </c>
      <c r="F32" s="752">
        <f t="shared" si="9"/>
        <v>0</v>
      </c>
      <c r="G32" s="752">
        <f t="shared" si="9"/>
        <v>0</v>
      </c>
      <c r="H32" s="752">
        <f t="shared" si="9"/>
        <v>-2187.805464</v>
      </c>
      <c r="I32" s="752">
        <f t="shared" si="9"/>
        <v>-1776.7129679999998</v>
      </c>
      <c r="J32" s="752">
        <f t="shared" si="9"/>
        <v>-1184.4753119999998</v>
      </c>
      <c r="K32" s="754">
        <f t="shared" si="10"/>
        <v>-5148.9937439999994</v>
      </c>
      <c r="M32" s="737"/>
      <c r="N32" s="749"/>
    </row>
    <row r="33" spans="1:14" s="751" customFormat="1">
      <c r="A33" s="737"/>
      <c r="B33" s="753" t="s">
        <v>892</v>
      </c>
      <c r="F33" s="752">
        <f t="shared" si="9"/>
        <v>0</v>
      </c>
      <c r="G33" s="752">
        <f t="shared" si="9"/>
        <v>0</v>
      </c>
      <c r="H33" s="752">
        <f t="shared" si="9"/>
        <v>-2102.588928000001</v>
      </c>
      <c r="I33" s="752">
        <f t="shared" si="9"/>
        <v>-1720.3000320000008</v>
      </c>
      <c r="J33" s="752">
        <f t="shared" si="9"/>
        <v>-1146.8666880000005</v>
      </c>
      <c r="K33" s="754">
        <f t="shared" si="10"/>
        <v>-4969.7556480000021</v>
      </c>
      <c r="M33" s="737"/>
      <c r="N33" s="749"/>
    </row>
    <row r="34" spans="1:14" s="751" customFormat="1">
      <c r="A34" s="737"/>
      <c r="B34" s="753"/>
      <c r="C34" s="747" t="s">
        <v>725</v>
      </c>
      <c r="F34" s="755">
        <f>SUM(F30:F33)</f>
        <v>-7088.6375640000006</v>
      </c>
      <c r="G34" s="755">
        <f t="shared" ref="G34:K34" si="11">SUM(G30:G33)</f>
        <v>-3151.5747300000016</v>
      </c>
      <c r="H34" s="755">
        <f t="shared" si="11"/>
        <v>-15818.558688000005</v>
      </c>
      <c r="I34" s="755">
        <f t="shared" si="11"/>
        <v>-13008.036888000001</v>
      </c>
      <c r="J34" s="755">
        <f t="shared" si="11"/>
        <v>-8672.0245920000016</v>
      </c>
      <c r="K34" s="756">
        <f t="shared" si="11"/>
        <v>-47738.832462000006</v>
      </c>
      <c r="M34" s="737"/>
      <c r="N34" s="758"/>
    </row>
    <row r="35" spans="1:14" s="751" customFormat="1">
      <c r="A35" s="737"/>
      <c r="B35" s="753"/>
      <c r="K35" s="760"/>
      <c r="M35" s="737"/>
      <c r="N35" s="749"/>
    </row>
    <row r="36" spans="1:14" s="751" customFormat="1">
      <c r="A36" s="737"/>
      <c r="B36" s="750" t="s">
        <v>897</v>
      </c>
      <c r="F36" s="759"/>
      <c r="G36" s="759"/>
      <c r="H36" s="759"/>
      <c r="I36" s="759"/>
      <c r="J36" s="759"/>
      <c r="K36" s="752"/>
      <c r="M36" s="737"/>
      <c r="N36" s="749"/>
    </row>
    <row r="37" spans="1:14" s="751" customFormat="1">
      <c r="A37" s="737"/>
      <c r="B37" s="753" t="s">
        <v>889</v>
      </c>
      <c r="F37" s="752">
        <f t="shared" ref="F37:J40" si="12">F21+F30</f>
        <v>-43552.822564000002</v>
      </c>
      <c r="G37" s="752">
        <f t="shared" si="12"/>
        <v>-22720.917170000008</v>
      </c>
      <c r="H37" s="752">
        <f t="shared" si="12"/>
        <v>-43229.159424000012</v>
      </c>
      <c r="I37" s="752">
        <f t="shared" si="12"/>
        <v>-41854.142304000008</v>
      </c>
      <c r="J37" s="752">
        <f t="shared" si="12"/>
        <v>-40618.201536</v>
      </c>
      <c r="K37" s="754">
        <f>SUM(F37:J37)</f>
        <v>-191975.24299800003</v>
      </c>
      <c r="M37" s="737"/>
      <c r="N37" s="749"/>
    </row>
    <row r="38" spans="1:14">
      <c r="A38" s="737"/>
      <c r="B38" s="753" t="s">
        <v>890</v>
      </c>
      <c r="C38" s="751"/>
      <c r="D38" s="751"/>
      <c r="E38" s="751"/>
      <c r="F38" s="752">
        <f t="shared" si="12"/>
        <v>0</v>
      </c>
      <c r="G38" s="752">
        <f t="shared" si="12"/>
        <v>115.17744</v>
      </c>
      <c r="H38" s="752">
        <f t="shared" si="12"/>
        <v>-57250.889871999992</v>
      </c>
      <c r="I38" s="752">
        <f t="shared" si="12"/>
        <v>-65506.921583999989</v>
      </c>
      <c r="J38" s="752">
        <f t="shared" si="12"/>
        <v>-63572.521055999998</v>
      </c>
      <c r="K38" s="754">
        <f t="shared" ref="K38:K40" si="13">SUM(F38:J38)</f>
        <v>-186215.15507199999</v>
      </c>
      <c r="M38" s="737"/>
    </row>
    <row r="39" spans="1:14">
      <c r="A39" s="737"/>
      <c r="B39" s="753" t="s">
        <v>891</v>
      </c>
      <c r="C39" s="751"/>
      <c r="D39" s="751"/>
      <c r="E39" s="751"/>
      <c r="F39" s="752">
        <f t="shared" si="12"/>
        <v>0</v>
      </c>
      <c r="G39" s="752">
        <f t="shared" si="12"/>
        <v>0</v>
      </c>
      <c r="H39" s="752">
        <f t="shared" si="12"/>
        <v>-19069.020463999997</v>
      </c>
      <c r="I39" s="752">
        <f t="shared" si="12"/>
        <v>-20055.652967999995</v>
      </c>
      <c r="J39" s="752">
        <f t="shared" si="12"/>
        <v>-19463.415311999994</v>
      </c>
      <c r="K39" s="754">
        <f t="shared" si="13"/>
        <v>-58588.088743999993</v>
      </c>
      <c r="M39" s="737"/>
    </row>
    <row r="40" spans="1:14">
      <c r="A40" s="737"/>
      <c r="B40" s="753" t="s">
        <v>892</v>
      </c>
      <c r="C40" s="751"/>
      <c r="D40" s="751"/>
      <c r="E40" s="751"/>
      <c r="F40" s="752">
        <f t="shared" si="12"/>
        <v>0</v>
      </c>
      <c r="G40" s="752">
        <f t="shared" si="12"/>
        <v>0</v>
      </c>
      <c r="H40" s="752">
        <f t="shared" si="12"/>
        <v>-18326.268928000005</v>
      </c>
      <c r="I40" s="752">
        <f t="shared" si="12"/>
        <v>-19418.860032000004</v>
      </c>
      <c r="J40" s="752">
        <f t="shared" si="12"/>
        <v>-18845.426688000007</v>
      </c>
      <c r="K40" s="754">
        <f t="shared" si="13"/>
        <v>-56590.555648000016</v>
      </c>
      <c r="M40" s="737"/>
    </row>
    <row r="41" spans="1:14">
      <c r="A41" s="737"/>
      <c r="B41" s="753"/>
      <c r="C41" s="747" t="s">
        <v>898</v>
      </c>
      <c r="D41" s="751"/>
      <c r="E41" s="751"/>
      <c r="F41" s="755">
        <f>SUM(F37:F40)</f>
        <v>-43552.822564000002</v>
      </c>
      <c r="G41" s="755">
        <f t="shared" ref="G41:K41" si="14">SUM(G37:G40)</f>
        <v>-22605.739730000008</v>
      </c>
      <c r="H41" s="755">
        <f t="shared" si="14"/>
        <v>-137875.33868800002</v>
      </c>
      <c r="I41" s="755">
        <f t="shared" si="14"/>
        <v>-146835.57688800001</v>
      </c>
      <c r="J41" s="755">
        <f t="shared" si="14"/>
        <v>-142499.56459200001</v>
      </c>
      <c r="K41" s="761">
        <f t="shared" si="14"/>
        <v>-493369.04246200004</v>
      </c>
      <c r="M41" s="737"/>
      <c r="N41" s="758"/>
    </row>
    <row r="42" spans="1:14">
      <c r="A42" s="737"/>
      <c r="B42" s="753"/>
      <c r="C42" s="751"/>
      <c r="D42" s="751"/>
      <c r="E42" s="751"/>
      <c r="F42" s="762"/>
      <c r="G42" s="762"/>
      <c r="H42" s="762"/>
      <c r="I42" s="762"/>
      <c r="J42" s="762"/>
      <c r="K42" s="763"/>
      <c r="M42" s="737"/>
      <c r="N42" s="758"/>
    </row>
    <row r="43" spans="1:14" ht="30">
      <c r="A43" s="737"/>
      <c r="B43" s="469" t="s">
        <v>856</v>
      </c>
      <c r="C43" s="469" t="s">
        <v>857</v>
      </c>
      <c r="D43" s="469" t="s">
        <v>858</v>
      </c>
      <c r="F43" s="740">
        <v>2010</v>
      </c>
      <c r="G43" s="740">
        <v>2011</v>
      </c>
      <c r="H43" s="740">
        <v>2012</v>
      </c>
      <c r="I43" s="740">
        <v>2013</v>
      </c>
      <c r="J43" s="740">
        <v>2014</v>
      </c>
      <c r="K43" s="764"/>
      <c r="M43" s="737"/>
    </row>
    <row r="44" spans="1:14">
      <c r="A44" s="737"/>
      <c r="B44" s="765"/>
      <c r="C44" s="765"/>
      <c r="D44" s="765"/>
      <c r="E44" s="766"/>
      <c r="F44" s="764"/>
      <c r="G44" s="764"/>
      <c r="H44" s="764"/>
      <c r="I44" s="764"/>
      <c r="J44" s="764"/>
      <c r="K44" s="764"/>
      <c r="M44" s="737"/>
    </row>
    <row r="45" spans="1:14">
      <c r="A45" s="737"/>
      <c r="B45" s="739" t="s">
        <v>863</v>
      </c>
      <c r="C45" s="743">
        <v>3.2500000000000001E-2</v>
      </c>
      <c r="D45" s="739">
        <v>2.7000000000000001E-3</v>
      </c>
      <c r="F45" s="739">
        <f t="shared" ref="F45:J67" si="15">$D45</f>
        <v>2.7000000000000001E-3</v>
      </c>
      <c r="M45" s="737"/>
    </row>
    <row r="46" spans="1:14">
      <c r="A46" s="737"/>
      <c r="B46" s="739" t="s">
        <v>864</v>
      </c>
      <c r="C46" s="743">
        <v>3.2500000000000001E-2</v>
      </c>
      <c r="D46" s="739">
        <v>2.7000000000000001E-3</v>
      </c>
      <c r="F46" s="739">
        <f t="shared" si="15"/>
        <v>2.7000000000000001E-3</v>
      </c>
      <c r="M46" s="737"/>
    </row>
    <row r="47" spans="1:14">
      <c r="A47" s="737"/>
      <c r="B47" s="739" t="s">
        <v>865</v>
      </c>
      <c r="C47" s="743">
        <v>3.2500000000000001E-2</v>
      </c>
      <c r="D47" s="739">
        <v>2.7000000000000001E-3</v>
      </c>
      <c r="F47" s="739">
        <f t="shared" si="15"/>
        <v>2.7000000000000001E-3</v>
      </c>
      <c r="M47" s="737"/>
    </row>
    <row r="48" spans="1:14">
      <c r="A48" s="737"/>
      <c r="B48" s="739" t="s">
        <v>866</v>
      </c>
      <c r="C48" s="743">
        <v>3.2500000000000001E-2</v>
      </c>
      <c r="D48" s="739">
        <v>2.7000000000000001E-3</v>
      </c>
      <c r="F48" s="739">
        <f t="shared" si="15"/>
        <v>2.7000000000000001E-3</v>
      </c>
      <c r="M48" s="737"/>
    </row>
    <row r="49" spans="1:13">
      <c r="A49" s="737"/>
      <c r="B49" s="739" t="s">
        <v>867</v>
      </c>
      <c r="C49" s="743">
        <v>3.2500000000000001E-2</v>
      </c>
      <c r="D49" s="739">
        <v>2.7000000000000001E-3</v>
      </c>
      <c r="F49" s="739">
        <f t="shared" si="15"/>
        <v>2.7000000000000001E-3</v>
      </c>
      <c r="G49" s="739">
        <f t="shared" si="15"/>
        <v>2.7000000000000001E-3</v>
      </c>
      <c r="M49" s="737"/>
    </row>
    <row r="50" spans="1:13">
      <c r="A50" s="737"/>
      <c r="B50" s="739" t="s">
        <v>868</v>
      </c>
      <c r="C50" s="743">
        <v>3.2500000000000001E-2</v>
      </c>
      <c r="D50" s="739">
        <v>2.7000000000000001E-3</v>
      </c>
      <c r="F50" s="739">
        <f t="shared" si="15"/>
        <v>2.7000000000000001E-3</v>
      </c>
      <c r="G50" s="739">
        <f t="shared" si="15"/>
        <v>2.7000000000000001E-3</v>
      </c>
      <c r="M50" s="737"/>
    </row>
    <row r="51" spans="1:13">
      <c r="A51" s="737"/>
      <c r="B51" s="739" t="s">
        <v>869</v>
      </c>
      <c r="C51" s="743">
        <v>3.2500000000000001E-2</v>
      </c>
      <c r="D51" s="739">
        <v>2.7000000000000001E-3</v>
      </c>
      <c r="F51" s="739">
        <f t="shared" si="15"/>
        <v>2.7000000000000001E-3</v>
      </c>
      <c r="G51" s="739">
        <f t="shared" si="15"/>
        <v>2.7000000000000001E-3</v>
      </c>
      <c r="M51" s="737"/>
    </row>
    <row r="52" spans="1:13">
      <c r="A52" s="737"/>
      <c r="B52" s="739" t="s">
        <v>870</v>
      </c>
      <c r="C52" s="743">
        <v>3.2500000000000001E-2</v>
      </c>
      <c r="D52" s="739">
        <v>2.7000000000000001E-3</v>
      </c>
      <c r="F52" s="739">
        <f t="shared" si="15"/>
        <v>2.7000000000000001E-3</v>
      </c>
      <c r="G52" s="739">
        <f t="shared" si="15"/>
        <v>2.7000000000000001E-3</v>
      </c>
      <c r="M52" s="737"/>
    </row>
    <row r="53" spans="1:13">
      <c r="A53" s="737"/>
      <c r="B53" s="739" t="s">
        <v>871</v>
      </c>
      <c r="C53" s="743">
        <v>3.2500000000000001E-2</v>
      </c>
      <c r="D53" s="739">
        <v>2.7000000000000001E-3</v>
      </c>
      <c r="F53" s="739">
        <f t="shared" si="15"/>
        <v>2.7000000000000001E-3</v>
      </c>
      <c r="G53" s="739">
        <f t="shared" si="15"/>
        <v>2.7000000000000001E-3</v>
      </c>
      <c r="H53" s="739">
        <f t="shared" si="15"/>
        <v>2.7000000000000001E-3</v>
      </c>
      <c r="M53" s="737"/>
    </row>
    <row r="54" spans="1:13">
      <c r="A54" s="737"/>
      <c r="B54" s="739" t="s">
        <v>872</v>
      </c>
      <c r="C54" s="743">
        <v>3.2500000000000001E-2</v>
      </c>
      <c r="D54" s="739">
        <v>2.7000000000000001E-3</v>
      </c>
      <c r="F54" s="739">
        <f t="shared" si="15"/>
        <v>2.7000000000000001E-3</v>
      </c>
      <c r="G54" s="739">
        <f t="shared" si="15"/>
        <v>2.7000000000000001E-3</v>
      </c>
      <c r="H54" s="739">
        <f t="shared" si="15"/>
        <v>2.7000000000000001E-3</v>
      </c>
      <c r="M54" s="737"/>
    </row>
    <row r="55" spans="1:13">
      <c r="A55" s="737"/>
      <c r="B55" s="739" t="s">
        <v>873</v>
      </c>
      <c r="C55" s="743">
        <v>3.2500000000000001E-2</v>
      </c>
      <c r="D55" s="739">
        <v>2.7000000000000001E-3</v>
      </c>
      <c r="F55" s="739">
        <f t="shared" si="15"/>
        <v>2.7000000000000001E-3</v>
      </c>
      <c r="G55" s="739">
        <f t="shared" si="15"/>
        <v>2.7000000000000001E-3</v>
      </c>
      <c r="H55" s="739">
        <f t="shared" si="15"/>
        <v>2.7000000000000001E-3</v>
      </c>
      <c r="M55" s="737"/>
    </row>
    <row r="56" spans="1:13">
      <c r="A56" s="737"/>
      <c r="B56" s="739" t="s">
        <v>874</v>
      </c>
      <c r="C56" s="743">
        <v>3.2500000000000001E-2</v>
      </c>
      <c r="D56" s="739">
        <v>2.7000000000000001E-3</v>
      </c>
      <c r="F56" s="739">
        <f t="shared" si="15"/>
        <v>2.7000000000000001E-3</v>
      </c>
      <c r="G56" s="739">
        <f t="shared" si="15"/>
        <v>2.7000000000000001E-3</v>
      </c>
      <c r="H56" s="739">
        <f t="shared" si="15"/>
        <v>2.7000000000000001E-3</v>
      </c>
      <c r="M56" s="737"/>
    </row>
    <row r="57" spans="1:13">
      <c r="A57" s="737"/>
      <c r="B57" s="739" t="s">
        <v>875</v>
      </c>
      <c r="C57" s="743">
        <v>3.2500000000000001E-2</v>
      </c>
      <c r="D57" s="739">
        <v>2.7000000000000001E-3</v>
      </c>
      <c r="F57" s="739">
        <f t="shared" si="15"/>
        <v>2.7000000000000001E-3</v>
      </c>
      <c r="G57" s="739">
        <f t="shared" si="15"/>
        <v>2.7000000000000001E-3</v>
      </c>
      <c r="H57" s="739">
        <f t="shared" si="15"/>
        <v>2.7000000000000001E-3</v>
      </c>
      <c r="I57" s="739">
        <f t="shared" si="15"/>
        <v>2.7000000000000001E-3</v>
      </c>
      <c r="M57" s="737"/>
    </row>
    <row r="58" spans="1:13">
      <c r="A58" s="737"/>
      <c r="B58" s="739" t="s">
        <v>876</v>
      </c>
      <c r="C58" s="743">
        <v>3.2500000000000001E-2</v>
      </c>
      <c r="D58" s="739">
        <v>2.7000000000000001E-3</v>
      </c>
      <c r="F58" s="739">
        <f t="shared" si="15"/>
        <v>2.7000000000000001E-3</v>
      </c>
      <c r="G58" s="739">
        <f t="shared" si="15"/>
        <v>2.7000000000000001E-3</v>
      </c>
      <c r="H58" s="739">
        <f t="shared" si="15"/>
        <v>2.7000000000000001E-3</v>
      </c>
      <c r="I58" s="739">
        <f t="shared" si="15"/>
        <v>2.7000000000000001E-3</v>
      </c>
      <c r="M58" s="737"/>
    </row>
    <row r="59" spans="1:13">
      <c r="A59" s="737"/>
      <c r="B59" s="739" t="s">
        <v>877</v>
      </c>
      <c r="C59" s="743">
        <v>3.2500000000000001E-2</v>
      </c>
      <c r="D59" s="739">
        <v>2.7000000000000001E-3</v>
      </c>
      <c r="F59" s="739">
        <f t="shared" si="15"/>
        <v>2.7000000000000001E-3</v>
      </c>
      <c r="G59" s="739">
        <f t="shared" si="15"/>
        <v>2.7000000000000001E-3</v>
      </c>
      <c r="H59" s="739">
        <f t="shared" si="15"/>
        <v>2.7000000000000001E-3</v>
      </c>
      <c r="I59" s="739">
        <f t="shared" si="15"/>
        <v>2.7000000000000001E-3</v>
      </c>
      <c r="M59" s="737"/>
    </row>
    <row r="60" spans="1:13">
      <c r="A60" s="737"/>
      <c r="B60" s="739" t="s">
        <v>878</v>
      </c>
      <c r="C60" s="743">
        <v>3.2500000000000001E-2</v>
      </c>
      <c r="D60" s="739">
        <v>2.7000000000000001E-3</v>
      </c>
      <c r="F60" s="739">
        <f t="shared" si="15"/>
        <v>2.7000000000000001E-3</v>
      </c>
      <c r="G60" s="739">
        <f t="shared" si="15"/>
        <v>2.7000000000000001E-3</v>
      </c>
      <c r="H60" s="739">
        <f t="shared" si="15"/>
        <v>2.7000000000000001E-3</v>
      </c>
      <c r="I60" s="739">
        <f t="shared" si="15"/>
        <v>2.7000000000000001E-3</v>
      </c>
      <c r="M60" s="737"/>
    </row>
    <row r="61" spans="1:13">
      <c r="A61" s="737"/>
      <c r="B61" s="739" t="s">
        <v>879</v>
      </c>
      <c r="C61" s="743">
        <v>3.2500000000000001E-2</v>
      </c>
      <c r="D61" s="739">
        <v>2.7000000000000001E-3</v>
      </c>
      <c r="F61" s="739">
        <f t="shared" si="15"/>
        <v>2.7000000000000001E-3</v>
      </c>
      <c r="G61" s="739">
        <f t="shared" si="15"/>
        <v>2.7000000000000001E-3</v>
      </c>
      <c r="H61" s="739">
        <f t="shared" si="15"/>
        <v>2.7000000000000001E-3</v>
      </c>
      <c r="I61" s="739">
        <f t="shared" si="15"/>
        <v>2.7000000000000001E-3</v>
      </c>
      <c r="J61" s="739">
        <f t="shared" si="15"/>
        <v>2.7000000000000001E-3</v>
      </c>
      <c r="M61" s="737"/>
    </row>
    <row r="62" spans="1:13">
      <c r="A62" s="737"/>
      <c r="B62" s="739" t="s">
        <v>880</v>
      </c>
      <c r="C62" s="743">
        <v>3.2500000000000001E-2</v>
      </c>
      <c r="D62" s="739">
        <v>2.7000000000000001E-3</v>
      </c>
      <c r="F62" s="739">
        <f t="shared" si="15"/>
        <v>2.7000000000000001E-3</v>
      </c>
      <c r="G62" s="739">
        <f t="shared" si="15"/>
        <v>2.7000000000000001E-3</v>
      </c>
      <c r="H62" s="739">
        <f t="shared" si="15"/>
        <v>2.7000000000000001E-3</v>
      </c>
      <c r="I62" s="739">
        <f t="shared" si="15"/>
        <v>2.7000000000000001E-3</v>
      </c>
      <c r="J62" s="739">
        <f t="shared" si="15"/>
        <v>2.7000000000000001E-3</v>
      </c>
      <c r="M62" s="737"/>
    </row>
    <row r="63" spans="1:13">
      <c r="A63" s="737"/>
      <c r="B63" s="739" t="s">
        <v>881</v>
      </c>
      <c r="C63" s="743">
        <v>3.2500000000000001E-2</v>
      </c>
      <c r="D63" s="739">
        <v>2.7000000000000001E-3</v>
      </c>
      <c r="F63" s="739">
        <f t="shared" si="15"/>
        <v>2.7000000000000001E-3</v>
      </c>
      <c r="G63" s="739">
        <f t="shared" si="15"/>
        <v>2.7000000000000001E-3</v>
      </c>
      <c r="H63" s="739">
        <f t="shared" si="15"/>
        <v>2.7000000000000001E-3</v>
      </c>
      <c r="I63" s="739">
        <f t="shared" si="15"/>
        <v>2.7000000000000001E-3</v>
      </c>
      <c r="J63" s="739">
        <f t="shared" si="15"/>
        <v>2.7000000000000001E-3</v>
      </c>
      <c r="M63" s="737"/>
    </row>
    <row r="64" spans="1:13">
      <c r="A64" s="737"/>
      <c r="B64" s="739" t="s">
        <v>882</v>
      </c>
      <c r="C64" s="743">
        <v>3.2500000000000001E-2</v>
      </c>
      <c r="D64" s="739">
        <v>2.7000000000000001E-3</v>
      </c>
      <c r="F64" s="739">
        <f t="shared" si="15"/>
        <v>2.7000000000000001E-3</v>
      </c>
      <c r="G64" s="739">
        <f t="shared" si="15"/>
        <v>2.7000000000000001E-3</v>
      </c>
      <c r="H64" s="739">
        <f t="shared" si="15"/>
        <v>2.7000000000000001E-3</v>
      </c>
      <c r="I64" s="739">
        <f t="shared" si="15"/>
        <v>2.7000000000000001E-3</v>
      </c>
      <c r="J64" s="739">
        <f t="shared" si="15"/>
        <v>2.7000000000000001E-3</v>
      </c>
      <c r="M64" s="737"/>
    </row>
    <row r="65" spans="1:14">
      <c r="A65" s="737"/>
      <c r="B65" s="739" t="s">
        <v>883</v>
      </c>
      <c r="C65" s="743">
        <v>3.2500000000000001E-2</v>
      </c>
      <c r="D65" s="739">
        <v>2.7000000000000001E-3</v>
      </c>
      <c r="F65" s="739">
        <f t="shared" si="15"/>
        <v>2.7000000000000001E-3</v>
      </c>
      <c r="G65" s="739">
        <f t="shared" si="15"/>
        <v>2.7000000000000001E-3</v>
      </c>
      <c r="H65" s="739">
        <f t="shared" si="15"/>
        <v>2.7000000000000001E-3</v>
      </c>
      <c r="I65" s="739">
        <f t="shared" si="15"/>
        <v>2.7000000000000001E-3</v>
      </c>
      <c r="J65" s="739">
        <f t="shared" si="15"/>
        <v>2.7000000000000001E-3</v>
      </c>
      <c r="M65" s="737"/>
    </row>
    <row r="66" spans="1:14">
      <c r="A66" s="737"/>
      <c r="B66" s="739" t="s">
        <v>884</v>
      </c>
      <c r="C66" s="743">
        <v>3.2500000000000001E-2</v>
      </c>
      <c r="D66" s="739">
        <v>2.7000000000000001E-3</v>
      </c>
      <c r="F66" s="739">
        <f t="shared" si="15"/>
        <v>2.7000000000000001E-3</v>
      </c>
      <c r="G66" s="739">
        <f t="shared" si="15"/>
        <v>2.7000000000000001E-3</v>
      </c>
      <c r="H66" s="739">
        <f t="shared" si="15"/>
        <v>2.7000000000000001E-3</v>
      </c>
      <c r="I66" s="739">
        <f t="shared" si="15"/>
        <v>2.7000000000000001E-3</v>
      </c>
      <c r="J66" s="739">
        <f t="shared" si="15"/>
        <v>2.7000000000000001E-3</v>
      </c>
      <c r="M66" s="737"/>
    </row>
    <row r="67" spans="1:14">
      <c r="A67" s="737"/>
      <c r="B67" s="739" t="s">
        <v>885</v>
      </c>
      <c r="C67" s="743">
        <v>3.2500000000000001E-2</v>
      </c>
      <c r="D67" s="739">
        <v>2.7000000000000001E-3</v>
      </c>
      <c r="F67" s="739">
        <f t="shared" si="15"/>
        <v>2.7000000000000001E-3</v>
      </c>
      <c r="G67" s="739">
        <f t="shared" si="15"/>
        <v>2.7000000000000001E-3</v>
      </c>
      <c r="H67" s="739">
        <f t="shared" si="15"/>
        <v>2.7000000000000001E-3</v>
      </c>
      <c r="I67" s="739">
        <f t="shared" si="15"/>
        <v>2.7000000000000001E-3</v>
      </c>
      <c r="J67" s="739">
        <f t="shared" si="15"/>
        <v>2.7000000000000001E-3</v>
      </c>
      <c r="M67" s="737"/>
    </row>
    <row r="68" spans="1:14">
      <c r="A68" s="737"/>
      <c r="M68" s="737"/>
    </row>
    <row r="69" spans="1:14">
      <c r="A69" s="737"/>
      <c r="C69" s="747" t="s">
        <v>886</v>
      </c>
      <c r="D69" s="748"/>
      <c r="F69" s="748">
        <f>AVERAGE(F45:F67)*12</f>
        <v>3.2400000000000005E-2</v>
      </c>
      <c r="G69" s="748">
        <f>AVERAGE(G49:G67)*12</f>
        <v>3.2400000000000005E-2</v>
      </c>
      <c r="H69" s="748">
        <f>AVERAGE(H53:H67)*12</f>
        <v>3.2400000000000005E-2</v>
      </c>
      <c r="I69" s="748">
        <f>AVERAGE(I57:I67)*12</f>
        <v>3.2400000000000005E-2</v>
      </c>
      <c r="J69" s="748">
        <f>AVERAGE(J61:J67)*12</f>
        <v>3.2400000000000005E-2</v>
      </c>
      <c r="M69" s="737"/>
    </row>
    <row r="70" spans="1:14" s="751" customFormat="1">
      <c r="A70" s="737"/>
      <c r="B70" s="753"/>
      <c r="F70" s="759"/>
      <c r="G70" s="759"/>
      <c r="H70" s="759"/>
      <c r="I70" s="759"/>
      <c r="J70" s="759"/>
      <c r="K70" s="752"/>
      <c r="M70" s="737"/>
      <c r="N70" s="749"/>
    </row>
    <row r="71" spans="1:14">
      <c r="A71" s="737"/>
      <c r="B71" s="737"/>
      <c r="C71" s="767"/>
      <c r="D71" s="737"/>
      <c r="E71" s="737"/>
      <c r="F71" s="737"/>
      <c r="G71" s="737"/>
      <c r="H71" s="737"/>
      <c r="I71" s="737"/>
      <c r="J71" s="737"/>
      <c r="K71" s="768"/>
      <c r="L71" s="737"/>
      <c r="M71" s="737"/>
    </row>
    <row r="72" spans="1:14" s="772" customFormat="1">
      <c r="A72" s="737"/>
      <c r="B72" s="769"/>
      <c r="C72" s="769"/>
      <c r="D72" s="769"/>
      <c r="E72" s="769"/>
      <c r="F72" s="769"/>
      <c r="G72" s="769"/>
      <c r="H72" s="769"/>
      <c r="I72" s="769"/>
      <c r="J72" s="769"/>
      <c r="K72" s="770"/>
      <c r="L72" s="769"/>
      <c r="M72" s="737"/>
      <c r="N72" s="771"/>
    </row>
    <row r="73" spans="1:14">
      <c r="A73" s="766"/>
      <c r="B73" s="773"/>
      <c r="C73" s="774"/>
      <c r="D73" s="774"/>
      <c r="E73" s="774"/>
      <c r="F73" s="775"/>
      <c r="G73" s="775"/>
      <c r="H73" s="775"/>
      <c r="I73" s="775"/>
      <c r="J73" s="775"/>
      <c r="K73" s="776"/>
      <c r="L73" s="766"/>
      <c r="M73" s="766"/>
    </row>
    <row r="74" spans="1:14">
      <c r="A74" s="766"/>
      <c r="B74" s="773"/>
      <c r="C74" s="774"/>
      <c r="D74" s="774"/>
      <c r="E74" s="774"/>
      <c r="F74" s="777"/>
      <c r="G74" s="777"/>
      <c r="H74" s="777"/>
      <c r="I74" s="777"/>
      <c r="J74" s="777"/>
      <c r="K74" s="776"/>
      <c r="L74" s="766"/>
      <c r="M74" s="766"/>
    </row>
    <row r="75" spans="1:14">
      <c r="A75" s="766"/>
      <c r="B75" s="773"/>
      <c r="C75" s="774"/>
      <c r="D75" s="774"/>
      <c r="E75" s="774"/>
      <c r="F75" s="774"/>
      <c r="G75" s="774"/>
      <c r="H75" s="774"/>
      <c r="I75" s="774"/>
      <c r="J75" s="774"/>
      <c r="K75" s="776"/>
      <c r="L75" s="766"/>
      <c r="M75" s="766"/>
    </row>
    <row r="76" spans="1:14">
      <c r="A76" s="766"/>
      <c r="B76" s="773"/>
      <c r="C76" s="774"/>
      <c r="D76" s="774"/>
      <c r="E76" s="774"/>
      <c r="F76" s="774"/>
      <c r="G76" s="774"/>
      <c r="H76" s="774"/>
      <c r="I76" s="774"/>
      <c r="J76" s="774"/>
      <c r="K76" s="774"/>
      <c r="L76" s="774"/>
      <c r="M76" s="766"/>
    </row>
    <row r="77" spans="1:14">
      <c r="A77" s="766"/>
      <c r="B77" s="778"/>
      <c r="C77" s="774"/>
      <c r="D77" s="774"/>
      <c r="E77" s="774"/>
      <c r="F77" s="774"/>
      <c r="G77" s="774"/>
      <c r="H77" s="774"/>
      <c r="I77" s="774"/>
      <c r="J77" s="774"/>
      <c r="K77" s="774"/>
      <c r="L77" s="774"/>
      <c r="M77" s="766"/>
    </row>
    <row r="78" spans="1:14">
      <c r="A78" s="766"/>
      <c r="B78" s="766"/>
      <c r="C78" s="766"/>
      <c r="D78" s="766"/>
      <c r="E78" s="766"/>
      <c r="F78" s="766"/>
      <c r="G78" s="766"/>
      <c r="H78" s="766"/>
      <c r="I78" s="766"/>
      <c r="J78" s="766"/>
      <c r="K78" s="766"/>
      <c r="L78" s="766"/>
      <c r="M78" s="766"/>
    </row>
  </sheetData>
  <mergeCells count="1">
    <mergeCell ref="B2:L2"/>
  </mergeCells>
  <pageMargins left="0.7" right="0.7" top="0.75" bottom="0.75" header="0.3" footer="0.3"/>
  <pageSetup scale="60" orientation="portrait" r:id="rId1"/>
  <headerFooter>
    <oddHeader>&amp;R&amp;A</oddHeader>
  </headerFooter>
  <rowBreaks count="1" manualBreakCount="1">
    <brk id="71" min="1"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17"/>
  <sheetViews>
    <sheetView showGridLines="0" zoomScale="70" zoomScaleNormal="70" zoomScaleSheetLayoutView="70" workbookViewId="0">
      <pane xSplit="2" topLeftCell="C1" activePane="topRight" state="frozen"/>
      <selection activeCell="G26" sqref="G26"/>
      <selection pane="topRight" activeCell="O47" sqref="O47"/>
    </sheetView>
  </sheetViews>
  <sheetFormatPr defaultColWidth="9.140625" defaultRowHeight="15" outlineLevelRow="1" outlineLevelCol="1"/>
  <cols>
    <col min="1" max="1" width="13.140625" style="790" customWidth="1"/>
    <col min="2" max="2" width="70.42578125" style="790" customWidth="1"/>
    <col min="3" max="4" width="16.7109375" style="790" hidden="1" customWidth="1" outlineLevel="1"/>
    <col min="5" max="5" width="17.42578125" style="790" hidden="1" customWidth="1" outlineLevel="1"/>
    <col min="6" max="6" width="18.5703125" style="790" hidden="1" customWidth="1" outlineLevel="1"/>
    <col min="7" max="7" width="15.85546875" style="790" hidden="1" customWidth="1" outlineLevel="1"/>
    <col min="8" max="8" width="18.140625" style="790" hidden="1" customWidth="1" outlineLevel="1"/>
    <col min="9" max="9" width="15.7109375" style="790" hidden="1" customWidth="1" outlineLevel="1"/>
    <col min="10" max="10" width="15.85546875" style="790" hidden="1" customWidth="1" outlineLevel="1"/>
    <col min="11" max="11" width="16.28515625" style="790" hidden="1" customWidth="1" outlineLevel="1"/>
    <col min="12" max="12" width="16.42578125" style="790" hidden="1" customWidth="1" outlineLevel="1"/>
    <col min="13" max="14" width="16" style="790" hidden="1" customWidth="1" outlineLevel="1"/>
    <col min="15" max="15" width="17.140625" style="790" customWidth="1" collapsed="1"/>
    <col min="16" max="18" width="17.140625" style="790" customWidth="1"/>
    <col min="19" max="19" width="2.42578125" style="790" customWidth="1"/>
    <col min="20" max="21" width="17.140625" style="790" customWidth="1"/>
    <col min="22" max="22" width="2.42578125" style="790" customWidth="1"/>
    <col min="23" max="24" width="16.7109375" style="790" hidden="1" customWidth="1" outlineLevel="1"/>
    <col min="25" max="25" width="17.42578125" style="790" hidden="1" customWidth="1" outlineLevel="1"/>
    <col min="26" max="26" width="18.5703125" style="790" hidden="1" customWidth="1" outlineLevel="1"/>
    <col min="27" max="27" width="15.85546875" style="790" hidden="1" customWidth="1" outlineLevel="1"/>
    <col min="28" max="28" width="18.140625" style="790" hidden="1" customWidth="1" outlineLevel="1"/>
    <col min="29" max="29" width="15.7109375" style="790" hidden="1" customWidth="1" outlineLevel="1"/>
    <col min="30" max="30" width="18.42578125" style="790" hidden="1" customWidth="1" outlineLevel="1"/>
    <col min="31" max="31" width="16.28515625" style="790" hidden="1" customWidth="1" outlineLevel="1"/>
    <col min="32" max="32" width="16.42578125" style="790" hidden="1" customWidth="1" outlineLevel="1"/>
    <col min="33" max="34" width="16" style="790" hidden="1" customWidth="1" outlineLevel="1"/>
    <col min="35" max="35" width="17.140625" style="790" customWidth="1" collapsed="1"/>
    <col min="36" max="37" width="17.140625" style="790" customWidth="1"/>
    <col min="38" max="38" width="2.42578125" style="790" customWidth="1"/>
    <col min="39" max="41" width="17.140625" style="790" customWidth="1"/>
    <col min="42" max="42" width="9.140625" style="790"/>
    <col min="43" max="43" width="14.42578125" style="790" customWidth="1"/>
    <col min="44" max="16384" width="9.140625" style="790"/>
  </cols>
  <sheetData>
    <row r="1" spans="1:43" hidden="1" outlineLevel="1">
      <c r="A1" s="781"/>
      <c r="B1" s="781" t="s">
        <v>353</v>
      </c>
      <c r="C1" s="781"/>
      <c r="D1" s="781"/>
      <c r="E1" s="781"/>
      <c r="F1" s="781"/>
      <c r="G1" s="781"/>
      <c r="H1" s="782" t="s">
        <v>354</v>
      </c>
      <c r="I1" s="782"/>
      <c r="J1" s="781"/>
      <c r="K1" s="781"/>
      <c r="L1" s="781"/>
      <c r="M1" s="783"/>
      <c r="N1" s="783"/>
      <c r="O1" s="784"/>
      <c r="P1" s="785"/>
      <c r="Q1" s="786"/>
      <c r="R1" s="786"/>
      <c r="S1" s="787"/>
      <c r="T1" s="788"/>
      <c r="U1" s="788"/>
      <c r="V1" s="787"/>
      <c r="W1" s="781"/>
      <c r="X1" s="781"/>
      <c r="Y1" s="781"/>
      <c r="Z1" s="781"/>
      <c r="AA1" s="781"/>
      <c r="AB1" s="782"/>
      <c r="AC1" s="782"/>
      <c r="AD1" s="781"/>
      <c r="AE1" s="781"/>
      <c r="AF1" s="781"/>
      <c r="AG1" s="783"/>
      <c r="AH1" s="783"/>
      <c r="AI1" s="784"/>
      <c r="AJ1" s="785"/>
      <c r="AK1" s="786"/>
      <c r="AL1" s="787"/>
      <c r="AM1" s="789"/>
      <c r="AN1" s="789"/>
      <c r="AO1" s="789"/>
      <c r="AQ1" s="791"/>
    </row>
    <row r="2" spans="1:43" hidden="1" outlineLevel="1">
      <c r="A2" s="792"/>
      <c r="B2" s="792" t="str">
        <f>"For the 12 months ending 12/31/"&amp;A49</f>
        <v>For the 12 months ending 12/31/2014</v>
      </c>
      <c r="C2" s="792"/>
      <c r="D2" s="792"/>
      <c r="E2" s="792"/>
      <c r="F2" s="793" t="s">
        <v>1</v>
      </c>
      <c r="G2" s="793"/>
      <c r="H2" s="793" t="s">
        <v>792</v>
      </c>
      <c r="I2" s="793"/>
      <c r="J2" s="793"/>
      <c r="K2" s="793"/>
      <c r="L2" s="793"/>
      <c r="M2" s="794"/>
      <c r="N2" s="794"/>
      <c r="P2" s="265"/>
      <c r="Q2" s="794"/>
      <c r="R2" s="794"/>
      <c r="S2" s="795"/>
      <c r="T2" s="796"/>
      <c r="U2" s="797"/>
      <c r="V2" s="795"/>
      <c r="W2" s="792"/>
      <c r="X2" s="792"/>
      <c r="Y2" s="792"/>
      <c r="Z2" s="793" t="s">
        <v>1</v>
      </c>
      <c r="AA2" s="793"/>
      <c r="AB2" s="793" t="s">
        <v>792</v>
      </c>
      <c r="AC2" s="793"/>
      <c r="AD2" s="793"/>
      <c r="AE2" s="793"/>
      <c r="AF2" s="793"/>
      <c r="AG2" s="794"/>
      <c r="AH2" s="794"/>
      <c r="AJ2" s="265"/>
      <c r="AK2" s="794"/>
      <c r="AL2" s="795"/>
      <c r="AM2" s="292"/>
      <c r="AN2" s="292"/>
      <c r="AO2" s="292"/>
      <c r="AQ2" s="791"/>
    </row>
    <row r="3" spans="1:43" hidden="1" outlineLevel="1">
      <c r="A3" s="265"/>
      <c r="B3" s="265"/>
      <c r="C3" s="265"/>
      <c r="D3" s="265"/>
      <c r="E3" s="265"/>
      <c r="F3" s="265"/>
      <c r="G3" s="265"/>
      <c r="H3" s="265"/>
      <c r="I3" s="265"/>
      <c r="O3" s="798"/>
      <c r="P3" s="265"/>
      <c r="Q3" s="265"/>
      <c r="R3" s="265"/>
      <c r="S3" s="795"/>
      <c r="T3" s="795"/>
      <c r="U3" s="795"/>
      <c r="V3" s="795"/>
      <c r="W3" s="265"/>
      <c r="X3" s="265"/>
      <c r="Y3" s="265"/>
      <c r="Z3" s="265"/>
      <c r="AA3" s="265"/>
      <c r="AB3" s="265"/>
      <c r="AC3" s="265"/>
      <c r="AI3" s="798"/>
      <c r="AJ3" s="265"/>
      <c r="AK3" s="265"/>
      <c r="AL3" s="795"/>
      <c r="AM3" s="292"/>
      <c r="AN3" s="292"/>
      <c r="AO3" s="292"/>
      <c r="AQ3" s="791"/>
    </row>
    <row r="4" spans="1:43" hidden="1" outlineLevel="1">
      <c r="A4" s="799"/>
      <c r="B4" s="799" t="s">
        <v>49</v>
      </c>
      <c r="C4" s="799"/>
      <c r="D4" s="799"/>
      <c r="E4" s="799"/>
      <c r="F4" s="799" t="s">
        <v>50</v>
      </c>
      <c r="G4" s="799"/>
      <c r="H4" s="799" t="s">
        <v>51</v>
      </c>
      <c r="I4" s="799"/>
      <c r="O4" s="800" t="s">
        <v>52</v>
      </c>
      <c r="P4" s="793"/>
      <c r="Q4" s="800"/>
      <c r="R4" s="800"/>
      <c r="S4" s="801"/>
      <c r="T4" s="800"/>
      <c r="U4" s="801"/>
      <c r="V4" s="801"/>
      <c r="W4" s="799"/>
      <c r="X4" s="799"/>
      <c r="Y4" s="799"/>
      <c r="Z4" s="799" t="s">
        <v>50</v>
      </c>
      <c r="AA4" s="799"/>
      <c r="AB4" s="799" t="s">
        <v>51</v>
      </c>
      <c r="AC4" s="799"/>
      <c r="AI4" s="800" t="s">
        <v>52</v>
      </c>
      <c r="AJ4" s="793"/>
      <c r="AK4" s="800"/>
      <c r="AL4" s="801"/>
      <c r="AM4" s="292"/>
      <c r="AN4" s="292"/>
      <c r="AO4" s="292"/>
      <c r="AQ4" s="791"/>
    </row>
    <row r="5" spans="1:43" ht="15.75" hidden="1" outlineLevel="1">
      <c r="A5" s="802"/>
      <c r="B5" s="802"/>
      <c r="C5" s="802"/>
      <c r="D5" s="802"/>
      <c r="E5" s="802"/>
      <c r="F5" s="803" t="s">
        <v>793</v>
      </c>
      <c r="G5" s="803"/>
      <c r="H5" s="793"/>
      <c r="I5" s="793"/>
      <c r="P5" s="793"/>
      <c r="S5" s="801"/>
      <c r="T5" s="804"/>
      <c r="U5" s="804"/>
      <c r="V5" s="801"/>
      <c r="W5" s="802"/>
      <c r="X5" s="802"/>
      <c r="Y5" s="802"/>
      <c r="Z5" s="803" t="s">
        <v>793</v>
      </c>
      <c r="AA5" s="803"/>
      <c r="AB5" s="793"/>
      <c r="AC5" s="793"/>
      <c r="AJ5" s="793"/>
      <c r="AL5" s="801"/>
      <c r="AM5" s="292"/>
      <c r="AN5" s="292"/>
      <c r="AO5" s="292"/>
      <c r="AQ5" s="791"/>
    </row>
    <row r="6" spans="1:43" ht="15.75" hidden="1" outlineLevel="1">
      <c r="A6" s="805" t="s">
        <v>4</v>
      </c>
      <c r="B6" s="802"/>
      <c r="C6" s="802"/>
      <c r="D6" s="802"/>
      <c r="E6" s="802"/>
      <c r="F6" s="806" t="s">
        <v>56</v>
      </c>
      <c r="G6" s="806"/>
      <c r="H6" s="807" t="s">
        <v>55</v>
      </c>
      <c r="I6" s="807"/>
      <c r="O6" s="807" t="s">
        <v>11</v>
      </c>
      <c r="P6" s="793"/>
      <c r="S6" s="795"/>
      <c r="T6" s="808"/>
      <c r="U6" s="804"/>
      <c r="V6" s="795"/>
      <c r="W6" s="802"/>
      <c r="X6" s="802"/>
      <c r="Y6" s="802"/>
      <c r="Z6" s="806" t="s">
        <v>56</v>
      </c>
      <c r="AA6" s="806"/>
      <c r="AB6" s="807" t="s">
        <v>55</v>
      </c>
      <c r="AC6" s="807"/>
      <c r="AI6" s="807" t="s">
        <v>11</v>
      </c>
      <c r="AJ6" s="793"/>
      <c r="AL6" s="795"/>
      <c r="AM6" s="292"/>
      <c r="AN6" s="292"/>
      <c r="AO6" s="292"/>
      <c r="AQ6" s="791"/>
    </row>
    <row r="7" spans="1:43" ht="15.75" hidden="1" outlineLevel="1">
      <c r="A7" s="805" t="s">
        <v>6</v>
      </c>
      <c r="B7" s="809"/>
      <c r="C7" s="809"/>
      <c r="D7" s="809"/>
      <c r="E7" s="809"/>
      <c r="F7" s="793"/>
      <c r="G7" s="793"/>
      <c r="H7" s="793"/>
      <c r="I7" s="793"/>
      <c r="O7" s="793"/>
      <c r="P7" s="793"/>
      <c r="Q7" s="793"/>
      <c r="R7" s="793"/>
      <c r="S7" s="795"/>
      <c r="T7" s="801"/>
      <c r="U7" s="801"/>
      <c r="V7" s="795"/>
      <c r="W7" s="809"/>
      <c r="X7" s="809"/>
      <c r="Y7" s="809"/>
      <c r="Z7" s="793"/>
      <c r="AA7" s="793"/>
      <c r="AB7" s="793"/>
      <c r="AC7" s="793"/>
      <c r="AI7" s="793"/>
      <c r="AJ7" s="793"/>
      <c r="AK7" s="793"/>
      <c r="AL7" s="795"/>
      <c r="AM7" s="292"/>
      <c r="AN7" s="292"/>
      <c r="AO7" s="292"/>
      <c r="AQ7" s="791"/>
    </row>
    <row r="8" spans="1:43" ht="15.75" hidden="1" outlineLevel="1">
      <c r="A8" s="810"/>
      <c r="B8" s="802"/>
      <c r="C8" s="802"/>
      <c r="D8" s="802"/>
      <c r="E8" s="802"/>
      <c r="F8" s="793"/>
      <c r="G8" s="793"/>
      <c r="H8" s="793"/>
      <c r="I8" s="793"/>
      <c r="O8" s="793"/>
      <c r="P8" s="793"/>
      <c r="Q8" s="793"/>
      <c r="R8" s="793"/>
      <c r="S8" s="795"/>
      <c r="T8" s="801"/>
      <c r="U8" s="801"/>
      <c r="V8" s="795"/>
      <c r="W8" s="802"/>
      <c r="X8" s="802"/>
      <c r="Y8" s="802"/>
      <c r="Z8" s="793"/>
      <c r="AA8" s="793"/>
      <c r="AB8" s="793"/>
      <c r="AC8" s="793"/>
      <c r="AI8" s="793"/>
      <c r="AJ8" s="793"/>
      <c r="AK8" s="793"/>
      <c r="AL8" s="795"/>
      <c r="AM8" s="292"/>
      <c r="AN8" s="292"/>
      <c r="AO8" s="292"/>
      <c r="AQ8" s="791"/>
    </row>
    <row r="9" spans="1:43" hidden="1" outlineLevel="1">
      <c r="A9" s="811">
        <v>1</v>
      </c>
      <c r="B9" s="802" t="s">
        <v>359</v>
      </c>
      <c r="C9" s="802"/>
      <c r="D9" s="802"/>
      <c r="E9" s="802"/>
      <c r="F9" s="812" t="s">
        <v>794</v>
      </c>
      <c r="G9" s="812"/>
      <c r="H9" s="813">
        <v>4432425666.1363096</v>
      </c>
      <c r="I9" s="793"/>
      <c r="P9" s="793"/>
      <c r="Q9" s="793"/>
      <c r="R9" s="793"/>
      <c r="S9" s="795"/>
      <c r="T9" s="801"/>
      <c r="U9" s="801"/>
      <c r="V9" s="795"/>
      <c r="W9" s="802"/>
      <c r="X9" s="802"/>
      <c r="Y9" s="802"/>
      <c r="Z9" s="812" t="s">
        <v>794</v>
      </c>
      <c r="AA9" s="812"/>
      <c r="AB9" s="813">
        <v>4432968795.8369226</v>
      </c>
      <c r="AC9" s="793"/>
      <c r="AJ9" s="793"/>
      <c r="AK9" s="793"/>
      <c r="AL9" s="795"/>
      <c r="AM9" s="292"/>
      <c r="AN9" s="292"/>
      <c r="AO9" s="292"/>
      <c r="AQ9" s="791"/>
    </row>
    <row r="10" spans="1:43" hidden="1" outlineLevel="1">
      <c r="A10" s="811" t="s">
        <v>232</v>
      </c>
      <c r="B10" s="802" t="s">
        <v>449</v>
      </c>
      <c r="C10" s="802"/>
      <c r="D10" s="802"/>
      <c r="E10" s="802"/>
      <c r="F10" s="812" t="s">
        <v>901</v>
      </c>
      <c r="G10" s="812"/>
      <c r="H10" s="814">
        <v>1080583214.4778073</v>
      </c>
      <c r="I10" s="815"/>
      <c r="P10" s="793"/>
      <c r="Q10" s="793"/>
      <c r="R10" s="793"/>
      <c r="S10" s="795"/>
      <c r="T10" s="801"/>
      <c r="U10" s="801"/>
      <c r="V10" s="795"/>
      <c r="W10" s="802"/>
      <c r="X10" s="802"/>
      <c r="Y10" s="802"/>
      <c r="Z10" s="812" t="s">
        <v>901</v>
      </c>
      <c r="AA10" s="812"/>
      <c r="AB10" s="814">
        <v>1079094871</v>
      </c>
      <c r="AC10" s="815"/>
      <c r="AJ10" s="793"/>
      <c r="AK10" s="793"/>
      <c r="AL10" s="795"/>
      <c r="AM10" s="292"/>
      <c r="AN10" s="292"/>
      <c r="AO10" s="292"/>
      <c r="AQ10" s="791"/>
    </row>
    <row r="11" spans="1:43" hidden="1" outlineLevel="1">
      <c r="A11" s="811">
        <v>2</v>
      </c>
      <c r="B11" s="802" t="s">
        <v>361</v>
      </c>
      <c r="C11" s="802"/>
      <c r="D11" s="802"/>
      <c r="E11" s="802"/>
      <c r="F11" s="812" t="s">
        <v>451</v>
      </c>
      <c r="G11" s="812"/>
      <c r="H11" s="302">
        <f>H9-H10</f>
        <v>3351842451.6585026</v>
      </c>
      <c r="I11" s="816"/>
      <c r="P11" s="793"/>
      <c r="Q11" s="793"/>
      <c r="R11" s="793"/>
      <c r="S11" s="795"/>
      <c r="T11" s="801"/>
      <c r="U11" s="801"/>
      <c r="V11" s="795"/>
      <c r="W11" s="802"/>
      <c r="X11" s="802"/>
      <c r="Y11" s="802"/>
      <c r="Z11" s="812" t="s">
        <v>451</v>
      </c>
      <c r="AA11" s="812"/>
      <c r="AB11" s="302">
        <f>AB9-AB10</f>
        <v>3353873924.8369226</v>
      </c>
      <c r="AC11" s="816"/>
      <c r="AJ11" s="793"/>
      <c r="AK11" s="793"/>
      <c r="AL11" s="795"/>
      <c r="AM11" s="292"/>
      <c r="AN11" s="292"/>
      <c r="AO11" s="292"/>
      <c r="AQ11" s="791"/>
    </row>
    <row r="12" spans="1:43" hidden="1" outlineLevel="1">
      <c r="A12" s="811"/>
      <c r="F12" s="812"/>
      <c r="G12" s="812"/>
      <c r="P12" s="793"/>
      <c r="Q12" s="793"/>
      <c r="R12" s="793"/>
      <c r="S12" s="795"/>
      <c r="T12" s="801"/>
      <c r="U12" s="801"/>
      <c r="V12" s="795"/>
      <c r="Z12" s="812"/>
      <c r="AA12" s="812"/>
      <c r="AJ12" s="793"/>
      <c r="AK12" s="793"/>
      <c r="AL12" s="795"/>
      <c r="AM12" s="292"/>
      <c r="AN12" s="292"/>
      <c r="AO12" s="292"/>
      <c r="AQ12" s="791"/>
    </row>
    <row r="13" spans="1:43" hidden="1" outlineLevel="1">
      <c r="A13" s="811"/>
      <c r="B13" s="802" t="s">
        <v>452</v>
      </c>
      <c r="C13" s="802"/>
      <c r="D13" s="802"/>
      <c r="E13" s="802"/>
      <c r="F13" s="812"/>
      <c r="G13" s="812"/>
      <c r="H13" s="793"/>
      <c r="I13" s="793"/>
      <c r="O13" s="793"/>
      <c r="P13" s="793"/>
      <c r="Q13" s="793"/>
      <c r="R13" s="793"/>
      <c r="S13" s="801"/>
      <c r="T13" s="801"/>
      <c r="U13" s="801"/>
      <c r="V13" s="801"/>
      <c r="W13" s="802"/>
      <c r="X13" s="802"/>
      <c r="Y13" s="802"/>
      <c r="Z13" s="812"/>
      <c r="AA13" s="812"/>
      <c r="AB13" s="793"/>
      <c r="AC13" s="793"/>
      <c r="AI13" s="793"/>
      <c r="AJ13" s="793"/>
      <c r="AK13" s="793"/>
      <c r="AL13" s="801"/>
      <c r="AM13" s="292"/>
      <c r="AN13" s="292"/>
      <c r="AO13" s="292"/>
      <c r="AQ13" s="791"/>
    </row>
    <row r="14" spans="1:43" hidden="1" outlineLevel="1">
      <c r="A14" s="811">
        <v>3</v>
      </c>
      <c r="B14" s="802" t="s">
        <v>364</v>
      </c>
      <c r="C14" s="802"/>
      <c r="D14" s="802"/>
      <c r="E14" s="802"/>
      <c r="F14" s="812" t="s">
        <v>798</v>
      </c>
      <c r="G14" s="812"/>
      <c r="H14" s="813">
        <v>151250302.00461566</v>
      </c>
      <c r="I14" s="793"/>
      <c r="P14" s="793"/>
      <c r="Q14" s="793"/>
      <c r="R14" s="793"/>
      <c r="S14" s="801"/>
      <c r="T14" s="801"/>
      <c r="U14" s="801"/>
      <c r="V14" s="801"/>
      <c r="W14" s="802"/>
      <c r="X14" s="802"/>
      <c r="Y14" s="802"/>
      <c r="Z14" s="812" t="s">
        <v>798</v>
      </c>
      <c r="AA14" s="812"/>
      <c r="AB14" s="813">
        <v>143136929.99188033</v>
      </c>
      <c r="AC14" s="793"/>
      <c r="AJ14" s="793"/>
      <c r="AK14" s="793"/>
      <c r="AL14" s="801"/>
      <c r="AM14" s="292"/>
      <c r="AN14" s="292"/>
      <c r="AO14" s="292"/>
      <c r="AQ14" s="791"/>
    </row>
    <row r="15" spans="1:43" hidden="1" outlineLevel="1">
      <c r="A15" s="811" t="s">
        <v>366</v>
      </c>
      <c r="B15" s="802" t="s">
        <v>453</v>
      </c>
      <c r="C15" s="802"/>
      <c r="D15" s="802"/>
      <c r="E15" s="802"/>
      <c r="F15" s="812" t="s">
        <v>902</v>
      </c>
      <c r="G15" s="812"/>
      <c r="H15" s="813">
        <v>97759935.816937789</v>
      </c>
      <c r="I15" s="793"/>
      <c r="P15" s="793"/>
      <c r="Q15" s="793"/>
      <c r="R15" s="793"/>
      <c r="S15" s="801"/>
      <c r="T15" s="801"/>
      <c r="U15" s="801"/>
      <c r="V15" s="801"/>
      <c r="W15" s="802"/>
      <c r="X15" s="802"/>
      <c r="Y15" s="802"/>
      <c r="Z15" s="812" t="s">
        <v>902</v>
      </c>
      <c r="AA15" s="812"/>
      <c r="AB15" s="813">
        <v>102704839.66</v>
      </c>
      <c r="AC15" s="793"/>
      <c r="AJ15" s="793"/>
      <c r="AK15" s="793"/>
      <c r="AL15" s="801"/>
      <c r="AM15" s="292"/>
      <c r="AN15" s="292"/>
      <c r="AO15" s="292"/>
      <c r="AQ15" s="791"/>
    </row>
    <row r="16" spans="1:43" hidden="1" outlineLevel="1">
      <c r="A16" s="811" t="s">
        <v>456</v>
      </c>
      <c r="B16" s="802" t="s">
        <v>903</v>
      </c>
      <c r="C16" s="802"/>
      <c r="D16" s="802"/>
      <c r="E16" s="802"/>
      <c r="F16" s="812" t="s">
        <v>902</v>
      </c>
      <c r="G16" s="812"/>
      <c r="H16" s="813">
        <v>17447442.299381591</v>
      </c>
      <c r="I16" s="793"/>
      <c r="P16" s="793"/>
      <c r="Q16" s="793"/>
      <c r="R16" s="793"/>
      <c r="S16" s="801"/>
      <c r="T16" s="801"/>
      <c r="U16" s="801"/>
      <c r="V16" s="801"/>
      <c r="W16" s="802"/>
      <c r="X16" s="802"/>
      <c r="Y16" s="802"/>
      <c r="Z16" s="812" t="s">
        <v>902</v>
      </c>
      <c r="AA16" s="812"/>
      <c r="AB16" s="813">
        <v>15474432</v>
      </c>
      <c r="AC16" s="793"/>
      <c r="AJ16" s="793"/>
      <c r="AK16" s="793"/>
      <c r="AL16" s="801"/>
      <c r="AM16" s="292"/>
      <c r="AN16" s="292"/>
      <c r="AO16" s="292"/>
      <c r="AQ16" s="791"/>
    </row>
    <row r="17" spans="1:43" hidden="1" outlineLevel="1">
      <c r="A17" s="811" t="s">
        <v>369</v>
      </c>
      <c r="B17" s="802" t="s">
        <v>459</v>
      </c>
      <c r="C17" s="802"/>
      <c r="D17" s="802"/>
      <c r="E17" s="802"/>
      <c r="F17" s="812" t="s">
        <v>904</v>
      </c>
      <c r="G17" s="812"/>
      <c r="H17" s="813">
        <v>0</v>
      </c>
      <c r="I17" s="793"/>
      <c r="P17" s="793"/>
      <c r="Q17" s="793"/>
      <c r="R17" s="793"/>
      <c r="S17" s="801"/>
      <c r="T17" s="801"/>
      <c r="U17" s="801"/>
      <c r="V17" s="801"/>
      <c r="W17" s="802"/>
      <c r="X17" s="802"/>
      <c r="Y17" s="802"/>
      <c r="Z17" s="812" t="s">
        <v>904</v>
      </c>
      <c r="AA17" s="812"/>
      <c r="AB17" s="813">
        <v>0</v>
      </c>
      <c r="AC17" s="793"/>
      <c r="AJ17" s="793"/>
      <c r="AK17" s="793"/>
      <c r="AL17" s="801"/>
      <c r="AM17" s="292"/>
      <c r="AN17" s="292"/>
      <c r="AO17" s="292"/>
      <c r="AQ17" s="791"/>
    </row>
    <row r="18" spans="1:43" hidden="1" outlineLevel="1">
      <c r="A18" s="811" t="s">
        <v>461</v>
      </c>
      <c r="B18" s="802" t="s">
        <v>462</v>
      </c>
      <c r="C18" s="802"/>
      <c r="D18" s="802"/>
      <c r="E18" s="802"/>
      <c r="F18" s="812" t="s">
        <v>905</v>
      </c>
      <c r="G18" s="812"/>
      <c r="H18" s="814">
        <v>0</v>
      </c>
      <c r="I18" s="815"/>
      <c r="P18" s="793"/>
      <c r="Q18" s="793"/>
      <c r="R18" s="793"/>
      <c r="S18" s="801"/>
      <c r="T18" s="801"/>
      <c r="U18" s="801"/>
      <c r="V18" s="801"/>
      <c r="W18" s="802"/>
      <c r="X18" s="802"/>
      <c r="Y18" s="802"/>
      <c r="Z18" s="812" t="s">
        <v>905</v>
      </c>
      <c r="AA18" s="812"/>
      <c r="AB18" s="814">
        <v>0</v>
      </c>
      <c r="AC18" s="815"/>
      <c r="AJ18" s="793"/>
      <c r="AK18" s="793"/>
      <c r="AL18" s="801"/>
      <c r="AM18" s="292"/>
      <c r="AN18" s="292"/>
      <c r="AO18" s="292"/>
      <c r="AQ18" s="791"/>
    </row>
    <row r="19" spans="1:43" hidden="1" outlineLevel="1">
      <c r="A19" s="811" t="s">
        <v>464</v>
      </c>
      <c r="B19" s="802" t="s">
        <v>465</v>
      </c>
      <c r="C19" s="802"/>
      <c r="D19" s="802"/>
      <c r="E19" s="802"/>
      <c r="F19" s="812" t="s">
        <v>906</v>
      </c>
      <c r="G19" s="812"/>
      <c r="H19" s="302">
        <f>H15-(H16+H17+H18)</f>
        <v>80312493.51755619</v>
      </c>
      <c r="I19" s="793"/>
      <c r="P19" s="793"/>
      <c r="Q19" s="793"/>
      <c r="R19" s="793"/>
      <c r="S19" s="801"/>
      <c r="T19" s="801"/>
      <c r="U19" s="801"/>
      <c r="V19" s="801"/>
      <c r="W19" s="802"/>
      <c r="X19" s="802"/>
      <c r="Y19" s="802"/>
      <c r="Z19" s="812" t="s">
        <v>906</v>
      </c>
      <c r="AA19" s="812"/>
      <c r="AB19" s="302">
        <f>AB15-(AB16+AB17+AB18)</f>
        <v>87230407.659999996</v>
      </c>
      <c r="AC19" s="793"/>
      <c r="AJ19" s="793"/>
      <c r="AK19" s="793"/>
      <c r="AL19" s="801"/>
      <c r="AM19" s="292"/>
      <c r="AN19" s="292"/>
      <c r="AO19" s="292"/>
      <c r="AQ19" s="791"/>
    </row>
    <row r="20" spans="1:43" hidden="1" outlineLevel="1">
      <c r="A20" s="811"/>
      <c r="B20" s="802"/>
      <c r="C20" s="802"/>
      <c r="D20" s="802"/>
      <c r="E20" s="802"/>
      <c r="F20" s="812"/>
      <c r="G20" s="812"/>
      <c r="H20" s="793"/>
      <c r="I20" s="793"/>
      <c r="P20" s="793"/>
      <c r="Q20" s="793"/>
      <c r="R20" s="793"/>
      <c r="S20" s="801"/>
      <c r="T20" s="801"/>
      <c r="U20" s="801"/>
      <c r="V20" s="801"/>
      <c r="W20" s="802"/>
      <c r="X20" s="802"/>
      <c r="Y20" s="802"/>
      <c r="Z20" s="812"/>
      <c r="AA20" s="812"/>
      <c r="AB20" s="793"/>
      <c r="AC20" s="793"/>
      <c r="AJ20" s="793"/>
      <c r="AK20" s="793"/>
      <c r="AL20" s="801"/>
      <c r="AM20" s="292"/>
      <c r="AN20" s="292"/>
      <c r="AO20" s="292"/>
      <c r="AQ20" s="791"/>
    </row>
    <row r="21" spans="1:43" ht="15.75" hidden="1" outlineLevel="1">
      <c r="A21" s="811">
        <v>4</v>
      </c>
      <c r="B21" s="809" t="s">
        <v>467</v>
      </c>
      <c r="C21" s="809"/>
      <c r="D21" s="809"/>
      <c r="E21" s="802"/>
      <c r="F21" s="812" t="s">
        <v>468</v>
      </c>
      <c r="G21" s="812"/>
      <c r="H21" s="817">
        <f>IF(H19=0,0,H19/H10)</f>
        <v>7.4323284353780439E-2</v>
      </c>
      <c r="I21" s="817"/>
      <c r="O21" s="308">
        <f>H21</f>
        <v>7.4323284353780439E-2</v>
      </c>
      <c r="P21" s="793"/>
      <c r="Q21" s="793"/>
      <c r="R21" s="793"/>
      <c r="S21" s="801"/>
      <c r="T21" s="801"/>
      <c r="U21" s="801"/>
      <c r="V21" s="801"/>
      <c r="W21" s="809"/>
      <c r="X21" s="809"/>
      <c r="Y21" s="802"/>
      <c r="Z21" s="812" t="s">
        <v>468</v>
      </c>
      <c r="AA21" s="812"/>
      <c r="AB21" s="817">
        <f>IF(AB19=0,0,AB19/AB10)</f>
        <v>8.083664375048262E-2</v>
      </c>
      <c r="AC21" s="817"/>
      <c r="AI21" s="308">
        <f>AB21</f>
        <v>8.083664375048262E-2</v>
      </c>
      <c r="AJ21" s="793"/>
      <c r="AK21" s="793"/>
      <c r="AL21" s="801"/>
      <c r="AM21" s="292"/>
      <c r="AN21" s="292"/>
      <c r="AO21" s="292"/>
      <c r="AQ21" s="791"/>
    </row>
    <row r="22" spans="1:43" hidden="1" outlineLevel="1">
      <c r="A22" s="811"/>
      <c r="B22" s="802"/>
      <c r="C22" s="802"/>
      <c r="D22" s="802"/>
      <c r="E22" s="802"/>
      <c r="F22" s="812"/>
      <c r="G22" s="812"/>
      <c r="H22" s="793"/>
      <c r="I22" s="793"/>
      <c r="P22" s="793"/>
      <c r="Q22" s="793"/>
      <c r="R22" s="793"/>
      <c r="S22" s="801"/>
      <c r="T22" s="801"/>
      <c r="U22" s="801"/>
      <c r="V22" s="801"/>
      <c r="W22" s="802"/>
      <c r="X22" s="802"/>
      <c r="Y22" s="802"/>
      <c r="Z22" s="812"/>
      <c r="AA22" s="812"/>
      <c r="AB22" s="793"/>
      <c r="AC22" s="793"/>
      <c r="AJ22" s="793"/>
      <c r="AK22" s="793"/>
      <c r="AL22" s="801"/>
      <c r="AM22" s="292"/>
      <c r="AN22" s="292"/>
      <c r="AO22" s="292"/>
      <c r="AQ22" s="791"/>
    </row>
    <row r="23" spans="1:43" hidden="1" outlineLevel="1">
      <c r="A23" s="811"/>
      <c r="B23" s="802"/>
      <c r="C23" s="802"/>
      <c r="D23" s="802"/>
      <c r="E23" s="802"/>
      <c r="F23" s="812"/>
      <c r="G23" s="812"/>
      <c r="H23" s="793"/>
      <c r="I23" s="793"/>
      <c r="P23" s="793"/>
      <c r="Q23" s="793"/>
      <c r="R23" s="793"/>
      <c r="S23" s="801"/>
      <c r="T23" s="801"/>
      <c r="U23" s="801"/>
      <c r="V23" s="801"/>
      <c r="W23" s="802"/>
      <c r="X23" s="802"/>
      <c r="Y23" s="802"/>
      <c r="Z23" s="812"/>
      <c r="AA23" s="812"/>
      <c r="AB23" s="793"/>
      <c r="AC23" s="793"/>
      <c r="AJ23" s="793"/>
      <c r="AK23" s="793"/>
      <c r="AL23" s="801"/>
      <c r="AM23" s="292"/>
      <c r="AN23" s="292"/>
      <c r="AO23" s="292"/>
      <c r="AQ23" s="791"/>
    </row>
    <row r="24" spans="1:43" ht="15.75" hidden="1" outlineLevel="1">
      <c r="A24" s="811"/>
      <c r="B24" s="802" t="s">
        <v>469</v>
      </c>
      <c r="C24" s="802"/>
      <c r="D24" s="802"/>
      <c r="E24" s="802"/>
      <c r="F24" s="812"/>
      <c r="G24" s="812"/>
      <c r="H24" s="818"/>
      <c r="I24" s="818"/>
      <c r="O24" s="309"/>
      <c r="P24" s="793"/>
      <c r="Q24" s="817"/>
      <c r="R24" s="817"/>
      <c r="S24" s="819"/>
      <c r="T24" s="820"/>
      <c r="U24" s="801"/>
      <c r="V24" s="819"/>
      <c r="W24" s="802"/>
      <c r="X24" s="802"/>
      <c r="Y24" s="802"/>
      <c r="Z24" s="812"/>
      <c r="AA24" s="812"/>
      <c r="AB24" s="818"/>
      <c r="AC24" s="818"/>
      <c r="AI24" s="309"/>
      <c r="AJ24" s="793"/>
      <c r="AK24" s="817"/>
      <c r="AL24" s="819"/>
      <c r="AM24" s="292"/>
      <c r="AN24" s="292"/>
      <c r="AO24" s="292"/>
      <c r="AQ24" s="791"/>
    </row>
    <row r="25" spans="1:43" ht="15.75" hidden="1" outlineLevel="1">
      <c r="A25" s="811" t="s">
        <v>470</v>
      </c>
      <c r="B25" s="802" t="s">
        <v>471</v>
      </c>
      <c r="C25" s="802"/>
      <c r="D25" s="802"/>
      <c r="E25" s="802"/>
      <c r="F25" s="812" t="s">
        <v>907</v>
      </c>
      <c r="G25" s="812"/>
      <c r="H25" s="302">
        <f>H14-H19-H16</f>
        <v>53490366.187677883</v>
      </c>
      <c r="I25" s="818"/>
      <c r="O25" s="309"/>
      <c r="P25" s="793"/>
      <c r="Q25" s="817"/>
      <c r="R25" s="817"/>
      <c r="S25" s="819"/>
      <c r="T25" s="820"/>
      <c r="U25" s="801"/>
      <c r="V25" s="819"/>
      <c r="W25" s="802"/>
      <c r="X25" s="802"/>
      <c r="Y25" s="802"/>
      <c r="Z25" s="812" t="s">
        <v>907</v>
      </c>
      <c r="AA25" s="812"/>
      <c r="AB25" s="302">
        <f>AB14-AB19-AB16</f>
        <v>40432090.331880331</v>
      </c>
      <c r="AC25" s="818"/>
      <c r="AI25" s="309"/>
      <c r="AJ25" s="793"/>
      <c r="AK25" s="817"/>
      <c r="AL25" s="819"/>
      <c r="AM25" s="292"/>
      <c r="AN25" s="292"/>
      <c r="AO25" s="292"/>
      <c r="AQ25" s="791"/>
    </row>
    <row r="26" spans="1:43" ht="15.75" hidden="1" outlineLevel="1">
      <c r="A26" s="811" t="s">
        <v>473</v>
      </c>
      <c r="B26" s="802" t="s">
        <v>474</v>
      </c>
      <c r="C26" s="802"/>
      <c r="D26" s="802"/>
      <c r="E26" s="802"/>
      <c r="F26" s="812" t="s">
        <v>475</v>
      </c>
      <c r="G26" s="812"/>
      <c r="H26" s="818">
        <f>IF(H25=0,0,H25/H9)</f>
        <v>1.2067966891434587E-2</v>
      </c>
      <c r="I26" s="818"/>
      <c r="O26" s="309">
        <f>H26</f>
        <v>1.2067966891434587E-2</v>
      </c>
      <c r="P26" s="793"/>
      <c r="Q26" s="817"/>
      <c r="R26" s="817"/>
      <c r="S26" s="819"/>
      <c r="T26" s="820"/>
      <c r="U26" s="801"/>
      <c r="V26" s="819"/>
      <c r="W26" s="802"/>
      <c r="X26" s="802"/>
      <c r="Y26" s="802"/>
      <c r="Z26" s="812" t="s">
        <v>475</v>
      </c>
      <c r="AA26" s="812"/>
      <c r="AB26" s="818">
        <f>IF(AB25=0,0,AB25/AB9)</f>
        <v>9.1207703446617543E-3</v>
      </c>
      <c r="AC26" s="818"/>
      <c r="AI26" s="309">
        <f>AB26</f>
        <v>9.1207703446617543E-3</v>
      </c>
      <c r="AJ26" s="793"/>
      <c r="AK26" s="817"/>
      <c r="AL26" s="819"/>
      <c r="AM26" s="292"/>
      <c r="AN26" s="292"/>
      <c r="AO26" s="292"/>
      <c r="AQ26" s="791"/>
    </row>
    <row r="27" spans="1:43" ht="15.75" hidden="1" outlineLevel="1">
      <c r="A27" s="811"/>
      <c r="B27" s="802"/>
      <c r="C27" s="802"/>
      <c r="D27" s="802"/>
      <c r="E27" s="802"/>
      <c r="F27" s="812"/>
      <c r="G27" s="812"/>
      <c r="H27" s="818"/>
      <c r="I27" s="818"/>
      <c r="O27" s="309"/>
      <c r="P27" s="793"/>
      <c r="Q27" s="817"/>
      <c r="R27" s="817"/>
      <c r="S27" s="819"/>
      <c r="T27" s="820"/>
      <c r="U27" s="801"/>
      <c r="V27" s="819"/>
      <c r="W27" s="802"/>
      <c r="X27" s="802"/>
      <c r="Y27" s="802"/>
      <c r="Z27" s="812"/>
      <c r="AA27" s="812"/>
      <c r="AB27" s="818"/>
      <c r="AC27" s="818"/>
      <c r="AI27" s="309"/>
      <c r="AJ27" s="793"/>
      <c r="AK27" s="817"/>
      <c r="AL27" s="819"/>
      <c r="AM27" s="292"/>
      <c r="AN27" s="292"/>
      <c r="AO27" s="292"/>
      <c r="AQ27" s="791"/>
    </row>
    <row r="28" spans="1:43" ht="15.75" hidden="1" outlineLevel="1">
      <c r="A28" s="821"/>
      <c r="B28" s="802" t="s">
        <v>374</v>
      </c>
      <c r="C28" s="802"/>
      <c r="D28" s="802"/>
      <c r="E28" s="802"/>
      <c r="F28" s="822"/>
      <c r="G28" s="822"/>
      <c r="H28" s="793"/>
      <c r="I28" s="793"/>
      <c r="L28" s="292"/>
      <c r="M28" s="292"/>
      <c r="N28" s="292"/>
      <c r="O28" s="793"/>
      <c r="P28" s="793"/>
      <c r="Q28" s="817"/>
      <c r="R28" s="817"/>
      <c r="S28" s="819"/>
      <c r="T28" s="820"/>
      <c r="U28" s="801"/>
      <c r="V28" s="819"/>
      <c r="W28" s="802"/>
      <c r="X28" s="802"/>
      <c r="Y28" s="802"/>
      <c r="Z28" s="822"/>
      <c r="AA28" s="822"/>
      <c r="AB28" s="793"/>
      <c r="AC28" s="793"/>
      <c r="AF28" s="292"/>
      <c r="AG28" s="292"/>
      <c r="AH28" s="292"/>
      <c r="AI28" s="793"/>
      <c r="AJ28" s="793"/>
      <c r="AK28" s="817"/>
      <c r="AL28" s="819"/>
      <c r="AM28" s="292"/>
      <c r="AN28" s="292"/>
      <c r="AO28" s="292"/>
      <c r="AQ28" s="791"/>
    </row>
    <row r="29" spans="1:43" ht="15.75" hidden="1" outlineLevel="1">
      <c r="A29" s="821" t="s">
        <v>375</v>
      </c>
      <c r="B29" s="802" t="s">
        <v>376</v>
      </c>
      <c r="C29" s="802"/>
      <c r="D29" s="802"/>
      <c r="E29" s="802"/>
      <c r="F29" s="812" t="s">
        <v>804</v>
      </c>
      <c r="G29" s="812"/>
      <c r="H29" s="813">
        <v>7862320.236582974</v>
      </c>
      <c r="I29" s="793"/>
      <c r="L29" s="292"/>
      <c r="M29" s="292"/>
      <c r="N29" s="292"/>
      <c r="O29" s="292"/>
      <c r="P29" s="793"/>
      <c r="Q29" s="817"/>
      <c r="R29" s="817"/>
      <c r="S29" s="819"/>
      <c r="T29" s="820"/>
      <c r="U29" s="801"/>
      <c r="V29" s="819"/>
      <c r="W29" s="802"/>
      <c r="X29" s="802"/>
      <c r="Y29" s="802"/>
      <c r="Z29" s="812" t="s">
        <v>804</v>
      </c>
      <c r="AA29" s="812"/>
      <c r="AB29" s="813">
        <v>8601812</v>
      </c>
      <c r="AC29" s="793"/>
      <c r="AF29" s="292"/>
      <c r="AG29" s="292"/>
      <c r="AH29" s="292"/>
      <c r="AI29" s="292"/>
      <c r="AJ29" s="793"/>
      <c r="AK29" s="817"/>
      <c r="AL29" s="819"/>
      <c r="AM29" s="292"/>
      <c r="AN29" s="292"/>
      <c r="AO29" s="292"/>
      <c r="AQ29" s="791"/>
    </row>
    <row r="30" spans="1:43" ht="15.75" hidden="1" outlineLevel="1">
      <c r="A30" s="821" t="s">
        <v>378</v>
      </c>
      <c r="B30" s="802" t="s">
        <v>379</v>
      </c>
      <c r="C30" s="802"/>
      <c r="D30" s="802"/>
      <c r="E30" s="802"/>
      <c r="F30" s="812" t="s">
        <v>380</v>
      </c>
      <c r="G30" s="812"/>
      <c r="H30" s="818">
        <f>IF(H29=0,0,H29/H9)</f>
        <v>1.7738188587461323E-3</v>
      </c>
      <c r="I30" s="818"/>
      <c r="L30" s="292"/>
      <c r="M30" s="292"/>
      <c r="N30" s="292"/>
      <c r="O30" s="309">
        <f>H30</f>
        <v>1.7738188587461323E-3</v>
      </c>
      <c r="P30" s="793"/>
      <c r="Q30" s="817"/>
      <c r="R30" s="817"/>
      <c r="S30" s="819"/>
      <c r="T30" s="820"/>
      <c r="U30" s="801"/>
      <c r="V30" s="819"/>
      <c r="W30" s="802"/>
      <c r="X30" s="802"/>
      <c r="Y30" s="802"/>
      <c r="Z30" s="812" t="s">
        <v>380</v>
      </c>
      <c r="AA30" s="812"/>
      <c r="AB30" s="818">
        <f>IF(AB29=0,0,AB29/AB9)</f>
        <v>1.9404178996428104E-3</v>
      </c>
      <c r="AC30" s="818"/>
      <c r="AF30" s="292"/>
      <c r="AG30" s="292"/>
      <c r="AH30" s="292"/>
      <c r="AI30" s="309">
        <f>AB30</f>
        <v>1.9404178996428104E-3</v>
      </c>
      <c r="AJ30" s="793"/>
      <c r="AK30" s="817"/>
      <c r="AL30" s="819"/>
      <c r="AM30" s="292"/>
      <c r="AN30" s="292"/>
      <c r="AO30" s="292"/>
      <c r="AQ30" s="791"/>
    </row>
    <row r="31" spans="1:43" ht="15.75" hidden="1" outlineLevel="1">
      <c r="A31" s="811"/>
      <c r="B31" s="802"/>
      <c r="C31" s="802"/>
      <c r="D31" s="802"/>
      <c r="E31" s="802"/>
      <c r="F31" s="812"/>
      <c r="G31" s="812"/>
      <c r="H31" s="818"/>
      <c r="I31" s="818"/>
      <c r="O31" s="309"/>
      <c r="P31" s="793"/>
      <c r="Q31" s="817"/>
      <c r="R31" s="817"/>
      <c r="S31" s="819"/>
      <c r="T31" s="820"/>
      <c r="U31" s="801"/>
      <c r="V31" s="819"/>
      <c r="W31" s="802"/>
      <c r="X31" s="802"/>
      <c r="Y31" s="802"/>
      <c r="Z31" s="812"/>
      <c r="AA31" s="812"/>
      <c r="AB31" s="818"/>
      <c r="AC31" s="818"/>
      <c r="AI31" s="309"/>
      <c r="AJ31" s="793"/>
      <c r="AK31" s="817"/>
      <c r="AL31" s="819"/>
      <c r="AM31" s="292"/>
      <c r="AN31" s="292"/>
      <c r="AO31" s="292"/>
      <c r="AQ31" s="791"/>
    </row>
    <row r="32" spans="1:43" hidden="1" outlineLevel="1">
      <c r="A32" s="823"/>
      <c r="B32" s="802" t="s">
        <v>381</v>
      </c>
      <c r="C32" s="802"/>
      <c r="D32" s="802"/>
      <c r="E32" s="802"/>
      <c r="F32" s="822"/>
      <c r="G32" s="822"/>
      <c r="H32" s="793"/>
      <c r="I32" s="793"/>
      <c r="O32" s="793"/>
      <c r="P32" s="793"/>
      <c r="Q32" s="793"/>
      <c r="R32" s="793"/>
      <c r="S32" s="801"/>
      <c r="T32" s="793"/>
      <c r="U32" s="801"/>
      <c r="V32" s="801"/>
      <c r="W32" s="802"/>
      <c r="X32" s="802"/>
      <c r="Y32" s="802"/>
      <c r="Z32" s="822"/>
      <c r="AA32" s="822"/>
      <c r="AB32" s="793"/>
      <c r="AC32" s="793"/>
      <c r="AI32" s="793"/>
      <c r="AJ32" s="793"/>
      <c r="AK32" s="793"/>
      <c r="AL32" s="801"/>
      <c r="AM32" s="292"/>
      <c r="AN32" s="292"/>
      <c r="AO32" s="292"/>
      <c r="AQ32" s="791"/>
    </row>
    <row r="33" spans="1:43" ht="15.75" hidden="1" outlineLevel="1">
      <c r="A33" s="823" t="s">
        <v>382</v>
      </c>
      <c r="B33" s="802" t="s">
        <v>383</v>
      </c>
      <c r="C33" s="802"/>
      <c r="D33" s="802"/>
      <c r="E33" s="802"/>
      <c r="F33" s="812" t="s">
        <v>805</v>
      </c>
      <c r="G33" s="812"/>
      <c r="H33" s="813">
        <v>21549487.225000001</v>
      </c>
      <c r="I33" s="793"/>
      <c r="P33" s="793"/>
      <c r="Q33" s="824"/>
      <c r="R33" s="824"/>
      <c r="S33" s="801"/>
      <c r="T33" s="825"/>
      <c r="U33" s="804"/>
      <c r="V33" s="801"/>
      <c r="W33" s="802"/>
      <c r="X33" s="802"/>
      <c r="Y33" s="802"/>
      <c r="Z33" s="812" t="s">
        <v>805</v>
      </c>
      <c r="AA33" s="812"/>
      <c r="AB33" s="813">
        <v>20406107.91</v>
      </c>
      <c r="AC33" s="793"/>
      <c r="AJ33" s="793"/>
      <c r="AK33" s="824"/>
      <c r="AL33" s="801"/>
      <c r="AM33" s="292"/>
      <c r="AN33" s="292"/>
      <c r="AO33" s="292"/>
      <c r="AQ33" s="791"/>
    </row>
    <row r="34" spans="1:43" ht="15.75" hidden="1" outlineLevel="1">
      <c r="A34" s="823" t="s">
        <v>385</v>
      </c>
      <c r="B34" s="802" t="s">
        <v>386</v>
      </c>
      <c r="C34" s="802"/>
      <c r="D34" s="802"/>
      <c r="E34" s="802"/>
      <c r="F34" s="812" t="s">
        <v>387</v>
      </c>
      <c r="G34" s="812"/>
      <c r="H34" s="818">
        <f>IF(H33=0,0,H33/H9)</f>
        <v>4.8617819785761731E-3</v>
      </c>
      <c r="I34" s="818"/>
      <c r="O34" s="309">
        <f>H34</f>
        <v>4.8617819785761731E-3</v>
      </c>
      <c r="P34" s="793"/>
      <c r="Q34" s="817"/>
      <c r="R34" s="817"/>
      <c r="S34" s="801"/>
      <c r="T34" s="820"/>
      <c r="U34" s="804"/>
      <c r="V34" s="801"/>
      <c r="W34" s="802"/>
      <c r="X34" s="802"/>
      <c r="Y34" s="802"/>
      <c r="Z34" s="812" t="s">
        <v>387</v>
      </c>
      <c r="AA34" s="812"/>
      <c r="AB34" s="818">
        <f>IF(AB33=0,0,AB33/AB9)</f>
        <v>4.6032599934300754E-3</v>
      </c>
      <c r="AC34" s="818"/>
      <c r="AI34" s="309">
        <f>AB34</f>
        <v>4.6032599934300754E-3</v>
      </c>
      <c r="AJ34" s="793"/>
      <c r="AK34" s="817"/>
      <c r="AL34" s="801"/>
      <c r="AM34" s="292"/>
      <c r="AN34" s="292"/>
      <c r="AO34" s="292"/>
      <c r="AQ34" s="791"/>
    </row>
    <row r="35" spans="1:43" hidden="1" outlineLevel="1">
      <c r="A35" s="823"/>
      <c r="B35" s="802"/>
      <c r="C35" s="802"/>
      <c r="D35" s="802"/>
      <c r="E35" s="802"/>
      <c r="F35" s="812"/>
      <c r="G35" s="812"/>
      <c r="H35" s="793"/>
      <c r="I35" s="793"/>
      <c r="O35" s="793"/>
      <c r="P35" s="793"/>
      <c r="U35" s="801"/>
      <c r="W35" s="802"/>
      <c r="X35" s="802"/>
      <c r="Y35" s="802"/>
      <c r="Z35" s="812"/>
      <c r="AA35" s="812"/>
      <c r="AB35" s="793"/>
      <c r="AC35" s="793"/>
      <c r="AI35" s="793"/>
      <c r="AJ35" s="793"/>
      <c r="AM35" s="292"/>
      <c r="AN35" s="292"/>
      <c r="AO35" s="292"/>
      <c r="AQ35" s="791"/>
    </row>
    <row r="36" spans="1:43" ht="15.75" hidden="1" outlineLevel="1">
      <c r="A36" s="826" t="s">
        <v>388</v>
      </c>
      <c r="B36" s="809" t="s">
        <v>476</v>
      </c>
      <c r="C36" s="809"/>
      <c r="D36" s="809"/>
      <c r="E36" s="809"/>
      <c r="F36" s="803" t="s">
        <v>477</v>
      </c>
      <c r="G36" s="803"/>
      <c r="H36" s="232">
        <f>H26+H30+H34</f>
        <v>1.8703567728756892E-2</v>
      </c>
      <c r="I36" s="232"/>
      <c r="O36" s="232">
        <f>O26+O30+O34</f>
        <v>1.8703567728756892E-2</v>
      </c>
      <c r="P36" s="793"/>
      <c r="U36" s="801"/>
      <c r="W36" s="809"/>
      <c r="X36" s="809"/>
      <c r="Y36" s="809"/>
      <c r="Z36" s="803" t="s">
        <v>477</v>
      </c>
      <c r="AA36" s="803"/>
      <c r="AB36" s="232">
        <f>AB26+AB30+AB34</f>
        <v>1.5664448237734638E-2</v>
      </c>
      <c r="AC36" s="232"/>
      <c r="AI36" s="232">
        <f>AI26+AI30+AI34</f>
        <v>1.5664448237734638E-2</v>
      </c>
      <c r="AJ36" s="793"/>
      <c r="AM36" s="292"/>
      <c r="AN36" s="292"/>
      <c r="AO36" s="292"/>
      <c r="AQ36" s="791"/>
    </row>
    <row r="37" spans="1:43" hidden="1" outlineLevel="1">
      <c r="A37" s="823"/>
      <c r="B37" s="802"/>
      <c r="C37" s="802"/>
      <c r="D37" s="802"/>
      <c r="E37" s="802"/>
      <c r="F37" s="812"/>
      <c r="G37" s="812"/>
      <c r="H37" s="793"/>
      <c r="I37" s="793"/>
      <c r="O37" s="793"/>
      <c r="P37" s="793"/>
      <c r="Q37" s="793"/>
      <c r="R37" s="793"/>
      <c r="S37" s="801"/>
      <c r="T37" s="827"/>
      <c r="U37" s="801"/>
      <c r="V37" s="801"/>
      <c r="W37" s="802"/>
      <c r="X37" s="802"/>
      <c r="Y37" s="802"/>
      <c r="Z37" s="812"/>
      <c r="AA37" s="812"/>
      <c r="AB37" s="793"/>
      <c r="AC37" s="793"/>
      <c r="AI37" s="793"/>
      <c r="AJ37" s="793"/>
      <c r="AK37" s="793"/>
      <c r="AL37" s="801"/>
      <c r="AM37" s="292"/>
      <c r="AN37" s="292"/>
      <c r="AO37" s="292"/>
      <c r="AQ37" s="791"/>
    </row>
    <row r="38" spans="1:43" hidden="1" outlineLevel="1">
      <c r="A38" s="821"/>
      <c r="B38" s="793" t="s">
        <v>391</v>
      </c>
      <c r="C38" s="793"/>
      <c r="D38" s="793"/>
      <c r="E38" s="793"/>
      <c r="F38" s="812"/>
      <c r="G38" s="812"/>
      <c r="H38" s="793"/>
      <c r="I38" s="793"/>
      <c r="O38" s="793"/>
      <c r="P38" s="828"/>
      <c r="Q38" s="829"/>
      <c r="R38" s="829"/>
      <c r="U38" s="804"/>
      <c r="W38" s="793"/>
      <c r="X38" s="793"/>
      <c r="Y38" s="793"/>
      <c r="Z38" s="812"/>
      <c r="AA38" s="812"/>
      <c r="AB38" s="793"/>
      <c r="AC38" s="793"/>
      <c r="AI38" s="793"/>
      <c r="AJ38" s="828"/>
      <c r="AK38" s="829"/>
      <c r="AM38" s="292"/>
      <c r="AN38" s="292"/>
      <c r="AO38" s="292"/>
      <c r="AQ38" s="791"/>
    </row>
    <row r="39" spans="1:43" hidden="1" outlineLevel="1">
      <c r="A39" s="823" t="s">
        <v>392</v>
      </c>
      <c r="B39" s="793" t="s">
        <v>393</v>
      </c>
      <c r="C39" s="793"/>
      <c r="D39" s="793"/>
      <c r="E39" s="793"/>
      <c r="F39" s="812" t="s">
        <v>807</v>
      </c>
      <c r="G39" s="812"/>
      <c r="H39" s="813">
        <v>103944130.35958733</v>
      </c>
      <c r="I39" s="793"/>
      <c r="O39" s="793"/>
      <c r="P39" s="828"/>
      <c r="Q39" s="829"/>
      <c r="R39" s="829"/>
      <c r="U39" s="804"/>
      <c r="W39" s="793"/>
      <c r="X39" s="793"/>
      <c r="Y39" s="793"/>
      <c r="Z39" s="812" t="s">
        <v>807</v>
      </c>
      <c r="AA39" s="812"/>
      <c r="AB39" s="813">
        <v>103489195.10818884</v>
      </c>
      <c r="AC39" s="793"/>
      <c r="AI39" s="793"/>
      <c r="AJ39" s="828"/>
      <c r="AK39" s="829"/>
      <c r="AM39" s="292"/>
      <c r="AN39" s="292"/>
      <c r="AO39" s="292"/>
      <c r="AQ39" s="791"/>
    </row>
    <row r="40" spans="1:43" hidden="1" outlineLevel="1">
      <c r="A40" s="823" t="s">
        <v>395</v>
      </c>
      <c r="B40" s="793" t="s">
        <v>396</v>
      </c>
      <c r="C40" s="793"/>
      <c r="D40" s="793"/>
      <c r="E40" s="793"/>
      <c r="F40" s="812" t="s">
        <v>397</v>
      </c>
      <c r="G40" s="812"/>
      <c r="H40" s="818">
        <f>IF(H39=0,0,H39/H11)</f>
        <v>3.101104298865701E-2</v>
      </c>
      <c r="I40" s="818"/>
      <c r="O40" s="309">
        <f>H40</f>
        <v>3.101104298865701E-2</v>
      </c>
      <c r="P40" s="828"/>
      <c r="Q40" s="829"/>
      <c r="R40" s="829"/>
      <c r="S40" s="801"/>
      <c r="T40" s="801"/>
      <c r="U40" s="804"/>
      <c r="V40" s="801"/>
      <c r="W40" s="793"/>
      <c r="X40" s="793"/>
      <c r="Y40" s="793"/>
      <c r="Z40" s="812" t="s">
        <v>397</v>
      </c>
      <c r="AA40" s="812"/>
      <c r="AB40" s="818">
        <f>IF(AB39=0,0,AB39/AB11)</f>
        <v>3.0856614597765734E-2</v>
      </c>
      <c r="AC40" s="818"/>
      <c r="AI40" s="309">
        <f>AB40</f>
        <v>3.0856614597765734E-2</v>
      </c>
      <c r="AJ40" s="828"/>
      <c r="AK40" s="829"/>
      <c r="AL40" s="801"/>
      <c r="AM40" s="292"/>
      <c r="AN40" s="292"/>
      <c r="AO40" s="292"/>
      <c r="AQ40" s="791"/>
    </row>
    <row r="41" spans="1:43" hidden="1" outlineLevel="1">
      <c r="A41" s="823"/>
      <c r="B41" s="793"/>
      <c r="C41" s="793"/>
      <c r="D41" s="793"/>
      <c r="E41" s="793"/>
      <c r="F41" s="812"/>
      <c r="G41" s="812"/>
      <c r="H41" s="793"/>
      <c r="I41" s="793"/>
      <c r="O41" s="793"/>
      <c r="P41" s="793"/>
      <c r="S41" s="795"/>
      <c r="T41" s="801"/>
      <c r="U41" s="795"/>
      <c r="V41" s="795"/>
      <c r="W41" s="793"/>
      <c r="X41" s="793"/>
      <c r="Y41" s="793"/>
      <c r="Z41" s="812"/>
      <c r="AA41" s="812"/>
      <c r="AB41" s="793"/>
      <c r="AC41" s="793"/>
      <c r="AI41" s="793"/>
      <c r="AJ41" s="793"/>
      <c r="AL41" s="795"/>
      <c r="AM41" s="292"/>
      <c r="AN41" s="292"/>
      <c r="AO41" s="292"/>
      <c r="AQ41" s="791"/>
    </row>
    <row r="42" spans="1:43" hidden="1" outlineLevel="1">
      <c r="A42" s="823"/>
      <c r="B42" s="802" t="s">
        <v>126</v>
      </c>
      <c r="C42" s="802"/>
      <c r="D42" s="802"/>
      <c r="E42" s="802"/>
      <c r="F42" s="830"/>
      <c r="G42" s="830"/>
      <c r="P42" s="793"/>
      <c r="S42" s="801"/>
      <c r="T42" s="801"/>
      <c r="U42" s="801"/>
      <c r="V42" s="801"/>
      <c r="W42" s="802"/>
      <c r="X42" s="802"/>
      <c r="Y42" s="802"/>
      <c r="Z42" s="830"/>
      <c r="AA42" s="830"/>
      <c r="AJ42" s="793"/>
      <c r="AL42" s="801"/>
      <c r="AM42" s="292"/>
      <c r="AN42" s="292"/>
      <c r="AO42" s="292"/>
      <c r="AQ42" s="791"/>
    </row>
    <row r="43" spans="1:43" hidden="1" outlineLevel="1">
      <c r="A43" s="823" t="s">
        <v>398</v>
      </c>
      <c r="B43" s="802" t="s">
        <v>399</v>
      </c>
      <c r="C43" s="802"/>
      <c r="D43" s="802"/>
      <c r="E43" s="802"/>
      <c r="F43" s="812" t="s">
        <v>809</v>
      </c>
      <c r="G43" s="812"/>
      <c r="H43" s="813">
        <v>245728690.4079282</v>
      </c>
      <c r="I43" s="793"/>
      <c r="O43" s="793"/>
      <c r="P43" s="793"/>
      <c r="S43" s="801"/>
      <c r="T43" s="801"/>
      <c r="U43" s="801"/>
      <c r="V43" s="801"/>
      <c r="W43" s="802"/>
      <c r="X43" s="802"/>
      <c r="Y43" s="802"/>
      <c r="Z43" s="812" t="s">
        <v>809</v>
      </c>
      <c r="AA43" s="812"/>
      <c r="AB43" s="813">
        <v>246303484.88554946</v>
      </c>
      <c r="AC43" s="793"/>
      <c r="AI43" s="793"/>
      <c r="AJ43" s="793"/>
      <c r="AL43" s="801"/>
      <c r="AM43" s="292"/>
      <c r="AN43" s="292"/>
      <c r="AO43" s="292"/>
      <c r="AQ43" s="791"/>
    </row>
    <row r="44" spans="1:43" hidden="1" outlineLevel="1">
      <c r="A44" s="823" t="s">
        <v>401</v>
      </c>
      <c r="B44" s="793" t="s">
        <v>402</v>
      </c>
      <c r="C44" s="793"/>
      <c r="D44" s="793"/>
      <c r="E44" s="793"/>
      <c r="F44" s="812" t="s">
        <v>403</v>
      </c>
      <c r="G44" s="812"/>
      <c r="H44" s="236">
        <f>IF(H43=0,0,H43/H11)</f>
        <v>7.3311527600690429E-2</v>
      </c>
      <c r="I44" s="236"/>
      <c r="O44" s="309">
        <f>H44</f>
        <v>7.3311527600690429E-2</v>
      </c>
      <c r="P44" s="793"/>
      <c r="T44" s="831"/>
      <c r="U44" s="804"/>
      <c r="W44" s="793"/>
      <c r="X44" s="793"/>
      <c r="Y44" s="793"/>
      <c r="Z44" s="812" t="s">
        <v>403</v>
      </c>
      <c r="AA44" s="812"/>
      <c r="AB44" s="236">
        <f>IF(AB43=0,0,AB43/AB11)</f>
        <v>7.3438504369995244E-2</v>
      </c>
      <c r="AC44" s="236"/>
      <c r="AI44" s="309">
        <f>AB44</f>
        <v>7.3438504369995244E-2</v>
      </c>
      <c r="AJ44" s="793"/>
      <c r="AM44" s="292"/>
      <c r="AN44" s="292"/>
      <c r="AO44" s="292"/>
      <c r="AQ44" s="791"/>
    </row>
    <row r="45" spans="1:43" hidden="1" outlineLevel="1">
      <c r="A45" s="823"/>
      <c r="B45" s="802"/>
      <c r="C45" s="802"/>
      <c r="D45" s="802"/>
      <c r="E45" s="802"/>
      <c r="F45" s="812"/>
      <c r="G45" s="812"/>
      <c r="H45" s="793"/>
      <c r="I45" s="793"/>
      <c r="O45" s="793"/>
      <c r="P45" s="793"/>
      <c r="Q45" s="830"/>
      <c r="R45" s="830"/>
      <c r="S45" s="801"/>
      <c r="T45" s="801"/>
      <c r="U45" s="801"/>
      <c r="V45" s="801"/>
      <c r="W45" s="802"/>
      <c r="X45" s="802"/>
      <c r="Y45" s="802"/>
      <c r="Z45" s="812"/>
      <c r="AA45" s="812"/>
      <c r="AB45" s="793"/>
      <c r="AC45" s="793"/>
      <c r="AI45" s="793"/>
      <c r="AJ45" s="793"/>
      <c r="AK45" s="830"/>
      <c r="AL45" s="801"/>
      <c r="AM45" s="292"/>
      <c r="AN45" s="292"/>
      <c r="AO45" s="292"/>
      <c r="AQ45" s="791"/>
    </row>
    <row r="46" spans="1:43" ht="15.75" hidden="1" outlineLevel="1">
      <c r="A46" s="826" t="s">
        <v>404</v>
      </c>
      <c r="B46" s="809" t="s">
        <v>405</v>
      </c>
      <c r="C46" s="809"/>
      <c r="D46" s="809"/>
      <c r="E46" s="809"/>
      <c r="F46" s="803" t="s">
        <v>406</v>
      </c>
      <c r="G46" s="803"/>
      <c r="H46" s="832"/>
      <c r="I46" s="832"/>
      <c r="O46" s="232">
        <f>O40+O44</f>
        <v>0.10432257058934744</v>
      </c>
      <c r="P46" s="793"/>
      <c r="Q46" s="830"/>
      <c r="R46" s="830"/>
      <c r="S46" s="801"/>
      <c r="T46" s="801"/>
      <c r="U46" s="801"/>
      <c r="V46" s="801"/>
      <c r="W46" s="809"/>
      <c r="X46" s="809"/>
      <c r="Y46" s="809"/>
      <c r="Z46" s="803" t="s">
        <v>406</v>
      </c>
      <c r="AA46" s="803"/>
      <c r="AB46" s="832"/>
      <c r="AC46" s="832"/>
      <c r="AI46" s="232">
        <f>AI40+AI44</f>
        <v>0.10429511896776097</v>
      </c>
      <c r="AJ46" s="793"/>
      <c r="AK46" s="830"/>
      <c r="AL46" s="801"/>
      <c r="AM46" s="292"/>
      <c r="AN46" s="292"/>
      <c r="AO46" s="833"/>
      <c r="AQ46" s="791"/>
    </row>
    <row r="47" spans="1:43" collapsed="1">
      <c r="F47" s="802"/>
      <c r="G47" s="802"/>
      <c r="H47" s="802"/>
      <c r="I47" s="802"/>
      <c r="J47" s="802"/>
      <c r="K47" s="802"/>
      <c r="L47" s="802"/>
      <c r="M47" s="802"/>
      <c r="N47" s="802"/>
      <c r="O47" s="802"/>
      <c r="P47" s="802"/>
      <c r="Q47" s="802"/>
      <c r="R47" s="802"/>
      <c r="S47" s="801"/>
      <c r="T47" s="795"/>
      <c r="U47" s="801"/>
      <c r="V47" s="801"/>
      <c r="Z47" s="802"/>
      <c r="AA47" s="802"/>
      <c r="AB47" s="802"/>
      <c r="AC47" s="802"/>
      <c r="AD47" s="802"/>
      <c r="AE47" s="802"/>
      <c r="AF47" s="802"/>
      <c r="AG47" s="802"/>
      <c r="AH47" s="802"/>
      <c r="AI47" s="802"/>
      <c r="AJ47" s="802"/>
      <c r="AK47" s="802"/>
      <c r="AL47" s="801"/>
      <c r="AM47" s="292"/>
      <c r="AN47" s="292"/>
      <c r="AO47" s="292"/>
      <c r="AQ47" s="791"/>
    </row>
    <row r="48" spans="1:43" ht="18.75">
      <c r="A48" s="834" t="s">
        <v>811</v>
      </c>
      <c r="B48" s="834"/>
      <c r="C48" s="994" t="str">
        <f>A49&amp;" Projected Revenue Requirement Calculation"</f>
        <v>2014 Projected Revenue Requirement Calculation</v>
      </c>
      <c r="D48" s="994"/>
      <c r="E48" s="994"/>
      <c r="F48" s="994"/>
      <c r="G48" s="994"/>
      <c r="H48" s="994"/>
      <c r="I48" s="994"/>
      <c r="J48" s="994"/>
      <c r="K48" s="994"/>
      <c r="L48" s="994"/>
      <c r="M48" s="994"/>
      <c r="N48" s="994"/>
      <c r="O48" s="994"/>
      <c r="P48" s="994"/>
      <c r="Q48" s="994"/>
      <c r="R48" s="994"/>
      <c r="S48" s="801"/>
      <c r="T48" s="995" t="s">
        <v>812</v>
      </c>
      <c r="U48" s="995"/>
      <c r="V48" s="801"/>
      <c r="W48" s="994" t="str">
        <f>A49&amp;" Actual Revenue Requirement"</f>
        <v>2014 Actual Revenue Requirement</v>
      </c>
      <c r="X48" s="994"/>
      <c r="Y48" s="994"/>
      <c r="Z48" s="994"/>
      <c r="AA48" s="994"/>
      <c r="AB48" s="994"/>
      <c r="AC48" s="994"/>
      <c r="AD48" s="994"/>
      <c r="AE48" s="994"/>
      <c r="AF48" s="994"/>
      <c r="AG48" s="994"/>
      <c r="AH48" s="994"/>
      <c r="AI48" s="994"/>
      <c r="AJ48" s="994"/>
      <c r="AK48" s="994"/>
      <c r="AL48" s="801"/>
      <c r="AM48" s="995" t="str">
        <f>A49&amp;" Annual True-up Calculation"</f>
        <v>2014 Annual True-up Calculation</v>
      </c>
      <c r="AN48" s="995"/>
      <c r="AO48" s="995"/>
      <c r="AQ48" s="791"/>
    </row>
    <row r="49" spans="1:43">
      <c r="A49" s="677">
        <v>2014</v>
      </c>
      <c r="B49" s="835"/>
      <c r="C49" s="835"/>
      <c r="D49" s="835"/>
      <c r="E49" s="836">
        <f>+O21</f>
        <v>7.4323284353780439E-2</v>
      </c>
      <c r="F49" s="802"/>
      <c r="G49" s="836">
        <f>+O36</f>
        <v>1.8703567728756892E-2</v>
      </c>
      <c r="H49" s="292"/>
      <c r="I49" s="292"/>
      <c r="J49" s="265"/>
      <c r="K49" s="836">
        <f>+O46</f>
        <v>0.10432257058934744</v>
      </c>
      <c r="L49" s="265"/>
      <c r="M49" s="265"/>
      <c r="N49" s="265"/>
      <c r="O49" s="265"/>
      <c r="P49" s="793"/>
      <c r="Q49" s="793"/>
      <c r="R49" s="793"/>
      <c r="S49" s="801"/>
      <c r="T49" s="671">
        <v>8132724.4500000002</v>
      </c>
      <c r="U49" s="672" t="s">
        <v>813</v>
      </c>
      <c r="V49" s="801"/>
      <c r="W49" s="835"/>
      <c r="X49" s="835"/>
      <c r="Y49" s="836">
        <f>+AI21</f>
        <v>8.083664375048262E-2</v>
      </c>
      <c r="Z49" s="802"/>
      <c r="AA49" s="836">
        <f>+AI36</f>
        <v>1.5664448237734638E-2</v>
      </c>
      <c r="AB49" s="292"/>
      <c r="AC49" s="292"/>
      <c r="AD49" s="265"/>
      <c r="AE49" s="836">
        <f>+AI46</f>
        <v>0.10429511896776097</v>
      </c>
      <c r="AF49" s="265"/>
      <c r="AG49" s="265"/>
      <c r="AH49" s="265"/>
      <c r="AI49" s="265"/>
      <c r="AJ49" s="793"/>
      <c r="AK49" s="793"/>
      <c r="AL49" s="801"/>
      <c r="AM49" s="672"/>
      <c r="AN49" s="672"/>
      <c r="AO49" s="672"/>
      <c r="AQ49" s="791"/>
    </row>
    <row r="50" spans="1:43">
      <c r="A50" s="835"/>
      <c r="B50" s="835"/>
      <c r="C50" s="835"/>
      <c r="D50" s="835"/>
      <c r="E50" s="835"/>
      <c r="F50" s="835"/>
      <c r="G50" s="835"/>
      <c r="H50" s="835"/>
      <c r="I50" s="835"/>
      <c r="J50" s="835"/>
      <c r="K50" s="835"/>
      <c r="L50" s="835"/>
      <c r="M50" s="835"/>
      <c r="N50" s="835"/>
      <c r="O50" s="835"/>
      <c r="P50" s="835"/>
      <c r="Q50" s="835"/>
      <c r="R50" s="835"/>
      <c r="S50" s="801"/>
      <c r="T50" s="837">
        <f>+P76</f>
        <v>4385462.6491135545</v>
      </c>
      <c r="U50" s="672" t="s">
        <v>814</v>
      </c>
      <c r="V50" s="801"/>
      <c r="W50" s="835"/>
      <c r="X50" s="835"/>
      <c r="Y50" s="835"/>
      <c r="Z50" s="835"/>
      <c r="AA50" s="835"/>
      <c r="AB50" s="835"/>
      <c r="AC50" s="835"/>
      <c r="AD50" s="835"/>
      <c r="AE50" s="835"/>
      <c r="AF50" s="265"/>
      <c r="AG50" s="265"/>
      <c r="AH50" s="265"/>
      <c r="AI50" s="265"/>
      <c r="AJ50" s="793"/>
      <c r="AK50" s="793"/>
      <c r="AL50" s="801"/>
      <c r="AM50" s="672"/>
      <c r="AN50" s="676">
        <v>2.0881140933862274E-3</v>
      </c>
      <c r="AO50" s="292" t="s">
        <v>908</v>
      </c>
      <c r="AQ50" s="791"/>
    </row>
    <row r="51" spans="1:43">
      <c r="A51" s="835"/>
      <c r="B51" s="835"/>
      <c r="C51" s="835"/>
      <c r="D51" s="835"/>
      <c r="E51" s="835"/>
      <c r="F51" s="835"/>
      <c r="G51" s="835"/>
      <c r="H51" s="835"/>
      <c r="I51" s="835"/>
      <c r="J51" s="835"/>
      <c r="K51" s="835"/>
      <c r="L51" s="835"/>
      <c r="M51" s="835"/>
      <c r="N51" s="835"/>
      <c r="O51" s="835"/>
      <c r="P51" s="835"/>
      <c r="Q51" s="835"/>
      <c r="R51" s="835"/>
      <c r="S51" s="801"/>
      <c r="T51" s="682">
        <f>SUM(T49:T50)</f>
        <v>12518187.099113554</v>
      </c>
      <c r="U51" s="666"/>
      <c r="V51" s="801"/>
      <c r="W51" s="835"/>
      <c r="X51" s="835"/>
      <c r="Y51" s="835"/>
      <c r="Z51" s="835"/>
      <c r="AA51" s="835"/>
      <c r="AB51" s="835"/>
      <c r="AC51" s="835"/>
      <c r="AD51" s="835"/>
      <c r="AE51" s="835"/>
      <c r="AF51" s="265"/>
      <c r="AG51" s="265"/>
      <c r="AH51" s="265"/>
      <c r="AI51" s="265"/>
      <c r="AJ51" s="793"/>
      <c r="AK51" s="793"/>
      <c r="AL51" s="801"/>
      <c r="AM51" s="672"/>
      <c r="AN51" s="833">
        <f>(AM76*AN50/12)*24</f>
        <v>6204.1842737048282</v>
      </c>
      <c r="AO51" s="292" t="s">
        <v>909</v>
      </c>
      <c r="AQ51" s="791"/>
    </row>
    <row r="52" spans="1:43">
      <c r="A52" s="683" t="s">
        <v>182</v>
      </c>
      <c r="B52" s="838" t="s">
        <v>183</v>
      </c>
      <c r="C52" s="839" t="s">
        <v>818</v>
      </c>
      <c r="D52" s="839" t="s">
        <v>819</v>
      </c>
      <c r="E52" s="839" t="s">
        <v>820</v>
      </c>
      <c r="F52" s="839" t="s">
        <v>821</v>
      </c>
      <c r="G52" s="839" t="s">
        <v>822</v>
      </c>
      <c r="H52" s="839" t="s">
        <v>823</v>
      </c>
      <c r="I52" s="839" t="s">
        <v>824</v>
      </c>
      <c r="J52" s="839" t="s">
        <v>825</v>
      </c>
      <c r="K52" s="839" t="s">
        <v>910</v>
      </c>
      <c r="L52" s="839" t="s">
        <v>911</v>
      </c>
      <c r="M52" s="839" t="s">
        <v>912</v>
      </c>
      <c r="N52" s="839" t="s">
        <v>913</v>
      </c>
      <c r="O52" s="838" t="s">
        <v>184</v>
      </c>
      <c r="P52" s="838" t="s">
        <v>185</v>
      </c>
      <c r="Q52" s="838" t="s">
        <v>186</v>
      </c>
      <c r="R52" s="838" t="s">
        <v>188</v>
      </c>
      <c r="S52" s="801"/>
      <c r="T52" s="685" t="s">
        <v>189</v>
      </c>
      <c r="U52" s="686" t="s">
        <v>191</v>
      </c>
      <c r="V52" s="801"/>
      <c r="W52" s="840" t="s">
        <v>826</v>
      </c>
      <c r="X52" s="840" t="s">
        <v>827</v>
      </c>
      <c r="Y52" s="840" t="s">
        <v>828</v>
      </c>
      <c r="Z52" s="840" t="s">
        <v>829</v>
      </c>
      <c r="AA52" s="840" t="s">
        <v>830</v>
      </c>
      <c r="AB52" s="840" t="s">
        <v>831</v>
      </c>
      <c r="AC52" s="840" t="s">
        <v>832</v>
      </c>
      <c r="AD52" s="839" t="s">
        <v>833</v>
      </c>
      <c r="AE52" s="839" t="s">
        <v>914</v>
      </c>
      <c r="AF52" s="839" t="s">
        <v>915</v>
      </c>
      <c r="AG52" s="839" t="s">
        <v>916</v>
      </c>
      <c r="AH52" s="839" t="s">
        <v>917</v>
      </c>
      <c r="AI52" s="838" t="s">
        <v>192</v>
      </c>
      <c r="AJ52" s="838" t="s">
        <v>193</v>
      </c>
      <c r="AK52" s="838" t="s">
        <v>194</v>
      </c>
      <c r="AL52" s="801"/>
      <c r="AM52" s="685" t="s">
        <v>200</v>
      </c>
      <c r="AN52" s="685" t="s">
        <v>201</v>
      </c>
      <c r="AO52" s="685" t="s">
        <v>202</v>
      </c>
      <c r="AQ52" s="791"/>
    </row>
    <row r="53" spans="1:43" ht="75">
      <c r="A53" s="841" t="s">
        <v>412</v>
      </c>
      <c r="B53" s="841" t="s">
        <v>411</v>
      </c>
      <c r="C53" s="841" t="s">
        <v>918</v>
      </c>
      <c r="D53" s="841" t="s">
        <v>492</v>
      </c>
      <c r="E53" s="841" t="s">
        <v>493</v>
      </c>
      <c r="F53" s="842" t="s">
        <v>494</v>
      </c>
      <c r="G53" s="842" t="s">
        <v>495</v>
      </c>
      <c r="H53" s="843" t="s">
        <v>496</v>
      </c>
      <c r="I53" s="844" t="s">
        <v>414</v>
      </c>
      <c r="J53" s="842" t="s">
        <v>415</v>
      </c>
      <c r="K53" s="842" t="s">
        <v>405</v>
      </c>
      <c r="L53" s="844" t="s">
        <v>416</v>
      </c>
      <c r="M53" s="842" t="s">
        <v>417</v>
      </c>
      <c r="N53" s="842" t="s">
        <v>584</v>
      </c>
      <c r="O53" s="845" t="s">
        <v>419</v>
      </c>
      <c r="P53" s="846" t="s">
        <v>835</v>
      </c>
      <c r="Q53" s="845" t="s">
        <v>498</v>
      </c>
      <c r="R53" s="693" t="s">
        <v>836</v>
      </c>
      <c r="S53" s="847"/>
      <c r="T53" s="693" t="s">
        <v>837</v>
      </c>
      <c r="U53" s="693" t="s">
        <v>838</v>
      </c>
      <c r="V53" s="847"/>
      <c r="W53" s="841" t="s">
        <v>919</v>
      </c>
      <c r="X53" s="841" t="s">
        <v>492</v>
      </c>
      <c r="Y53" s="841" t="s">
        <v>493</v>
      </c>
      <c r="Z53" s="842" t="s">
        <v>494</v>
      </c>
      <c r="AA53" s="842" t="s">
        <v>495</v>
      </c>
      <c r="AB53" s="843" t="s">
        <v>496</v>
      </c>
      <c r="AC53" s="844" t="s">
        <v>414</v>
      </c>
      <c r="AD53" s="842" t="s">
        <v>415</v>
      </c>
      <c r="AE53" s="842" t="s">
        <v>405</v>
      </c>
      <c r="AF53" s="844" t="s">
        <v>416</v>
      </c>
      <c r="AG53" s="842" t="s">
        <v>417</v>
      </c>
      <c r="AH53" s="842" t="s">
        <v>584</v>
      </c>
      <c r="AI53" s="845" t="s">
        <v>419</v>
      </c>
      <c r="AJ53" s="846" t="s">
        <v>835</v>
      </c>
      <c r="AK53" s="845" t="s">
        <v>498</v>
      </c>
      <c r="AL53" s="847"/>
      <c r="AM53" s="693" t="s">
        <v>840</v>
      </c>
      <c r="AN53" s="693" t="s">
        <v>841</v>
      </c>
      <c r="AO53" s="693" t="str">
        <f>"Total "&amp;J49&amp;" True-up"</f>
        <v>Total  True-up</v>
      </c>
      <c r="AQ53" s="791"/>
    </row>
    <row r="54" spans="1:43">
      <c r="A54" s="848"/>
      <c r="B54" s="848"/>
      <c r="C54" s="849"/>
      <c r="D54" s="848"/>
      <c r="E54" s="848"/>
      <c r="F54" s="849"/>
      <c r="G54" s="850"/>
      <c r="H54" s="849"/>
      <c r="I54" s="851"/>
      <c r="J54" s="849"/>
      <c r="K54" s="850"/>
      <c r="L54" s="852"/>
      <c r="M54" s="850"/>
      <c r="N54" s="850"/>
      <c r="O54" s="852"/>
      <c r="P54" s="853"/>
      <c r="Q54" s="854"/>
      <c r="R54" s="854"/>
      <c r="S54" s="801"/>
      <c r="T54" s="703"/>
      <c r="U54" s="703"/>
      <c r="V54" s="801"/>
      <c r="W54" s="849"/>
      <c r="X54" s="848"/>
      <c r="Y54" s="848"/>
      <c r="Z54" s="849"/>
      <c r="AA54" s="850"/>
      <c r="AB54" s="849"/>
      <c r="AC54" s="851"/>
      <c r="AD54" s="849"/>
      <c r="AE54" s="850"/>
      <c r="AF54" s="852"/>
      <c r="AG54" s="850"/>
      <c r="AH54" s="850"/>
      <c r="AI54" s="852"/>
      <c r="AJ54" s="853"/>
      <c r="AK54" s="854"/>
      <c r="AL54" s="801"/>
      <c r="AM54" s="703"/>
      <c r="AN54" s="703"/>
      <c r="AO54" s="703"/>
      <c r="AQ54" s="791"/>
    </row>
    <row r="55" spans="1:43">
      <c r="A55" s="265"/>
      <c r="B55" s="265"/>
      <c r="C55" s="265"/>
      <c r="D55" s="265"/>
      <c r="E55" s="265"/>
      <c r="F55" s="265"/>
      <c r="G55" s="265"/>
      <c r="H55" s="265"/>
      <c r="I55" s="855"/>
      <c r="J55" s="265"/>
      <c r="K55" s="265"/>
      <c r="L55" s="855"/>
      <c r="M55" s="265"/>
      <c r="N55" s="265"/>
      <c r="O55" s="855"/>
      <c r="P55" s="793"/>
      <c r="Q55" s="856"/>
      <c r="R55" s="856"/>
      <c r="S55" s="801"/>
      <c r="T55" s="857"/>
      <c r="U55" s="858"/>
      <c r="V55" s="801"/>
      <c r="W55" s="265"/>
      <c r="X55" s="265"/>
      <c r="Y55" s="265"/>
      <c r="Z55" s="265"/>
      <c r="AA55" s="265"/>
      <c r="AB55" s="265"/>
      <c r="AC55" s="855"/>
      <c r="AD55" s="265"/>
      <c r="AE55" s="265"/>
      <c r="AF55" s="855"/>
      <c r="AG55" s="265"/>
      <c r="AH55" s="265"/>
      <c r="AI55" s="855"/>
      <c r="AJ55" s="793"/>
      <c r="AK55" s="856"/>
      <c r="AL55" s="801"/>
      <c r="AM55" s="859"/>
      <c r="AN55" s="859"/>
      <c r="AO55" s="859"/>
      <c r="AQ55" s="791"/>
    </row>
    <row r="56" spans="1:43">
      <c r="A56" s="860">
        <v>2844</v>
      </c>
      <c r="B56" s="861" t="s">
        <v>899</v>
      </c>
      <c r="C56" s="862">
        <v>31007424.870000001</v>
      </c>
      <c r="D56" s="862">
        <f t="shared" ref="D56:D74" si="0">+C56-J56</f>
        <v>664373.87342337891</v>
      </c>
      <c r="E56" s="236">
        <f>E49</f>
        <v>7.4323284353780439E-2</v>
      </c>
      <c r="F56" s="833">
        <f t="shared" ref="F56:F74" si="1">D56*E56</f>
        <v>49378.448311668326</v>
      </c>
      <c r="G56" s="236">
        <f>G49</f>
        <v>1.8703567728756892E-2</v>
      </c>
      <c r="H56" s="863">
        <f t="shared" ref="H56:H74" si="2">C56*G56</f>
        <v>579949.47115038591</v>
      </c>
      <c r="I56" s="714">
        <f t="shared" ref="I56:I74" si="3">F56+H56</f>
        <v>629327.91946205427</v>
      </c>
      <c r="J56" s="862">
        <v>30343050.996576622</v>
      </c>
      <c r="K56" s="236">
        <f>K49</f>
        <v>0.10432257058934744</v>
      </c>
      <c r="L56" s="714">
        <f t="shared" ref="L56:L74" si="4">J56*K56</f>
        <v>3165465.0794865335</v>
      </c>
      <c r="M56" s="862">
        <v>837689.14850595116</v>
      </c>
      <c r="N56" s="862">
        <v>0</v>
      </c>
      <c r="O56" s="714">
        <f t="shared" ref="O56:O74" si="5">I56+L56+M56+N56</f>
        <v>4632482.1474545393</v>
      </c>
      <c r="P56" s="862">
        <v>412048.65038589755</v>
      </c>
      <c r="Q56" s="714">
        <f t="shared" ref="Q56:Q74" si="6">O56+P56</f>
        <v>5044530.7978404369</v>
      </c>
      <c r="R56" s="864">
        <f>+Q56/$Q76</f>
        <v>0.37232774640914917</v>
      </c>
      <c r="S56" s="865"/>
      <c r="T56" s="866">
        <f>+R56*T51</f>
        <v>4660868.3917410336</v>
      </c>
      <c r="U56" s="864">
        <f>+T56/T76</f>
        <v>0.37232774640914917</v>
      </c>
      <c r="V56" s="865"/>
      <c r="W56" s="862">
        <v>33376630.756153844</v>
      </c>
      <c r="X56" s="862">
        <v>412466.11153845862</v>
      </c>
      <c r="Y56" s="236">
        <f>Y49</f>
        <v>8.083664375048262E-2</v>
      </c>
      <c r="Z56" s="833">
        <f t="shared" ref="Z56:Z74" si="7">X56*Y56</f>
        <v>33342.376117581211</v>
      </c>
      <c r="AA56" s="236">
        <f>AA49</f>
        <v>1.5664448237734638E-2</v>
      </c>
      <c r="AB56" s="863">
        <f t="shared" ref="AB56:AB74" si="8">W56*AA56</f>
        <v>522826.50482975383</v>
      </c>
      <c r="AC56" s="714">
        <f t="shared" ref="AC56:AC74" si="9">Z56+AB56</f>
        <v>556168.88094733504</v>
      </c>
      <c r="AD56" s="862">
        <v>32964164.644615386</v>
      </c>
      <c r="AE56" s="236">
        <f>AE49</f>
        <v>0.10429511896776097</v>
      </c>
      <c r="AF56" s="714">
        <f t="shared" ref="AF56:AF74" si="10">AD56*AE56</f>
        <v>3438001.4732830217</v>
      </c>
      <c r="AG56" s="862">
        <v>743344.22</v>
      </c>
      <c r="AH56" s="862">
        <v>0</v>
      </c>
      <c r="AI56" s="714">
        <f t="shared" ref="AI56:AI74" si="11">AC56+AF56+AG56+AH56</f>
        <v>4737514.5742303571</v>
      </c>
      <c r="AJ56" s="862">
        <f t="shared" ref="AJ56:AJ74" si="12">+P56</f>
        <v>412048.65038589755</v>
      </c>
      <c r="AK56" s="714">
        <f t="shared" ref="AK56:AK74" si="13">AI56+AJ56</f>
        <v>5149563.2246162547</v>
      </c>
      <c r="AL56" s="865"/>
      <c r="AM56" s="714">
        <f t="shared" ref="AM56:AM74" si="14">+AK56-T56</f>
        <v>488694.83287522104</v>
      </c>
      <c r="AN56" s="714">
        <f>(AM56/$AM76)*$AN51</f>
        <v>2040.9011357835523</v>
      </c>
      <c r="AO56" s="714">
        <f t="shared" ref="AO56:AO74" si="15">+AM56+AN56</f>
        <v>490735.73401100456</v>
      </c>
      <c r="AQ56" s="791"/>
    </row>
    <row r="57" spans="1:43">
      <c r="A57" s="860">
        <v>3127</v>
      </c>
      <c r="B57" s="861" t="s">
        <v>900</v>
      </c>
      <c r="C57" s="862">
        <v>6781.6730769230771</v>
      </c>
      <c r="D57" s="862">
        <f t="shared" si="0"/>
        <v>2.1625596346157181</v>
      </c>
      <c r="E57" s="236">
        <f t="shared" ref="E57:E74" si="16">+E56</f>
        <v>7.4323284353780439E-2</v>
      </c>
      <c r="F57" s="833">
        <f t="shared" si="1"/>
        <v>0.16072853465555154</v>
      </c>
      <c r="G57" s="236">
        <f t="shared" ref="G57:G74" si="17">+G56</f>
        <v>1.8703567728756892E-2</v>
      </c>
      <c r="H57" s="863">
        <f t="shared" si="2"/>
        <v>126.84148170851792</v>
      </c>
      <c r="I57" s="714">
        <f t="shared" si="3"/>
        <v>127.00221024317347</v>
      </c>
      <c r="J57" s="862">
        <v>6779.5105172884614</v>
      </c>
      <c r="K57" s="236">
        <f t="shared" ref="K57:K74" si="18">+K56</f>
        <v>0.10432257058934744</v>
      </c>
      <c r="L57" s="714">
        <f t="shared" si="4"/>
        <v>707.25596450104888</v>
      </c>
      <c r="M57" s="862">
        <v>28.113275249999994</v>
      </c>
      <c r="N57" s="862">
        <v>4529822.6251991661</v>
      </c>
      <c r="O57" s="714">
        <f t="shared" si="5"/>
        <v>4530684.99664916</v>
      </c>
      <c r="P57" s="862">
        <v>3973413.9987276574</v>
      </c>
      <c r="Q57" s="714">
        <f t="shared" si="6"/>
        <v>8504098.9953768179</v>
      </c>
      <c r="R57" s="864">
        <f>+Q57/$Q76</f>
        <v>0.62767225359085088</v>
      </c>
      <c r="S57" s="865"/>
      <c r="T57" s="866">
        <f>+R57*T51</f>
        <v>7857318.7073725201</v>
      </c>
      <c r="U57" s="864">
        <f>+T57/T76</f>
        <v>0.62767225359085088</v>
      </c>
      <c r="V57" s="865"/>
      <c r="W57" s="862">
        <v>0</v>
      </c>
      <c r="X57" s="862">
        <v>0</v>
      </c>
      <c r="Y57" s="236">
        <f t="shared" ref="Y57:Y74" si="19">+Y56</f>
        <v>8.083664375048262E-2</v>
      </c>
      <c r="Z57" s="833">
        <f t="shared" si="7"/>
        <v>0</v>
      </c>
      <c r="AA57" s="236">
        <f t="shared" ref="AA57:AA74" si="20">+AA56</f>
        <v>1.5664448237734638E-2</v>
      </c>
      <c r="AB57" s="863">
        <f t="shared" si="8"/>
        <v>0</v>
      </c>
      <c r="AC57" s="714">
        <f t="shared" si="9"/>
        <v>0</v>
      </c>
      <c r="AD57" s="862">
        <v>0</v>
      </c>
      <c r="AE57" s="236">
        <f t="shared" ref="AE57:AE74" si="21">+AE56</f>
        <v>0.10429511896776097</v>
      </c>
      <c r="AF57" s="714">
        <f t="shared" si="10"/>
        <v>0</v>
      </c>
      <c r="AG57" s="862">
        <v>0</v>
      </c>
      <c r="AH57" s="862">
        <v>4880805.01</v>
      </c>
      <c r="AI57" s="714">
        <f t="shared" si="11"/>
        <v>4880805.01</v>
      </c>
      <c r="AJ57" s="862">
        <f t="shared" si="12"/>
        <v>3973413.9987276574</v>
      </c>
      <c r="AK57" s="714">
        <f t="shared" si="13"/>
        <v>8854219.0087276567</v>
      </c>
      <c r="AL57" s="865"/>
      <c r="AM57" s="714">
        <f t="shared" si="14"/>
        <v>996900.30135513656</v>
      </c>
      <c r="AN57" s="714">
        <f>(AM57/$AM76)*$AN51</f>
        <v>4163.2831379212757</v>
      </c>
      <c r="AO57" s="714">
        <f t="shared" si="15"/>
        <v>1001063.5844930578</v>
      </c>
      <c r="AQ57" s="791"/>
    </row>
    <row r="58" spans="1:43">
      <c r="A58" s="867"/>
      <c r="B58" s="861"/>
      <c r="C58" s="862">
        <v>0</v>
      </c>
      <c r="D58" s="862">
        <f t="shared" si="0"/>
        <v>0</v>
      </c>
      <c r="E58" s="236">
        <f t="shared" si="16"/>
        <v>7.4323284353780439E-2</v>
      </c>
      <c r="F58" s="833">
        <f t="shared" si="1"/>
        <v>0</v>
      </c>
      <c r="G58" s="236">
        <f t="shared" si="17"/>
        <v>1.8703567728756892E-2</v>
      </c>
      <c r="H58" s="863">
        <f t="shared" si="2"/>
        <v>0</v>
      </c>
      <c r="I58" s="714">
        <f t="shared" si="3"/>
        <v>0</v>
      </c>
      <c r="J58" s="862">
        <v>0</v>
      </c>
      <c r="K58" s="236">
        <f t="shared" si="18"/>
        <v>0.10432257058934744</v>
      </c>
      <c r="L58" s="714">
        <f t="shared" si="4"/>
        <v>0</v>
      </c>
      <c r="M58" s="862">
        <v>0</v>
      </c>
      <c r="N58" s="862">
        <v>0</v>
      </c>
      <c r="O58" s="714">
        <f t="shared" si="5"/>
        <v>0</v>
      </c>
      <c r="P58" s="862">
        <v>0</v>
      </c>
      <c r="Q58" s="714">
        <f t="shared" si="6"/>
        <v>0</v>
      </c>
      <c r="R58" s="864">
        <f>+Q58/$Q76</f>
        <v>0</v>
      </c>
      <c r="S58" s="865"/>
      <c r="T58" s="866">
        <f>+R58*T51</f>
        <v>0</v>
      </c>
      <c r="U58" s="864">
        <f>+T58/T76</f>
        <v>0</v>
      </c>
      <c r="V58" s="865"/>
      <c r="W58" s="862">
        <v>0</v>
      </c>
      <c r="X58" s="862">
        <v>0</v>
      </c>
      <c r="Y58" s="236">
        <f t="shared" si="19"/>
        <v>8.083664375048262E-2</v>
      </c>
      <c r="Z58" s="833">
        <f t="shared" si="7"/>
        <v>0</v>
      </c>
      <c r="AA58" s="236">
        <f t="shared" si="20"/>
        <v>1.5664448237734638E-2</v>
      </c>
      <c r="AB58" s="863">
        <f t="shared" si="8"/>
        <v>0</v>
      </c>
      <c r="AC58" s="714">
        <f t="shared" si="9"/>
        <v>0</v>
      </c>
      <c r="AD58" s="862">
        <v>0</v>
      </c>
      <c r="AE58" s="236">
        <f t="shared" si="21"/>
        <v>0.10429511896776097</v>
      </c>
      <c r="AF58" s="714">
        <f t="shared" si="10"/>
        <v>0</v>
      </c>
      <c r="AG58" s="862">
        <v>0</v>
      </c>
      <c r="AH58" s="862">
        <v>0</v>
      </c>
      <c r="AI58" s="714">
        <f t="shared" si="11"/>
        <v>0</v>
      </c>
      <c r="AJ58" s="862">
        <f t="shared" si="12"/>
        <v>0</v>
      </c>
      <c r="AK58" s="714">
        <f t="shared" si="13"/>
        <v>0</v>
      </c>
      <c r="AL58" s="865"/>
      <c r="AM58" s="714">
        <f t="shared" si="14"/>
        <v>0</v>
      </c>
      <c r="AN58" s="714">
        <f>(AM58/$AM76)*$AN51</f>
        <v>0</v>
      </c>
      <c r="AO58" s="714">
        <f t="shared" si="15"/>
        <v>0</v>
      </c>
      <c r="AQ58" s="791"/>
    </row>
    <row r="59" spans="1:43">
      <c r="A59" s="867"/>
      <c r="B59" s="861"/>
      <c r="C59" s="862">
        <v>0</v>
      </c>
      <c r="D59" s="862">
        <f t="shared" si="0"/>
        <v>0</v>
      </c>
      <c r="E59" s="236">
        <f t="shared" si="16"/>
        <v>7.4323284353780439E-2</v>
      </c>
      <c r="F59" s="833">
        <f t="shared" si="1"/>
        <v>0</v>
      </c>
      <c r="G59" s="236">
        <f t="shared" si="17"/>
        <v>1.8703567728756892E-2</v>
      </c>
      <c r="H59" s="863">
        <f t="shared" si="2"/>
        <v>0</v>
      </c>
      <c r="I59" s="714">
        <f t="shared" si="3"/>
        <v>0</v>
      </c>
      <c r="J59" s="862">
        <v>0</v>
      </c>
      <c r="K59" s="236">
        <f t="shared" si="18"/>
        <v>0.10432257058934744</v>
      </c>
      <c r="L59" s="714">
        <f t="shared" si="4"/>
        <v>0</v>
      </c>
      <c r="M59" s="862">
        <v>0</v>
      </c>
      <c r="N59" s="862">
        <v>0</v>
      </c>
      <c r="O59" s="714">
        <f t="shared" si="5"/>
        <v>0</v>
      </c>
      <c r="P59" s="862">
        <v>0</v>
      </c>
      <c r="Q59" s="714">
        <f t="shared" si="6"/>
        <v>0</v>
      </c>
      <c r="R59" s="864">
        <f>+Q59/$Q76</f>
        <v>0</v>
      </c>
      <c r="S59" s="865"/>
      <c r="T59" s="866">
        <f>+R59*T51</f>
        <v>0</v>
      </c>
      <c r="U59" s="864">
        <f>+T59/T76</f>
        <v>0</v>
      </c>
      <c r="V59" s="865"/>
      <c r="W59" s="862">
        <v>0</v>
      </c>
      <c r="X59" s="862">
        <f t="shared" ref="X59:X74" si="22">+W59-AD59</f>
        <v>0</v>
      </c>
      <c r="Y59" s="236">
        <f t="shared" si="19"/>
        <v>8.083664375048262E-2</v>
      </c>
      <c r="Z59" s="833">
        <f t="shared" si="7"/>
        <v>0</v>
      </c>
      <c r="AA59" s="236">
        <f t="shared" si="20"/>
        <v>1.5664448237734638E-2</v>
      </c>
      <c r="AB59" s="863">
        <f t="shared" si="8"/>
        <v>0</v>
      </c>
      <c r="AC59" s="714">
        <f t="shared" si="9"/>
        <v>0</v>
      </c>
      <c r="AD59" s="862">
        <v>0</v>
      </c>
      <c r="AE59" s="236">
        <f t="shared" si="21"/>
        <v>0.10429511896776097</v>
      </c>
      <c r="AF59" s="714">
        <f t="shared" si="10"/>
        <v>0</v>
      </c>
      <c r="AG59" s="862">
        <v>0</v>
      </c>
      <c r="AH59" s="862">
        <v>0</v>
      </c>
      <c r="AI59" s="714">
        <f t="shared" si="11"/>
        <v>0</v>
      </c>
      <c r="AJ59" s="862">
        <f t="shared" si="12"/>
        <v>0</v>
      </c>
      <c r="AK59" s="714">
        <f t="shared" si="13"/>
        <v>0</v>
      </c>
      <c r="AL59" s="865"/>
      <c r="AM59" s="714">
        <f t="shared" si="14"/>
        <v>0</v>
      </c>
      <c r="AN59" s="714">
        <f>(AM59/$AM76)*$AN51</f>
        <v>0</v>
      </c>
      <c r="AO59" s="714">
        <f t="shared" si="15"/>
        <v>0</v>
      </c>
      <c r="AQ59" s="791"/>
    </row>
    <row r="60" spans="1:43">
      <c r="A60" s="867"/>
      <c r="B60" s="861"/>
      <c r="C60" s="862">
        <v>0</v>
      </c>
      <c r="D60" s="862">
        <f t="shared" si="0"/>
        <v>0</v>
      </c>
      <c r="E60" s="236">
        <f t="shared" si="16"/>
        <v>7.4323284353780439E-2</v>
      </c>
      <c r="F60" s="833">
        <f t="shared" si="1"/>
        <v>0</v>
      </c>
      <c r="G60" s="236">
        <f t="shared" si="17"/>
        <v>1.8703567728756892E-2</v>
      </c>
      <c r="H60" s="863">
        <f t="shared" si="2"/>
        <v>0</v>
      </c>
      <c r="I60" s="714">
        <f t="shared" si="3"/>
        <v>0</v>
      </c>
      <c r="J60" s="862">
        <v>0</v>
      </c>
      <c r="K60" s="236">
        <f t="shared" si="18"/>
        <v>0.10432257058934744</v>
      </c>
      <c r="L60" s="714">
        <f t="shared" si="4"/>
        <v>0</v>
      </c>
      <c r="M60" s="862">
        <v>0</v>
      </c>
      <c r="N60" s="862">
        <v>0</v>
      </c>
      <c r="O60" s="714">
        <f t="shared" si="5"/>
        <v>0</v>
      </c>
      <c r="P60" s="862">
        <v>0</v>
      </c>
      <c r="Q60" s="714">
        <f t="shared" si="6"/>
        <v>0</v>
      </c>
      <c r="R60" s="864">
        <f>+Q60/$Q76</f>
        <v>0</v>
      </c>
      <c r="S60" s="865"/>
      <c r="T60" s="866">
        <f>+R60*T51</f>
        <v>0</v>
      </c>
      <c r="U60" s="864">
        <f>+T60/T76</f>
        <v>0</v>
      </c>
      <c r="V60" s="865"/>
      <c r="W60" s="862">
        <v>0</v>
      </c>
      <c r="X60" s="862">
        <f t="shared" si="22"/>
        <v>0</v>
      </c>
      <c r="Y60" s="236">
        <f t="shared" si="19"/>
        <v>8.083664375048262E-2</v>
      </c>
      <c r="Z60" s="833">
        <f t="shared" si="7"/>
        <v>0</v>
      </c>
      <c r="AA60" s="236">
        <f t="shared" si="20"/>
        <v>1.5664448237734638E-2</v>
      </c>
      <c r="AB60" s="863">
        <f t="shared" si="8"/>
        <v>0</v>
      </c>
      <c r="AC60" s="714">
        <f t="shared" si="9"/>
        <v>0</v>
      </c>
      <c r="AD60" s="862">
        <v>0</v>
      </c>
      <c r="AE60" s="236">
        <f t="shared" si="21"/>
        <v>0.10429511896776097</v>
      </c>
      <c r="AF60" s="714">
        <f t="shared" si="10"/>
        <v>0</v>
      </c>
      <c r="AG60" s="862">
        <v>0</v>
      </c>
      <c r="AH60" s="862">
        <v>0</v>
      </c>
      <c r="AI60" s="714">
        <f t="shared" si="11"/>
        <v>0</v>
      </c>
      <c r="AJ60" s="862">
        <f t="shared" si="12"/>
        <v>0</v>
      </c>
      <c r="AK60" s="714">
        <f t="shared" si="13"/>
        <v>0</v>
      </c>
      <c r="AL60" s="865"/>
      <c r="AM60" s="714">
        <f t="shared" si="14"/>
        <v>0</v>
      </c>
      <c r="AN60" s="714">
        <f>(AM60/$AM76)*$AN51</f>
        <v>0</v>
      </c>
      <c r="AO60" s="714">
        <f t="shared" si="15"/>
        <v>0</v>
      </c>
      <c r="AQ60" s="791"/>
    </row>
    <row r="61" spans="1:43">
      <c r="A61" s="867"/>
      <c r="B61" s="861"/>
      <c r="C61" s="862">
        <v>0</v>
      </c>
      <c r="D61" s="862">
        <f t="shared" si="0"/>
        <v>0</v>
      </c>
      <c r="E61" s="236">
        <f t="shared" si="16"/>
        <v>7.4323284353780439E-2</v>
      </c>
      <c r="F61" s="833">
        <f t="shared" si="1"/>
        <v>0</v>
      </c>
      <c r="G61" s="236">
        <f t="shared" si="17"/>
        <v>1.8703567728756892E-2</v>
      </c>
      <c r="H61" s="863">
        <f t="shared" si="2"/>
        <v>0</v>
      </c>
      <c r="I61" s="714">
        <f t="shared" si="3"/>
        <v>0</v>
      </c>
      <c r="J61" s="862">
        <v>0</v>
      </c>
      <c r="K61" s="236">
        <f t="shared" si="18"/>
        <v>0.10432257058934744</v>
      </c>
      <c r="L61" s="714">
        <f t="shared" si="4"/>
        <v>0</v>
      </c>
      <c r="M61" s="862">
        <v>0</v>
      </c>
      <c r="N61" s="862">
        <v>0</v>
      </c>
      <c r="O61" s="714">
        <f t="shared" si="5"/>
        <v>0</v>
      </c>
      <c r="P61" s="862">
        <v>0</v>
      </c>
      <c r="Q61" s="714">
        <f t="shared" si="6"/>
        <v>0</v>
      </c>
      <c r="R61" s="864">
        <f>+Q61/$Q76</f>
        <v>0</v>
      </c>
      <c r="S61" s="865"/>
      <c r="T61" s="866">
        <f>+R61*T51</f>
        <v>0</v>
      </c>
      <c r="U61" s="864">
        <f>+T61/T76</f>
        <v>0</v>
      </c>
      <c r="V61" s="865"/>
      <c r="W61" s="862">
        <v>0</v>
      </c>
      <c r="X61" s="862">
        <f t="shared" si="22"/>
        <v>0</v>
      </c>
      <c r="Y61" s="236">
        <f t="shared" si="19"/>
        <v>8.083664375048262E-2</v>
      </c>
      <c r="Z61" s="833">
        <f t="shared" si="7"/>
        <v>0</v>
      </c>
      <c r="AA61" s="236">
        <f t="shared" si="20"/>
        <v>1.5664448237734638E-2</v>
      </c>
      <c r="AB61" s="863">
        <f t="shared" si="8"/>
        <v>0</v>
      </c>
      <c r="AC61" s="714">
        <f t="shared" si="9"/>
        <v>0</v>
      </c>
      <c r="AD61" s="862">
        <v>0</v>
      </c>
      <c r="AE61" s="236">
        <f t="shared" si="21"/>
        <v>0.10429511896776097</v>
      </c>
      <c r="AF61" s="714">
        <f t="shared" si="10"/>
        <v>0</v>
      </c>
      <c r="AG61" s="862">
        <v>0</v>
      </c>
      <c r="AH61" s="862">
        <v>0</v>
      </c>
      <c r="AI61" s="714">
        <f t="shared" si="11"/>
        <v>0</v>
      </c>
      <c r="AJ61" s="862">
        <f t="shared" si="12"/>
        <v>0</v>
      </c>
      <c r="AK61" s="714">
        <f t="shared" si="13"/>
        <v>0</v>
      </c>
      <c r="AL61" s="865"/>
      <c r="AM61" s="714">
        <f t="shared" si="14"/>
        <v>0</v>
      </c>
      <c r="AN61" s="714">
        <f>(AM61/$AM76)*$AN51</f>
        <v>0</v>
      </c>
      <c r="AO61" s="714">
        <f t="shared" si="15"/>
        <v>0</v>
      </c>
      <c r="AQ61" s="791"/>
    </row>
    <row r="62" spans="1:43">
      <c r="A62" s="867"/>
      <c r="B62" s="861"/>
      <c r="C62" s="862">
        <v>0</v>
      </c>
      <c r="D62" s="862">
        <f t="shared" si="0"/>
        <v>0</v>
      </c>
      <c r="E62" s="236">
        <f t="shared" si="16"/>
        <v>7.4323284353780439E-2</v>
      </c>
      <c r="F62" s="833">
        <f t="shared" si="1"/>
        <v>0</v>
      </c>
      <c r="G62" s="236">
        <f t="shared" si="17"/>
        <v>1.8703567728756892E-2</v>
      </c>
      <c r="H62" s="863">
        <f t="shared" si="2"/>
        <v>0</v>
      </c>
      <c r="I62" s="714">
        <f t="shared" si="3"/>
        <v>0</v>
      </c>
      <c r="J62" s="862">
        <v>0</v>
      </c>
      <c r="K62" s="236">
        <f t="shared" si="18"/>
        <v>0.10432257058934744</v>
      </c>
      <c r="L62" s="714">
        <f t="shared" si="4"/>
        <v>0</v>
      </c>
      <c r="M62" s="862">
        <v>0</v>
      </c>
      <c r="N62" s="862">
        <v>0</v>
      </c>
      <c r="O62" s="714">
        <f t="shared" si="5"/>
        <v>0</v>
      </c>
      <c r="P62" s="862">
        <v>0</v>
      </c>
      <c r="Q62" s="714">
        <f t="shared" si="6"/>
        <v>0</v>
      </c>
      <c r="R62" s="864">
        <f>+Q62/$Q76</f>
        <v>0</v>
      </c>
      <c r="S62" s="865"/>
      <c r="T62" s="866">
        <f>+R62*T51</f>
        <v>0</v>
      </c>
      <c r="U62" s="864">
        <f>+T62/T76</f>
        <v>0</v>
      </c>
      <c r="V62" s="865"/>
      <c r="W62" s="862">
        <v>0</v>
      </c>
      <c r="X62" s="862">
        <f t="shared" si="22"/>
        <v>0</v>
      </c>
      <c r="Y62" s="236">
        <f t="shared" si="19"/>
        <v>8.083664375048262E-2</v>
      </c>
      <c r="Z62" s="833">
        <f t="shared" si="7"/>
        <v>0</v>
      </c>
      <c r="AA62" s="236">
        <f t="shared" si="20"/>
        <v>1.5664448237734638E-2</v>
      </c>
      <c r="AB62" s="863">
        <f t="shared" si="8"/>
        <v>0</v>
      </c>
      <c r="AC62" s="714">
        <f t="shared" si="9"/>
        <v>0</v>
      </c>
      <c r="AD62" s="862">
        <v>0</v>
      </c>
      <c r="AE62" s="236">
        <f t="shared" si="21"/>
        <v>0.10429511896776097</v>
      </c>
      <c r="AF62" s="714">
        <f t="shared" si="10"/>
        <v>0</v>
      </c>
      <c r="AG62" s="862">
        <v>0</v>
      </c>
      <c r="AH62" s="862">
        <v>0</v>
      </c>
      <c r="AI62" s="714">
        <f t="shared" si="11"/>
        <v>0</v>
      </c>
      <c r="AJ62" s="862">
        <f t="shared" si="12"/>
        <v>0</v>
      </c>
      <c r="AK62" s="714">
        <f t="shared" si="13"/>
        <v>0</v>
      </c>
      <c r="AL62" s="865"/>
      <c r="AM62" s="714">
        <f t="shared" si="14"/>
        <v>0</v>
      </c>
      <c r="AN62" s="714">
        <f>(AM62/$AM76)*$AN51</f>
        <v>0</v>
      </c>
      <c r="AO62" s="714">
        <f t="shared" si="15"/>
        <v>0</v>
      </c>
      <c r="AQ62" s="791"/>
    </row>
    <row r="63" spans="1:43">
      <c r="A63" s="867"/>
      <c r="B63" s="861"/>
      <c r="C63" s="862">
        <v>0</v>
      </c>
      <c r="D63" s="862">
        <f t="shared" si="0"/>
        <v>0</v>
      </c>
      <c r="E63" s="236">
        <f t="shared" si="16"/>
        <v>7.4323284353780439E-2</v>
      </c>
      <c r="F63" s="833">
        <f t="shared" si="1"/>
        <v>0</v>
      </c>
      <c r="G63" s="236">
        <f t="shared" si="17"/>
        <v>1.8703567728756892E-2</v>
      </c>
      <c r="H63" s="863">
        <f t="shared" si="2"/>
        <v>0</v>
      </c>
      <c r="I63" s="714">
        <f t="shared" si="3"/>
        <v>0</v>
      </c>
      <c r="J63" s="862">
        <v>0</v>
      </c>
      <c r="K63" s="236">
        <f t="shared" si="18"/>
        <v>0.10432257058934744</v>
      </c>
      <c r="L63" s="714">
        <f t="shared" si="4"/>
        <v>0</v>
      </c>
      <c r="M63" s="862">
        <v>0</v>
      </c>
      <c r="N63" s="862">
        <v>0</v>
      </c>
      <c r="O63" s="714">
        <f t="shared" si="5"/>
        <v>0</v>
      </c>
      <c r="P63" s="862">
        <v>0</v>
      </c>
      <c r="Q63" s="714">
        <f t="shared" si="6"/>
        <v>0</v>
      </c>
      <c r="R63" s="864">
        <f>+Q63/$Q76</f>
        <v>0</v>
      </c>
      <c r="S63" s="865"/>
      <c r="T63" s="866">
        <f>+R63*T51</f>
        <v>0</v>
      </c>
      <c r="U63" s="864">
        <f>+T63/T76</f>
        <v>0</v>
      </c>
      <c r="V63" s="865"/>
      <c r="W63" s="862">
        <v>0</v>
      </c>
      <c r="X63" s="862">
        <f t="shared" si="22"/>
        <v>0</v>
      </c>
      <c r="Y63" s="236">
        <f t="shared" si="19"/>
        <v>8.083664375048262E-2</v>
      </c>
      <c r="Z63" s="833">
        <f t="shared" si="7"/>
        <v>0</v>
      </c>
      <c r="AA63" s="236">
        <f t="shared" si="20"/>
        <v>1.5664448237734638E-2</v>
      </c>
      <c r="AB63" s="863">
        <f t="shared" si="8"/>
        <v>0</v>
      </c>
      <c r="AC63" s="714">
        <f t="shared" si="9"/>
        <v>0</v>
      </c>
      <c r="AD63" s="862">
        <v>0</v>
      </c>
      <c r="AE63" s="236">
        <f t="shared" si="21"/>
        <v>0.10429511896776097</v>
      </c>
      <c r="AF63" s="714">
        <f t="shared" si="10"/>
        <v>0</v>
      </c>
      <c r="AG63" s="862">
        <v>0</v>
      </c>
      <c r="AH63" s="862">
        <v>0</v>
      </c>
      <c r="AI63" s="714">
        <f t="shared" si="11"/>
        <v>0</v>
      </c>
      <c r="AJ63" s="862">
        <f t="shared" si="12"/>
        <v>0</v>
      </c>
      <c r="AK63" s="714">
        <f t="shared" si="13"/>
        <v>0</v>
      </c>
      <c r="AL63" s="865"/>
      <c r="AM63" s="714">
        <f t="shared" si="14"/>
        <v>0</v>
      </c>
      <c r="AN63" s="714">
        <f>(AM63/$AM76)*$AN51</f>
        <v>0</v>
      </c>
      <c r="AO63" s="714">
        <f t="shared" si="15"/>
        <v>0</v>
      </c>
      <c r="AQ63" s="791"/>
    </row>
    <row r="64" spans="1:43">
      <c r="A64" s="867"/>
      <c r="B64" s="868"/>
      <c r="C64" s="862">
        <v>0</v>
      </c>
      <c r="D64" s="862">
        <f t="shared" si="0"/>
        <v>0</v>
      </c>
      <c r="E64" s="236">
        <f t="shared" si="16"/>
        <v>7.4323284353780439E-2</v>
      </c>
      <c r="F64" s="833">
        <f t="shared" si="1"/>
        <v>0</v>
      </c>
      <c r="G64" s="236">
        <f t="shared" si="17"/>
        <v>1.8703567728756892E-2</v>
      </c>
      <c r="H64" s="863">
        <f t="shared" si="2"/>
        <v>0</v>
      </c>
      <c r="I64" s="714">
        <f t="shared" si="3"/>
        <v>0</v>
      </c>
      <c r="J64" s="862">
        <v>0</v>
      </c>
      <c r="K64" s="236">
        <f t="shared" si="18"/>
        <v>0.10432257058934744</v>
      </c>
      <c r="L64" s="714">
        <f t="shared" si="4"/>
        <v>0</v>
      </c>
      <c r="M64" s="862">
        <v>0</v>
      </c>
      <c r="N64" s="862">
        <v>0</v>
      </c>
      <c r="O64" s="714">
        <f t="shared" si="5"/>
        <v>0</v>
      </c>
      <c r="P64" s="862">
        <v>0</v>
      </c>
      <c r="Q64" s="714">
        <f t="shared" si="6"/>
        <v>0</v>
      </c>
      <c r="R64" s="864">
        <f>+Q64/$Q76</f>
        <v>0</v>
      </c>
      <c r="S64" s="865"/>
      <c r="T64" s="866">
        <f>+R64*T51</f>
        <v>0</v>
      </c>
      <c r="U64" s="864">
        <f>+T64/T76</f>
        <v>0</v>
      </c>
      <c r="V64" s="865"/>
      <c r="W64" s="862">
        <v>0</v>
      </c>
      <c r="X64" s="862">
        <f t="shared" si="22"/>
        <v>0</v>
      </c>
      <c r="Y64" s="236">
        <f t="shared" si="19"/>
        <v>8.083664375048262E-2</v>
      </c>
      <c r="Z64" s="833">
        <f t="shared" si="7"/>
        <v>0</v>
      </c>
      <c r="AA64" s="236">
        <f t="shared" si="20"/>
        <v>1.5664448237734638E-2</v>
      </c>
      <c r="AB64" s="863">
        <f t="shared" si="8"/>
        <v>0</v>
      </c>
      <c r="AC64" s="714">
        <f t="shared" si="9"/>
        <v>0</v>
      </c>
      <c r="AD64" s="862">
        <v>0</v>
      </c>
      <c r="AE64" s="236">
        <f t="shared" si="21"/>
        <v>0.10429511896776097</v>
      </c>
      <c r="AF64" s="714">
        <f t="shared" si="10"/>
        <v>0</v>
      </c>
      <c r="AG64" s="862">
        <v>0</v>
      </c>
      <c r="AH64" s="862">
        <v>0</v>
      </c>
      <c r="AI64" s="714">
        <f t="shared" si="11"/>
        <v>0</v>
      </c>
      <c r="AJ64" s="862">
        <f t="shared" si="12"/>
        <v>0</v>
      </c>
      <c r="AK64" s="714">
        <f t="shared" si="13"/>
        <v>0</v>
      </c>
      <c r="AL64" s="865"/>
      <c r="AM64" s="714">
        <f t="shared" si="14"/>
        <v>0</v>
      </c>
      <c r="AN64" s="714">
        <f>(AM64/$AM76)*$AN51</f>
        <v>0</v>
      </c>
      <c r="AO64" s="714">
        <f t="shared" si="15"/>
        <v>0</v>
      </c>
      <c r="AQ64" s="791"/>
    </row>
    <row r="65" spans="1:43">
      <c r="A65" s="867"/>
      <c r="B65" s="868"/>
      <c r="C65" s="862">
        <v>0</v>
      </c>
      <c r="D65" s="862">
        <f t="shared" si="0"/>
        <v>0</v>
      </c>
      <c r="E65" s="236">
        <f t="shared" si="16"/>
        <v>7.4323284353780439E-2</v>
      </c>
      <c r="F65" s="833">
        <f t="shared" si="1"/>
        <v>0</v>
      </c>
      <c r="G65" s="236">
        <f t="shared" si="17"/>
        <v>1.8703567728756892E-2</v>
      </c>
      <c r="H65" s="863">
        <f t="shared" si="2"/>
        <v>0</v>
      </c>
      <c r="I65" s="714">
        <f t="shared" si="3"/>
        <v>0</v>
      </c>
      <c r="J65" s="862">
        <v>0</v>
      </c>
      <c r="K65" s="236">
        <f t="shared" si="18"/>
        <v>0.10432257058934744</v>
      </c>
      <c r="L65" s="714">
        <f t="shared" si="4"/>
        <v>0</v>
      </c>
      <c r="M65" s="862">
        <v>0</v>
      </c>
      <c r="N65" s="862">
        <v>0</v>
      </c>
      <c r="O65" s="714">
        <f t="shared" si="5"/>
        <v>0</v>
      </c>
      <c r="P65" s="862">
        <v>0</v>
      </c>
      <c r="Q65" s="714">
        <f t="shared" si="6"/>
        <v>0</v>
      </c>
      <c r="R65" s="864">
        <f>+Q65/$Q76</f>
        <v>0</v>
      </c>
      <c r="S65" s="865"/>
      <c r="T65" s="866">
        <f>+R65*T51</f>
        <v>0</v>
      </c>
      <c r="U65" s="864">
        <f>+T65/T76</f>
        <v>0</v>
      </c>
      <c r="V65" s="865"/>
      <c r="W65" s="862">
        <v>0</v>
      </c>
      <c r="X65" s="862">
        <f t="shared" si="22"/>
        <v>0</v>
      </c>
      <c r="Y65" s="236">
        <f t="shared" si="19"/>
        <v>8.083664375048262E-2</v>
      </c>
      <c r="Z65" s="833">
        <f t="shared" si="7"/>
        <v>0</v>
      </c>
      <c r="AA65" s="236">
        <f t="shared" si="20"/>
        <v>1.5664448237734638E-2</v>
      </c>
      <c r="AB65" s="863">
        <f t="shared" si="8"/>
        <v>0</v>
      </c>
      <c r="AC65" s="714">
        <f t="shared" si="9"/>
        <v>0</v>
      </c>
      <c r="AD65" s="862">
        <v>0</v>
      </c>
      <c r="AE65" s="236">
        <f t="shared" si="21"/>
        <v>0.10429511896776097</v>
      </c>
      <c r="AF65" s="714">
        <f t="shared" si="10"/>
        <v>0</v>
      </c>
      <c r="AG65" s="862">
        <v>0</v>
      </c>
      <c r="AH65" s="862">
        <v>0</v>
      </c>
      <c r="AI65" s="714">
        <f t="shared" si="11"/>
        <v>0</v>
      </c>
      <c r="AJ65" s="862">
        <f t="shared" si="12"/>
        <v>0</v>
      </c>
      <c r="AK65" s="714">
        <f t="shared" si="13"/>
        <v>0</v>
      </c>
      <c r="AL65" s="865"/>
      <c r="AM65" s="714">
        <f t="shared" si="14"/>
        <v>0</v>
      </c>
      <c r="AN65" s="714">
        <f>(AM65/$AM76)*$AN51</f>
        <v>0</v>
      </c>
      <c r="AO65" s="714">
        <f t="shared" si="15"/>
        <v>0</v>
      </c>
      <c r="AQ65" s="791"/>
    </row>
    <row r="66" spans="1:43">
      <c r="A66" s="867"/>
      <c r="B66" s="868"/>
      <c r="C66" s="862">
        <v>0</v>
      </c>
      <c r="D66" s="862">
        <f t="shared" si="0"/>
        <v>0</v>
      </c>
      <c r="E66" s="236">
        <f t="shared" si="16"/>
        <v>7.4323284353780439E-2</v>
      </c>
      <c r="F66" s="833">
        <f t="shared" si="1"/>
        <v>0</v>
      </c>
      <c r="G66" s="236">
        <f t="shared" si="17"/>
        <v>1.8703567728756892E-2</v>
      </c>
      <c r="H66" s="863">
        <f t="shared" si="2"/>
        <v>0</v>
      </c>
      <c r="I66" s="714">
        <f t="shared" si="3"/>
        <v>0</v>
      </c>
      <c r="J66" s="862">
        <v>0</v>
      </c>
      <c r="K66" s="236">
        <f t="shared" si="18"/>
        <v>0.10432257058934744</v>
      </c>
      <c r="L66" s="714">
        <f t="shared" si="4"/>
        <v>0</v>
      </c>
      <c r="M66" s="862">
        <v>0</v>
      </c>
      <c r="N66" s="862">
        <v>0</v>
      </c>
      <c r="O66" s="714">
        <f t="shared" si="5"/>
        <v>0</v>
      </c>
      <c r="P66" s="862">
        <v>0</v>
      </c>
      <c r="Q66" s="714">
        <f t="shared" si="6"/>
        <v>0</v>
      </c>
      <c r="R66" s="864">
        <f>+Q66/$Q76</f>
        <v>0</v>
      </c>
      <c r="S66" s="865"/>
      <c r="T66" s="866">
        <f>+R66*T51</f>
        <v>0</v>
      </c>
      <c r="U66" s="864">
        <f>+T66/T76</f>
        <v>0</v>
      </c>
      <c r="V66" s="865"/>
      <c r="W66" s="862">
        <v>0</v>
      </c>
      <c r="X66" s="862">
        <f t="shared" si="22"/>
        <v>0</v>
      </c>
      <c r="Y66" s="236">
        <f t="shared" si="19"/>
        <v>8.083664375048262E-2</v>
      </c>
      <c r="Z66" s="833">
        <f t="shared" si="7"/>
        <v>0</v>
      </c>
      <c r="AA66" s="236">
        <f t="shared" si="20"/>
        <v>1.5664448237734638E-2</v>
      </c>
      <c r="AB66" s="863">
        <f t="shared" si="8"/>
        <v>0</v>
      </c>
      <c r="AC66" s="714">
        <f t="shared" si="9"/>
        <v>0</v>
      </c>
      <c r="AD66" s="862">
        <v>0</v>
      </c>
      <c r="AE66" s="236">
        <f t="shared" si="21"/>
        <v>0.10429511896776097</v>
      </c>
      <c r="AF66" s="714">
        <f t="shared" si="10"/>
        <v>0</v>
      </c>
      <c r="AG66" s="862">
        <v>0</v>
      </c>
      <c r="AH66" s="862">
        <v>0</v>
      </c>
      <c r="AI66" s="714">
        <f t="shared" si="11"/>
        <v>0</v>
      </c>
      <c r="AJ66" s="862">
        <f t="shared" si="12"/>
        <v>0</v>
      </c>
      <c r="AK66" s="714">
        <f t="shared" si="13"/>
        <v>0</v>
      </c>
      <c r="AL66" s="865"/>
      <c r="AM66" s="714">
        <f t="shared" si="14"/>
        <v>0</v>
      </c>
      <c r="AN66" s="714">
        <f>(AM66/$AM76)*$AN51</f>
        <v>0</v>
      </c>
      <c r="AO66" s="714">
        <f t="shared" si="15"/>
        <v>0</v>
      </c>
      <c r="AQ66" s="791"/>
    </row>
    <row r="67" spans="1:43">
      <c r="A67" s="867"/>
      <c r="B67" s="868"/>
      <c r="C67" s="862">
        <v>0</v>
      </c>
      <c r="D67" s="862">
        <f t="shared" si="0"/>
        <v>0</v>
      </c>
      <c r="E67" s="236">
        <f t="shared" si="16"/>
        <v>7.4323284353780439E-2</v>
      </c>
      <c r="F67" s="833">
        <f t="shared" si="1"/>
        <v>0</v>
      </c>
      <c r="G67" s="236">
        <f t="shared" si="17"/>
        <v>1.8703567728756892E-2</v>
      </c>
      <c r="H67" s="863">
        <f t="shared" si="2"/>
        <v>0</v>
      </c>
      <c r="I67" s="714">
        <f t="shared" si="3"/>
        <v>0</v>
      </c>
      <c r="J67" s="862">
        <v>0</v>
      </c>
      <c r="K67" s="236">
        <f t="shared" si="18"/>
        <v>0.10432257058934744</v>
      </c>
      <c r="L67" s="714">
        <f t="shared" si="4"/>
        <v>0</v>
      </c>
      <c r="M67" s="862">
        <v>0</v>
      </c>
      <c r="N67" s="862">
        <v>0</v>
      </c>
      <c r="O67" s="714">
        <f t="shared" si="5"/>
        <v>0</v>
      </c>
      <c r="P67" s="862">
        <v>0</v>
      </c>
      <c r="Q67" s="714">
        <f t="shared" si="6"/>
        <v>0</v>
      </c>
      <c r="R67" s="864">
        <f>+Q67/$Q76</f>
        <v>0</v>
      </c>
      <c r="S67" s="865"/>
      <c r="T67" s="866">
        <f>+R67*T51</f>
        <v>0</v>
      </c>
      <c r="U67" s="864">
        <f>+T67/T76</f>
        <v>0</v>
      </c>
      <c r="V67" s="865"/>
      <c r="W67" s="862">
        <v>0</v>
      </c>
      <c r="X67" s="862">
        <f t="shared" si="22"/>
        <v>0</v>
      </c>
      <c r="Y67" s="236">
        <f t="shared" si="19"/>
        <v>8.083664375048262E-2</v>
      </c>
      <c r="Z67" s="833">
        <f t="shared" si="7"/>
        <v>0</v>
      </c>
      <c r="AA67" s="236">
        <f t="shared" si="20"/>
        <v>1.5664448237734638E-2</v>
      </c>
      <c r="AB67" s="863">
        <f t="shared" si="8"/>
        <v>0</v>
      </c>
      <c r="AC67" s="714">
        <f t="shared" si="9"/>
        <v>0</v>
      </c>
      <c r="AD67" s="862">
        <v>0</v>
      </c>
      <c r="AE67" s="236">
        <f t="shared" si="21"/>
        <v>0.10429511896776097</v>
      </c>
      <c r="AF67" s="714">
        <f t="shared" si="10"/>
        <v>0</v>
      </c>
      <c r="AG67" s="862">
        <v>0</v>
      </c>
      <c r="AH67" s="862">
        <v>0</v>
      </c>
      <c r="AI67" s="714">
        <f t="shared" si="11"/>
        <v>0</v>
      </c>
      <c r="AJ67" s="862">
        <f t="shared" si="12"/>
        <v>0</v>
      </c>
      <c r="AK67" s="714">
        <f t="shared" si="13"/>
        <v>0</v>
      </c>
      <c r="AL67" s="865"/>
      <c r="AM67" s="714">
        <f t="shared" si="14"/>
        <v>0</v>
      </c>
      <c r="AN67" s="714">
        <f>(AM67/$AM76)*$AN51</f>
        <v>0</v>
      </c>
      <c r="AO67" s="714">
        <f t="shared" si="15"/>
        <v>0</v>
      </c>
      <c r="AQ67" s="791"/>
    </row>
    <row r="68" spans="1:43">
      <c r="A68" s="867"/>
      <c r="B68" s="868"/>
      <c r="C68" s="862">
        <v>0</v>
      </c>
      <c r="D68" s="862">
        <f t="shared" si="0"/>
        <v>0</v>
      </c>
      <c r="E68" s="236">
        <f t="shared" si="16"/>
        <v>7.4323284353780439E-2</v>
      </c>
      <c r="F68" s="833">
        <f t="shared" si="1"/>
        <v>0</v>
      </c>
      <c r="G68" s="236">
        <f t="shared" si="17"/>
        <v>1.8703567728756892E-2</v>
      </c>
      <c r="H68" s="863">
        <f t="shared" si="2"/>
        <v>0</v>
      </c>
      <c r="I68" s="714">
        <f t="shared" si="3"/>
        <v>0</v>
      </c>
      <c r="J68" s="862">
        <v>0</v>
      </c>
      <c r="K68" s="236">
        <f t="shared" si="18"/>
        <v>0.10432257058934744</v>
      </c>
      <c r="L68" s="714">
        <f t="shared" si="4"/>
        <v>0</v>
      </c>
      <c r="M68" s="862">
        <v>0</v>
      </c>
      <c r="N68" s="862">
        <v>0</v>
      </c>
      <c r="O68" s="714">
        <f t="shared" si="5"/>
        <v>0</v>
      </c>
      <c r="P68" s="862">
        <v>0</v>
      </c>
      <c r="Q68" s="714">
        <f t="shared" si="6"/>
        <v>0</v>
      </c>
      <c r="R68" s="864">
        <f>+Q68/$Q76</f>
        <v>0</v>
      </c>
      <c r="S68" s="865"/>
      <c r="T68" s="866">
        <f>+R68*T51</f>
        <v>0</v>
      </c>
      <c r="U68" s="864">
        <f>+T68/T76</f>
        <v>0</v>
      </c>
      <c r="V68" s="865"/>
      <c r="W68" s="862">
        <v>0</v>
      </c>
      <c r="X68" s="862">
        <f t="shared" si="22"/>
        <v>0</v>
      </c>
      <c r="Y68" s="236">
        <f t="shared" si="19"/>
        <v>8.083664375048262E-2</v>
      </c>
      <c r="Z68" s="833">
        <f t="shared" si="7"/>
        <v>0</v>
      </c>
      <c r="AA68" s="236">
        <f t="shared" si="20"/>
        <v>1.5664448237734638E-2</v>
      </c>
      <c r="AB68" s="863">
        <f t="shared" si="8"/>
        <v>0</v>
      </c>
      <c r="AC68" s="714">
        <f t="shared" si="9"/>
        <v>0</v>
      </c>
      <c r="AD68" s="862">
        <v>0</v>
      </c>
      <c r="AE68" s="236">
        <f t="shared" si="21"/>
        <v>0.10429511896776097</v>
      </c>
      <c r="AF68" s="714">
        <f t="shared" si="10"/>
        <v>0</v>
      </c>
      <c r="AG68" s="862">
        <v>0</v>
      </c>
      <c r="AH68" s="862">
        <v>0</v>
      </c>
      <c r="AI68" s="714">
        <f t="shared" si="11"/>
        <v>0</v>
      </c>
      <c r="AJ68" s="862">
        <f t="shared" si="12"/>
        <v>0</v>
      </c>
      <c r="AK68" s="714">
        <f t="shared" si="13"/>
        <v>0</v>
      </c>
      <c r="AL68" s="865"/>
      <c r="AM68" s="714">
        <f t="shared" si="14"/>
        <v>0</v>
      </c>
      <c r="AN68" s="714">
        <f>(AM68/$AM76)*$AN51</f>
        <v>0</v>
      </c>
      <c r="AO68" s="714">
        <f t="shared" si="15"/>
        <v>0</v>
      </c>
      <c r="AQ68" s="791"/>
    </row>
    <row r="69" spans="1:43">
      <c r="A69" s="867"/>
      <c r="B69" s="868"/>
      <c r="C69" s="862">
        <v>0</v>
      </c>
      <c r="D69" s="862">
        <f t="shared" si="0"/>
        <v>0</v>
      </c>
      <c r="E69" s="236">
        <f t="shared" si="16"/>
        <v>7.4323284353780439E-2</v>
      </c>
      <c r="F69" s="833">
        <f t="shared" si="1"/>
        <v>0</v>
      </c>
      <c r="G69" s="236">
        <f t="shared" si="17"/>
        <v>1.8703567728756892E-2</v>
      </c>
      <c r="H69" s="863">
        <f t="shared" si="2"/>
        <v>0</v>
      </c>
      <c r="I69" s="714">
        <f t="shared" si="3"/>
        <v>0</v>
      </c>
      <c r="J69" s="862">
        <v>0</v>
      </c>
      <c r="K69" s="236">
        <f t="shared" si="18"/>
        <v>0.10432257058934744</v>
      </c>
      <c r="L69" s="714">
        <f t="shared" si="4"/>
        <v>0</v>
      </c>
      <c r="M69" s="862">
        <v>0</v>
      </c>
      <c r="N69" s="862">
        <v>0</v>
      </c>
      <c r="O69" s="714">
        <f t="shared" si="5"/>
        <v>0</v>
      </c>
      <c r="P69" s="862">
        <v>0</v>
      </c>
      <c r="Q69" s="714">
        <f t="shared" si="6"/>
        <v>0</v>
      </c>
      <c r="R69" s="864">
        <f>+Q69/$Q76</f>
        <v>0</v>
      </c>
      <c r="S69" s="865"/>
      <c r="T69" s="866">
        <f>+R69*T51</f>
        <v>0</v>
      </c>
      <c r="U69" s="864">
        <f>+T69/T76</f>
        <v>0</v>
      </c>
      <c r="V69" s="865"/>
      <c r="W69" s="862">
        <v>0</v>
      </c>
      <c r="X69" s="862">
        <f t="shared" si="22"/>
        <v>0</v>
      </c>
      <c r="Y69" s="236">
        <f t="shared" si="19"/>
        <v>8.083664375048262E-2</v>
      </c>
      <c r="Z69" s="833">
        <f t="shared" si="7"/>
        <v>0</v>
      </c>
      <c r="AA69" s="236">
        <f t="shared" si="20"/>
        <v>1.5664448237734638E-2</v>
      </c>
      <c r="AB69" s="863">
        <f t="shared" si="8"/>
        <v>0</v>
      </c>
      <c r="AC69" s="714">
        <f t="shared" si="9"/>
        <v>0</v>
      </c>
      <c r="AD69" s="862">
        <v>0</v>
      </c>
      <c r="AE69" s="236">
        <f t="shared" si="21"/>
        <v>0.10429511896776097</v>
      </c>
      <c r="AF69" s="714">
        <f t="shared" si="10"/>
        <v>0</v>
      </c>
      <c r="AG69" s="862">
        <v>0</v>
      </c>
      <c r="AH69" s="862">
        <v>0</v>
      </c>
      <c r="AI69" s="714">
        <f t="shared" si="11"/>
        <v>0</v>
      </c>
      <c r="AJ69" s="862">
        <f t="shared" si="12"/>
        <v>0</v>
      </c>
      <c r="AK69" s="714">
        <f t="shared" si="13"/>
        <v>0</v>
      </c>
      <c r="AL69" s="865"/>
      <c r="AM69" s="714">
        <f t="shared" si="14"/>
        <v>0</v>
      </c>
      <c r="AN69" s="714">
        <f>(AM69/$AM76)*$AN51</f>
        <v>0</v>
      </c>
      <c r="AO69" s="714">
        <f t="shared" si="15"/>
        <v>0</v>
      </c>
      <c r="AQ69" s="791"/>
    </row>
    <row r="70" spans="1:43">
      <c r="A70" s="867"/>
      <c r="B70" s="868"/>
      <c r="C70" s="862">
        <v>0</v>
      </c>
      <c r="D70" s="862">
        <f t="shared" si="0"/>
        <v>0</v>
      </c>
      <c r="E70" s="236">
        <f t="shared" si="16"/>
        <v>7.4323284353780439E-2</v>
      </c>
      <c r="F70" s="833">
        <f t="shared" si="1"/>
        <v>0</v>
      </c>
      <c r="G70" s="236">
        <f t="shared" si="17"/>
        <v>1.8703567728756892E-2</v>
      </c>
      <c r="H70" s="863">
        <f t="shared" si="2"/>
        <v>0</v>
      </c>
      <c r="I70" s="714">
        <f t="shared" si="3"/>
        <v>0</v>
      </c>
      <c r="J70" s="862">
        <v>0</v>
      </c>
      <c r="K70" s="236">
        <f t="shared" si="18"/>
        <v>0.10432257058934744</v>
      </c>
      <c r="L70" s="714">
        <f t="shared" si="4"/>
        <v>0</v>
      </c>
      <c r="M70" s="862">
        <v>0</v>
      </c>
      <c r="N70" s="862">
        <v>0</v>
      </c>
      <c r="O70" s="714">
        <f t="shared" si="5"/>
        <v>0</v>
      </c>
      <c r="P70" s="862">
        <v>0</v>
      </c>
      <c r="Q70" s="714">
        <f t="shared" si="6"/>
        <v>0</v>
      </c>
      <c r="R70" s="864">
        <f>+Q70/$Q76</f>
        <v>0</v>
      </c>
      <c r="S70" s="865"/>
      <c r="T70" s="866">
        <f>+R70*T51</f>
        <v>0</v>
      </c>
      <c r="U70" s="864">
        <f>+T70/T76</f>
        <v>0</v>
      </c>
      <c r="V70" s="865"/>
      <c r="W70" s="862">
        <v>0</v>
      </c>
      <c r="X70" s="862">
        <f t="shared" si="22"/>
        <v>0</v>
      </c>
      <c r="Y70" s="236">
        <f t="shared" si="19"/>
        <v>8.083664375048262E-2</v>
      </c>
      <c r="Z70" s="833">
        <f t="shared" si="7"/>
        <v>0</v>
      </c>
      <c r="AA70" s="236">
        <f t="shared" si="20"/>
        <v>1.5664448237734638E-2</v>
      </c>
      <c r="AB70" s="863">
        <f t="shared" si="8"/>
        <v>0</v>
      </c>
      <c r="AC70" s="714">
        <f t="shared" si="9"/>
        <v>0</v>
      </c>
      <c r="AD70" s="862">
        <v>0</v>
      </c>
      <c r="AE70" s="236">
        <f t="shared" si="21"/>
        <v>0.10429511896776097</v>
      </c>
      <c r="AF70" s="714">
        <f t="shared" si="10"/>
        <v>0</v>
      </c>
      <c r="AG70" s="862">
        <v>0</v>
      </c>
      <c r="AH70" s="862">
        <v>0</v>
      </c>
      <c r="AI70" s="714">
        <f t="shared" si="11"/>
        <v>0</v>
      </c>
      <c r="AJ70" s="862">
        <f t="shared" si="12"/>
        <v>0</v>
      </c>
      <c r="AK70" s="714">
        <f t="shared" si="13"/>
        <v>0</v>
      </c>
      <c r="AL70" s="865"/>
      <c r="AM70" s="714">
        <f t="shared" si="14"/>
        <v>0</v>
      </c>
      <c r="AN70" s="714">
        <f>(AM70/$AM76)*$AN51</f>
        <v>0</v>
      </c>
      <c r="AO70" s="714">
        <f t="shared" si="15"/>
        <v>0</v>
      </c>
      <c r="AQ70" s="791"/>
    </row>
    <row r="71" spans="1:43">
      <c r="A71" s="867"/>
      <c r="B71" s="868"/>
      <c r="C71" s="862">
        <v>0</v>
      </c>
      <c r="D71" s="862">
        <f t="shared" si="0"/>
        <v>0</v>
      </c>
      <c r="E71" s="236">
        <f t="shared" si="16"/>
        <v>7.4323284353780439E-2</v>
      </c>
      <c r="F71" s="833">
        <f t="shared" si="1"/>
        <v>0</v>
      </c>
      <c r="G71" s="236">
        <f t="shared" si="17"/>
        <v>1.8703567728756892E-2</v>
      </c>
      <c r="H71" s="863">
        <f t="shared" si="2"/>
        <v>0</v>
      </c>
      <c r="I71" s="714">
        <f t="shared" si="3"/>
        <v>0</v>
      </c>
      <c r="J71" s="862">
        <v>0</v>
      </c>
      <c r="K71" s="236">
        <f t="shared" si="18"/>
        <v>0.10432257058934744</v>
      </c>
      <c r="L71" s="714">
        <f t="shared" si="4"/>
        <v>0</v>
      </c>
      <c r="M71" s="862">
        <v>0</v>
      </c>
      <c r="N71" s="862">
        <v>0</v>
      </c>
      <c r="O71" s="714">
        <f t="shared" si="5"/>
        <v>0</v>
      </c>
      <c r="P71" s="862">
        <v>0</v>
      </c>
      <c r="Q71" s="714">
        <f t="shared" si="6"/>
        <v>0</v>
      </c>
      <c r="R71" s="864">
        <f>+Q71/$Q76</f>
        <v>0</v>
      </c>
      <c r="S71" s="865"/>
      <c r="T71" s="866">
        <f>+R71*T51</f>
        <v>0</v>
      </c>
      <c r="U71" s="864">
        <f>+T71/T76</f>
        <v>0</v>
      </c>
      <c r="V71" s="865"/>
      <c r="W71" s="862">
        <v>0</v>
      </c>
      <c r="X71" s="862">
        <f t="shared" si="22"/>
        <v>0</v>
      </c>
      <c r="Y71" s="236">
        <f t="shared" si="19"/>
        <v>8.083664375048262E-2</v>
      </c>
      <c r="Z71" s="833">
        <f t="shared" si="7"/>
        <v>0</v>
      </c>
      <c r="AA71" s="236">
        <f t="shared" si="20"/>
        <v>1.5664448237734638E-2</v>
      </c>
      <c r="AB71" s="863">
        <f t="shared" si="8"/>
        <v>0</v>
      </c>
      <c r="AC71" s="714">
        <f t="shared" si="9"/>
        <v>0</v>
      </c>
      <c r="AD71" s="862">
        <v>0</v>
      </c>
      <c r="AE71" s="236">
        <f t="shared" si="21"/>
        <v>0.10429511896776097</v>
      </c>
      <c r="AF71" s="714">
        <f t="shared" si="10"/>
        <v>0</v>
      </c>
      <c r="AG71" s="862">
        <v>0</v>
      </c>
      <c r="AH71" s="862">
        <v>0</v>
      </c>
      <c r="AI71" s="714">
        <f t="shared" si="11"/>
        <v>0</v>
      </c>
      <c r="AJ71" s="862">
        <f t="shared" si="12"/>
        <v>0</v>
      </c>
      <c r="AK71" s="714">
        <f t="shared" si="13"/>
        <v>0</v>
      </c>
      <c r="AL71" s="865"/>
      <c r="AM71" s="714">
        <f t="shared" si="14"/>
        <v>0</v>
      </c>
      <c r="AN71" s="714">
        <f>(AM71/$AM76)*$AN51</f>
        <v>0</v>
      </c>
      <c r="AO71" s="714">
        <f t="shared" si="15"/>
        <v>0</v>
      </c>
      <c r="AQ71" s="791"/>
    </row>
    <row r="72" spans="1:43">
      <c r="A72" s="867"/>
      <c r="B72" s="868"/>
      <c r="C72" s="862">
        <v>0</v>
      </c>
      <c r="D72" s="862">
        <f t="shared" si="0"/>
        <v>0</v>
      </c>
      <c r="E72" s="236">
        <f t="shared" si="16"/>
        <v>7.4323284353780439E-2</v>
      </c>
      <c r="F72" s="833">
        <f t="shared" si="1"/>
        <v>0</v>
      </c>
      <c r="G72" s="236">
        <f t="shared" si="17"/>
        <v>1.8703567728756892E-2</v>
      </c>
      <c r="H72" s="863">
        <f t="shared" si="2"/>
        <v>0</v>
      </c>
      <c r="I72" s="714">
        <f t="shared" si="3"/>
        <v>0</v>
      </c>
      <c r="J72" s="862">
        <v>0</v>
      </c>
      <c r="K72" s="236">
        <f t="shared" si="18"/>
        <v>0.10432257058934744</v>
      </c>
      <c r="L72" s="714">
        <f t="shared" si="4"/>
        <v>0</v>
      </c>
      <c r="M72" s="862">
        <v>0</v>
      </c>
      <c r="N72" s="862">
        <v>0</v>
      </c>
      <c r="O72" s="714">
        <f t="shared" si="5"/>
        <v>0</v>
      </c>
      <c r="P72" s="862">
        <v>0</v>
      </c>
      <c r="Q72" s="714">
        <f t="shared" si="6"/>
        <v>0</v>
      </c>
      <c r="R72" s="864">
        <f>+Q72/$Q76</f>
        <v>0</v>
      </c>
      <c r="S72" s="865"/>
      <c r="T72" s="866">
        <f>+R72*T51</f>
        <v>0</v>
      </c>
      <c r="U72" s="864">
        <f>+T72/T76</f>
        <v>0</v>
      </c>
      <c r="V72" s="865"/>
      <c r="W72" s="862">
        <v>0</v>
      </c>
      <c r="X72" s="862">
        <f t="shared" si="22"/>
        <v>0</v>
      </c>
      <c r="Y72" s="236">
        <f t="shared" si="19"/>
        <v>8.083664375048262E-2</v>
      </c>
      <c r="Z72" s="833">
        <f t="shared" si="7"/>
        <v>0</v>
      </c>
      <c r="AA72" s="236">
        <f t="shared" si="20"/>
        <v>1.5664448237734638E-2</v>
      </c>
      <c r="AB72" s="863">
        <f t="shared" si="8"/>
        <v>0</v>
      </c>
      <c r="AC72" s="714">
        <f t="shared" si="9"/>
        <v>0</v>
      </c>
      <c r="AD72" s="862">
        <v>0</v>
      </c>
      <c r="AE72" s="236">
        <f t="shared" si="21"/>
        <v>0.10429511896776097</v>
      </c>
      <c r="AF72" s="714">
        <f t="shared" si="10"/>
        <v>0</v>
      </c>
      <c r="AG72" s="862">
        <v>0</v>
      </c>
      <c r="AH72" s="862">
        <v>0</v>
      </c>
      <c r="AI72" s="714">
        <f t="shared" si="11"/>
        <v>0</v>
      </c>
      <c r="AJ72" s="862">
        <f t="shared" si="12"/>
        <v>0</v>
      </c>
      <c r="AK72" s="714">
        <f t="shared" si="13"/>
        <v>0</v>
      </c>
      <c r="AL72" s="865"/>
      <c r="AM72" s="714">
        <f t="shared" si="14"/>
        <v>0</v>
      </c>
      <c r="AN72" s="714">
        <f>(AM72/$AM76)*$AN51</f>
        <v>0</v>
      </c>
      <c r="AO72" s="714">
        <f t="shared" si="15"/>
        <v>0</v>
      </c>
      <c r="AQ72" s="791"/>
    </row>
    <row r="73" spans="1:43">
      <c r="A73" s="867"/>
      <c r="B73" s="868"/>
      <c r="C73" s="862">
        <v>0</v>
      </c>
      <c r="D73" s="862">
        <f t="shared" si="0"/>
        <v>0</v>
      </c>
      <c r="E73" s="236">
        <f t="shared" si="16"/>
        <v>7.4323284353780439E-2</v>
      </c>
      <c r="F73" s="833">
        <f t="shared" si="1"/>
        <v>0</v>
      </c>
      <c r="G73" s="236">
        <f t="shared" si="17"/>
        <v>1.8703567728756892E-2</v>
      </c>
      <c r="H73" s="863">
        <f t="shared" si="2"/>
        <v>0</v>
      </c>
      <c r="I73" s="714">
        <f t="shared" si="3"/>
        <v>0</v>
      </c>
      <c r="J73" s="862">
        <v>0</v>
      </c>
      <c r="K73" s="236">
        <f t="shared" si="18"/>
        <v>0.10432257058934744</v>
      </c>
      <c r="L73" s="714">
        <f t="shared" si="4"/>
        <v>0</v>
      </c>
      <c r="M73" s="862">
        <v>0</v>
      </c>
      <c r="N73" s="862">
        <v>0</v>
      </c>
      <c r="O73" s="714">
        <f t="shared" si="5"/>
        <v>0</v>
      </c>
      <c r="P73" s="862">
        <v>0</v>
      </c>
      <c r="Q73" s="714">
        <f t="shared" si="6"/>
        <v>0</v>
      </c>
      <c r="R73" s="864">
        <f>+Q73/$Q76</f>
        <v>0</v>
      </c>
      <c r="S73" s="865"/>
      <c r="T73" s="866">
        <f>+R73*T51</f>
        <v>0</v>
      </c>
      <c r="U73" s="864">
        <f>+T73/T76</f>
        <v>0</v>
      </c>
      <c r="V73" s="865"/>
      <c r="W73" s="862">
        <v>0</v>
      </c>
      <c r="X73" s="862">
        <f t="shared" si="22"/>
        <v>0</v>
      </c>
      <c r="Y73" s="236">
        <f t="shared" si="19"/>
        <v>8.083664375048262E-2</v>
      </c>
      <c r="Z73" s="833">
        <f t="shared" si="7"/>
        <v>0</v>
      </c>
      <c r="AA73" s="236">
        <f t="shared" si="20"/>
        <v>1.5664448237734638E-2</v>
      </c>
      <c r="AB73" s="863">
        <f t="shared" si="8"/>
        <v>0</v>
      </c>
      <c r="AC73" s="714">
        <f t="shared" si="9"/>
        <v>0</v>
      </c>
      <c r="AD73" s="862">
        <v>0</v>
      </c>
      <c r="AE73" s="236">
        <f t="shared" si="21"/>
        <v>0.10429511896776097</v>
      </c>
      <c r="AF73" s="714">
        <f t="shared" si="10"/>
        <v>0</v>
      </c>
      <c r="AG73" s="862">
        <v>0</v>
      </c>
      <c r="AH73" s="862">
        <v>0</v>
      </c>
      <c r="AI73" s="714">
        <f t="shared" si="11"/>
        <v>0</v>
      </c>
      <c r="AJ73" s="862">
        <f t="shared" si="12"/>
        <v>0</v>
      </c>
      <c r="AK73" s="714">
        <f t="shared" si="13"/>
        <v>0</v>
      </c>
      <c r="AL73" s="865"/>
      <c r="AM73" s="714">
        <f t="shared" si="14"/>
        <v>0</v>
      </c>
      <c r="AN73" s="714">
        <f>(AM73/$AM76)*$AN51</f>
        <v>0</v>
      </c>
      <c r="AO73" s="714">
        <f t="shared" si="15"/>
        <v>0</v>
      </c>
      <c r="AQ73" s="791"/>
    </row>
    <row r="74" spans="1:43">
      <c r="A74" s="867"/>
      <c r="B74" s="868"/>
      <c r="C74" s="862">
        <v>0</v>
      </c>
      <c r="D74" s="862">
        <f t="shared" si="0"/>
        <v>0</v>
      </c>
      <c r="E74" s="236">
        <f t="shared" si="16"/>
        <v>7.4323284353780439E-2</v>
      </c>
      <c r="F74" s="833">
        <f t="shared" si="1"/>
        <v>0</v>
      </c>
      <c r="G74" s="236">
        <f t="shared" si="17"/>
        <v>1.8703567728756892E-2</v>
      </c>
      <c r="H74" s="863">
        <f t="shared" si="2"/>
        <v>0</v>
      </c>
      <c r="I74" s="714">
        <f t="shared" si="3"/>
        <v>0</v>
      </c>
      <c r="J74" s="862">
        <v>0</v>
      </c>
      <c r="K74" s="236">
        <f t="shared" si="18"/>
        <v>0.10432257058934744</v>
      </c>
      <c r="L74" s="714">
        <f t="shared" si="4"/>
        <v>0</v>
      </c>
      <c r="M74" s="862">
        <v>0</v>
      </c>
      <c r="N74" s="862">
        <v>0</v>
      </c>
      <c r="O74" s="714">
        <f t="shared" si="5"/>
        <v>0</v>
      </c>
      <c r="P74" s="862">
        <v>0</v>
      </c>
      <c r="Q74" s="714">
        <f t="shared" si="6"/>
        <v>0</v>
      </c>
      <c r="R74" s="864">
        <f>+Q74/$Q76</f>
        <v>0</v>
      </c>
      <c r="S74" s="865"/>
      <c r="T74" s="866">
        <f>+R74*T51</f>
        <v>0</v>
      </c>
      <c r="U74" s="864">
        <f>+T74/T76</f>
        <v>0</v>
      </c>
      <c r="V74" s="865"/>
      <c r="W74" s="862">
        <v>0</v>
      </c>
      <c r="X74" s="862">
        <f t="shared" si="22"/>
        <v>0</v>
      </c>
      <c r="Y74" s="236">
        <f t="shared" si="19"/>
        <v>8.083664375048262E-2</v>
      </c>
      <c r="Z74" s="833">
        <f t="shared" si="7"/>
        <v>0</v>
      </c>
      <c r="AA74" s="236">
        <f t="shared" si="20"/>
        <v>1.5664448237734638E-2</v>
      </c>
      <c r="AB74" s="863">
        <f t="shared" si="8"/>
        <v>0</v>
      </c>
      <c r="AC74" s="714">
        <f t="shared" si="9"/>
        <v>0</v>
      </c>
      <c r="AD74" s="862">
        <v>0</v>
      </c>
      <c r="AE74" s="236">
        <f t="shared" si="21"/>
        <v>0.10429511896776097</v>
      </c>
      <c r="AF74" s="714">
        <f t="shared" si="10"/>
        <v>0</v>
      </c>
      <c r="AG74" s="862">
        <v>0</v>
      </c>
      <c r="AH74" s="862">
        <v>0</v>
      </c>
      <c r="AI74" s="714">
        <f t="shared" si="11"/>
        <v>0</v>
      </c>
      <c r="AJ74" s="862">
        <f t="shared" si="12"/>
        <v>0</v>
      </c>
      <c r="AK74" s="714">
        <f t="shared" si="13"/>
        <v>0</v>
      </c>
      <c r="AL74" s="865"/>
      <c r="AM74" s="714">
        <f t="shared" si="14"/>
        <v>0</v>
      </c>
      <c r="AN74" s="714">
        <f>(AM74/$AM76)*$AN51</f>
        <v>0</v>
      </c>
      <c r="AO74" s="714">
        <f t="shared" si="15"/>
        <v>0</v>
      </c>
      <c r="AQ74" s="791"/>
    </row>
    <row r="75" spans="1:43">
      <c r="A75" s="292"/>
      <c r="B75" s="865"/>
      <c r="C75" s="292"/>
      <c r="D75" s="292"/>
      <c r="E75" s="236"/>
      <c r="F75" s="292"/>
      <c r="G75" s="236"/>
      <c r="H75" s="865"/>
      <c r="I75" s="869"/>
      <c r="J75" s="292"/>
      <c r="K75" s="236"/>
      <c r="L75" s="870"/>
      <c r="M75" s="292"/>
      <c r="N75" s="292"/>
      <c r="O75" s="870"/>
      <c r="P75" s="292"/>
      <c r="Q75" s="869"/>
      <c r="R75" s="871"/>
      <c r="S75" s="865"/>
      <c r="T75" s="714"/>
      <c r="U75" s="869"/>
      <c r="V75" s="865"/>
      <c r="W75" s="292"/>
      <c r="X75" s="292"/>
      <c r="Y75" s="236"/>
      <c r="Z75" s="292"/>
      <c r="AA75" s="236"/>
      <c r="AB75" s="865"/>
      <c r="AC75" s="869"/>
      <c r="AD75" s="292"/>
      <c r="AE75" s="236"/>
      <c r="AF75" s="870"/>
      <c r="AG75" s="292"/>
      <c r="AH75" s="292"/>
      <c r="AI75" s="870"/>
      <c r="AJ75" s="292"/>
      <c r="AK75" s="869"/>
      <c r="AL75" s="865"/>
      <c r="AM75" s="714"/>
      <c r="AN75" s="714"/>
      <c r="AO75" s="714"/>
      <c r="AQ75" s="791"/>
    </row>
    <row r="76" spans="1:43">
      <c r="A76" s="872"/>
      <c r="B76" s="872" t="s">
        <v>530</v>
      </c>
      <c r="C76" s="873">
        <f>SUM(C56:C75)</f>
        <v>31014206.543076925</v>
      </c>
      <c r="D76" s="873">
        <f>SUM(D56:D75)</f>
        <v>664376.03598301357</v>
      </c>
      <c r="E76" s="873"/>
      <c r="F76" s="873">
        <f>SUM(F56:F75)</f>
        <v>49378.60904020298</v>
      </c>
      <c r="G76" s="873"/>
      <c r="H76" s="873">
        <f>SUM(H56:H75)</f>
        <v>580076.31263209449</v>
      </c>
      <c r="I76" s="873">
        <f>SUM(I56:I75)</f>
        <v>629454.92167229741</v>
      </c>
      <c r="J76" s="873">
        <f>SUM(J56:J75)</f>
        <v>30349830.50709391</v>
      </c>
      <c r="K76" s="873"/>
      <c r="L76" s="873">
        <f t="shared" ref="L76:R76" si="23">SUM(L56:L75)</f>
        <v>3166172.3354510344</v>
      </c>
      <c r="M76" s="873">
        <f t="shared" si="23"/>
        <v>837717.26178120112</v>
      </c>
      <c r="N76" s="873">
        <f t="shared" si="23"/>
        <v>4529822.6251991661</v>
      </c>
      <c r="O76" s="873">
        <f t="shared" si="23"/>
        <v>9163167.1441036984</v>
      </c>
      <c r="P76" s="873">
        <f t="shared" si="23"/>
        <v>4385462.6491135545</v>
      </c>
      <c r="Q76" s="873">
        <f t="shared" si="23"/>
        <v>13548629.793217255</v>
      </c>
      <c r="R76" s="874">
        <f t="shared" si="23"/>
        <v>1</v>
      </c>
      <c r="S76" s="865"/>
      <c r="T76" s="873">
        <f>SUM(T56:T75)</f>
        <v>12518187.099113554</v>
      </c>
      <c r="U76" s="874">
        <f>SUM(U56:U75)</f>
        <v>1</v>
      </c>
      <c r="V76" s="865"/>
      <c r="W76" s="873">
        <f>SUM(W56:W75)</f>
        <v>33376630.756153844</v>
      </c>
      <c r="X76" s="873">
        <f>SUM(X56:X75)</f>
        <v>412466.11153845862</v>
      </c>
      <c r="Y76" s="873"/>
      <c r="Z76" s="873">
        <f>SUM(Z56:Z75)</f>
        <v>33342.376117581211</v>
      </c>
      <c r="AA76" s="873"/>
      <c r="AB76" s="873">
        <f>SUM(AB56:AB75)</f>
        <v>522826.50482975383</v>
      </c>
      <c r="AC76" s="873">
        <f>SUM(AC56:AC75)</f>
        <v>556168.88094733504</v>
      </c>
      <c r="AD76" s="873">
        <f>SUM(AD56:AD75)</f>
        <v>32964164.644615386</v>
      </c>
      <c r="AE76" s="873"/>
      <c r="AF76" s="873">
        <f t="shared" ref="AF76:AK76" si="24">SUM(AF56:AF75)</f>
        <v>3438001.4732830217</v>
      </c>
      <c r="AG76" s="873">
        <f t="shared" si="24"/>
        <v>743344.22</v>
      </c>
      <c r="AH76" s="873">
        <f t="shared" si="24"/>
        <v>4880805.01</v>
      </c>
      <c r="AI76" s="873">
        <f t="shared" si="24"/>
        <v>9618319.5842303559</v>
      </c>
      <c r="AJ76" s="873">
        <f t="shared" si="24"/>
        <v>4385462.6491135545</v>
      </c>
      <c r="AK76" s="873">
        <f t="shared" si="24"/>
        <v>14003782.23334391</v>
      </c>
      <c r="AL76" s="865"/>
      <c r="AM76" s="873">
        <f>SUM(AM56:AM75)</f>
        <v>1485595.1342303576</v>
      </c>
      <c r="AN76" s="873">
        <f>SUM(AN56:AN75)</f>
        <v>6204.1842737048282</v>
      </c>
      <c r="AO76" s="873">
        <f>SUM(AO56:AO75)</f>
        <v>1491799.3185040625</v>
      </c>
      <c r="AQ76" s="875">
        <v>0</v>
      </c>
    </row>
    <row r="77" spans="1:43">
      <c r="A77" s="865"/>
      <c r="B77" s="865"/>
      <c r="C77" s="865"/>
      <c r="D77" s="865"/>
      <c r="E77" s="865"/>
      <c r="F77" s="865"/>
      <c r="G77" s="865"/>
      <c r="H77" s="865"/>
      <c r="I77" s="865"/>
      <c r="J77" s="865"/>
      <c r="K77" s="865"/>
      <c r="L77" s="865"/>
      <c r="M77" s="865"/>
      <c r="N77" s="865"/>
      <c r="O77" s="865"/>
      <c r="P77" s="865"/>
      <c r="Q77" s="865"/>
      <c r="R77" s="865"/>
      <c r="S77" s="865"/>
      <c r="T77" s="865"/>
      <c r="U77" s="865"/>
      <c r="V77" s="865"/>
      <c r="W77" s="865"/>
      <c r="X77" s="865"/>
      <c r="AL77" s="865"/>
      <c r="AQ77" s="791"/>
    </row>
    <row r="78" spans="1:43" ht="15.75">
      <c r="A78" s="876" t="s">
        <v>845</v>
      </c>
      <c r="B78" s="865"/>
      <c r="C78" s="865"/>
      <c r="D78" s="865"/>
      <c r="E78" s="865"/>
      <c r="F78" s="865"/>
      <c r="G78" s="865"/>
      <c r="H78" s="865"/>
      <c r="I78" s="865"/>
      <c r="J78" s="865"/>
      <c r="K78" s="865"/>
      <c r="L78" s="865"/>
      <c r="M78" s="865"/>
      <c r="N78" s="865"/>
      <c r="O78" s="865"/>
      <c r="P78" s="865"/>
      <c r="Q78" s="865"/>
      <c r="R78" s="865"/>
      <c r="S78" s="865"/>
      <c r="T78" s="865"/>
      <c r="U78" s="865"/>
      <c r="V78" s="865"/>
      <c r="W78" s="865"/>
      <c r="X78" s="865"/>
      <c r="AL78" s="865"/>
      <c r="AQ78" s="791"/>
    </row>
    <row r="79" spans="1:43" ht="15.75">
      <c r="A79" s="877" t="s">
        <v>846</v>
      </c>
      <c r="C79" s="878"/>
      <c r="D79" s="878"/>
      <c r="E79" s="879"/>
      <c r="F79" s="879"/>
      <c r="G79" s="879"/>
      <c r="H79" s="879"/>
      <c r="I79" s="879"/>
      <c r="J79" s="879"/>
      <c r="K79" s="879"/>
      <c r="L79" s="879"/>
      <c r="M79" s="879"/>
      <c r="N79" s="879"/>
      <c r="O79" s="879"/>
      <c r="P79" s="879"/>
      <c r="Q79" s="879"/>
      <c r="R79" s="879"/>
      <c r="S79" s="865"/>
      <c r="T79" s="865"/>
      <c r="U79" s="865"/>
      <c r="V79" s="865"/>
      <c r="W79" s="865"/>
      <c r="X79" s="865"/>
      <c r="AL79" s="865"/>
      <c r="AQ79" s="791"/>
    </row>
    <row r="80" spans="1:43" ht="15.75">
      <c r="A80" s="877" t="s">
        <v>847</v>
      </c>
      <c r="C80" s="880"/>
      <c r="D80" s="880"/>
      <c r="E80" s="291"/>
      <c r="F80" s="291"/>
      <c r="G80" s="291"/>
      <c r="H80" s="291"/>
      <c r="I80" s="291"/>
      <c r="J80" s="291"/>
      <c r="K80" s="291"/>
      <c r="L80" s="291"/>
      <c r="M80" s="291"/>
      <c r="N80" s="291"/>
      <c r="O80" s="291"/>
      <c r="P80" s="291"/>
      <c r="Q80" s="291"/>
      <c r="R80" s="291"/>
      <c r="S80" s="865"/>
      <c r="T80" s="865"/>
      <c r="U80" s="865"/>
      <c r="V80" s="865"/>
      <c r="W80" s="865"/>
      <c r="X80" s="865"/>
      <c r="AK80" s="881"/>
      <c r="AL80" s="865"/>
      <c r="AM80" s="831"/>
      <c r="AN80" s="831"/>
      <c r="AO80" s="831"/>
      <c r="AQ80" s="791"/>
    </row>
    <row r="81" spans="1:43" ht="15.75">
      <c r="A81" s="877" t="s">
        <v>848</v>
      </c>
      <c r="C81" s="878"/>
      <c r="D81" s="878"/>
      <c r="E81" s="879"/>
      <c r="F81" s="879"/>
      <c r="G81" s="879"/>
      <c r="H81" s="879"/>
      <c r="I81" s="879"/>
      <c r="J81" s="879"/>
      <c r="K81" s="879"/>
      <c r="L81" s="879"/>
      <c r="M81" s="879"/>
      <c r="N81" s="879"/>
      <c r="O81" s="879"/>
      <c r="P81" s="879"/>
      <c r="Q81" s="879"/>
      <c r="R81" s="879"/>
      <c r="S81" s="865"/>
      <c r="T81" s="865"/>
      <c r="U81" s="865"/>
      <c r="V81" s="865"/>
      <c r="W81" s="865"/>
      <c r="X81" s="865"/>
      <c r="AK81" s="881"/>
      <c r="AL81" s="865"/>
      <c r="AM81" s="831"/>
      <c r="AN81" s="831"/>
      <c r="AO81" s="831"/>
      <c r="AQ81" s="791"/>
    </row>
    <row r="82" spans="1:43" ht="15.75">
      <c r="A82" s="877" t="s">
        <v>849</v>
      </c>
      <c r="C82" s="882"/>
      <c r="D82" s="882"/>
      <c r="E82" s="882"/>
      <c r="F82" s="882"/>
      <c r="G82" s="882"/>
      <c r="H82" s="882"/>
      <c r="I82" s="882"/>
      <c r="J82" s="882"/>
      <c r="K82" s="882"/>
      <c r="L82" s="882"/>
      <c r="M82" s="882"/>
      <c r="N82" s="882"/>
      <c r="O82" s="882"/>
      <c r="P82" s="882"/>
      <c r="Q82" s="882"/>
      <c r="R82" s="882"/>
      <c r="S82" s="865"/>
      <c r="T82" s="865"/>
      <c r="U82" s="865"/>
      <c r="V82" s="865"/>
      <c r="W82" s="865"/>
      <c r="X82" s="865"/>
      <c r="AK82" s="881"/>
      <c r="AL82" s="865"/>
      <c r="AM82" s="831"/>
      <c r="AN82" s="831"/>
      <c r="AO82" s="831"/>
      <c r="AQ82" s="791"/>
    </row>
    <row r="83" spans="1:43" ht="15.75">
      <c r="A83" s="877" t="s">
        <v>850</v>
      </c>
      <c r="C83" s="883"/>
      <c r="D83" s="883"/>
      <c r="E83" s="883"/>
      <c r="F83" s="883"/>
      <c r="G83" s="883"/>
      <c r="H83" s="883"/>
      <c r="I83" s="883"/>
      <c r="J83" s="883"/>
      <c r="K83" s="883"/>
      <c r="L83" s="883"/>
      <c r="M83" s="883"/>
      <c r="N83" s="883"/>
      <c r="O83" s="883"/>
      <c r="P83" s="883"/>
      <c r="Q83" s="883"/>
      <c r="R83" s="883"/>
      <c r="S83" s="865"/>
      <c r="T83" s="865"/>
      <c r="U83" s="865"/>
      <c r="V83" s="865"/>
      <c r="W83" s="865"/>
      <c r="X83" s="865"/>
      <c r="AL83" s="865"/>
      <c r="AQ83" s="791"/>
    </row>
    <row r="84" spans="1:43" ht="15.75">
      <c r="A84" s="884" t="s">
        <v>851</v>
      </c>
      <c r="C84" s="882"/>
      <c r="D84" s="882"/>
      <c r="E84" s="882"/>
      <c r="F84" s="882"/>
      <c r="G84" s="882"/>
      <c r="H84" s="882"/>
      <c r="I84" s="882"/>
      <c r="J84" s="882"/>
      <c r="K84" s="882"/>
      <c r="L84" s="882"/>
      <c r="M84" s="882"/>
      <c r="N84" s="882"/>
      <c r="O84" s="882"/>
      <c r="P84" s="882"/>
      <c r="Q84" s="882"/>
      <c r="R84" s="882"/>
      <c r="S84" s="865"/>
      <c r="T84" s="865"/>
      <c r="U84" s="865"/>
      <c r="V84" s="865"/>
      <c r="W84" s="865"/>
      <c r="X84" s="865"/>
      <c r="AL84" s="865"/>
      <c r="AQ84" s="791"/>
    </row>
    <row r="85" spans="1:43" ht="15.75" thickBot="1">
      <c r="A85" s="885"/>
      <c r="B85" s="886"/>
      <c r="C85" s="885"/>
      <c r="D85" s="885"/>
      <c r="E85" s="885"/>
      <c r="F85" s="885"/>
      <c r="G85" s="885"/>
      <c r="H85" s="885"/>
      <c r="I85" s="885"/>
      <c r="J85" s="885"/>
      <c r="K85" s="885"/>
      <c r="L85" s="885"/>
      <c r="M85" s="885"/>
      <c r="N85" s="885"/>
      <c r="O85" s="885"/>
      <c r="P85" s="885"/>
      <c r="Q85" s="885"/>
      <c r="R85" s="885"/>
      <c r="S85" s="887"/>
      <c r="T85" s="887"/>
      <c r="U85" s="887"/>
      <c r="V85" s="887"/>
      <c r="W85" s="887"/>
      <c r="X85" s="887"/>
      <c r="Y85" s="886"/>
      <c r="Z85" s="886"/>
      <c r="AA85" s="886"/>
      <c r="AB85" s="886"/>
      <c r="AC85" s="886"/>
      <c r="AD85" s="886"/>
      <c r="AE85" s="886"/>
      <c r="AF85" s="886"/>
      <c r="AG85" s="886"/>
      <c r="AH85" s="886"/>
      <c r="AI85" s="886"/>
      <c r="AJ85" s="886"/>
      <c r="AK85" s="886"/>
      <c r="AL85" s="887"/>
      <c r="AM85" s="886"/>
      <c r="AN85" s="886"/>
      <c r="AO85" s="886"/>
      <c r="AQ85" s="791"/>
    </row>
    <row r="86" spans="1:43">
      <c r="A86" s="865"/>
      <c r="B86" s="865"/>
      <c r="C86" s="865"/>
      <c r="D86" s="865"/>
      <c r="E86" s="865"/>
      <c r="F86" s="865"/>
      <c r="G86" s="865"/>
      <c r="H86" s="865"/>
      <c r="I86" s="865"/>
      <c r="J86" s="865"/>
      <c r="K86" s="865"/>
      <c r="L86" s="865"/>
      <c r="M86" s="865"/>
      <c r="N86" s="865"/>
      <c r="O86" s="865"/>
      <c r="P86" s="865"/>
      <c r="Q86" s="865"/>
      <c r="R86" s="865"/>
      <c r="S86" s="865"/>
      <c r="T86" s="865"/>
      <c r="U86" s="865"/>
      <c r="V86" s="865"/>
      <c r="W86" s="865"/>
      <c r="X86" s="865"/>
      <c r="AL86" s="865"/>
      <c r="AQ86" s="791"/>
    </row>
    <row r="87" spans="1:43">
      <c r="A87" s="888"/>
      <c r="B87" s="888"/>
      <c r="C87" s="888"/>
      <c r="D87" s="888"/>
      <c r="E87" s="888"/>
      <c r="F87" s="888"/>
      <c r="G87" s="888"/>
      <c r="H87" s="888"/>
      <c r="I87" s="888"/>
      <c r="J87" s="888"/>
      <c r="K87" s="888"/>
      <c r="L87" s="888"/>
      <c r="M87" s="888"/>
      <c r="N87" s="888"/>
      <c r="O87" s="888"/>
      <c r="P87" s="888"/>
      <c r="Q87" s="888"/>
      <c r="R87" s="888"/>
      <c r="S87" s="888"/>
      <c r="T87" s="888"/>
      <c r="U87" s="888"/>
      <c r="V87" s="888"/>
      <c r="W87" s="888"/>
      <c r="X87" s="888"/>
      <c r="Y87" s="791"/>
      <c r="Z87" s="791"/>
      <c r="AA87" s="791"/>
      <c r="AB87" s="791"/>
      <c r="AC87" s="791"/>
      <c r="AD87" s="791"/>
      <c r="AE87" s="791"/>
      <c r="AF87" s="791"/>
      <c r="AG87" s="791"/>
      <c r="AH87" s="791"/>
      <c r="AI87" s="791"/>
      <c r="AJ87" s="791"/>
      <c r="AK87" s="791"/>
      <c r="AL87" s="888"/>
      <c r="AM87" s="791"/>
      <c r="AN87" s="791"/>
      <c r="AO87" s="791"/>
      <c r="AP87" s="791"/>
      <c r="AQ87" s="791"/>
    </row>
    <row r="88" spans="1:43">
      <c r="A88" s="888"/>
      <c r="B88" s="888"/>
      <c r="C88" s="888"/>
      <c r="D88" s="888"/>
      <c r="E88" s="888"/>
      <c r="F88" s="888"/>
      <c r="G88" s="888"/>
      <c r="H88" s="888"/>
      <c r="I88" s="888"/>
      <c r="J88" s="888"/>
      <c r="K88" s="888"/>
      <c r="L88" s="888"/>
      <c r="M88" s="888"/>
      <c r="N88" s="888"/>
      <c r="O88" s="888"/>
      <c r="P88" s="888"/>
      <c r="Q88" s="888"/>
      <c r="R88" s="888"/>
      <c r="S88" s="888"/>
      <c r="T88" s="888"/>
      <c r="U88" s="888"/>
      <c r="V88" s="888"/>
      <c r="W88" s="888"/>
      <c r="X88" s="888"/>
      <c r="Y88" s="791"/>
      <c r="Z88" s="791"/>
      <c r="AA88" s="791"/>
      <c r="AB88" s="791"/>
      <c r="AC88" s="791"/>
      <c r="AD88" s="791"/>
      <c r="AE88" s="791"/>
      <c r="AF88" s="791"/>
      <c r="AG88" s="791"/>
      <c r="AH88" s="791"/>
      <c r="AI88" s="791"/>
      <c r="AJ88" s="791"/>
      <c r="AK88" s="791"/>
      <c r="AL88" s="888"/>
      <c r="AM88" s="791"/>
      <c r="AN88" s="791"/>
      <c r="AO88" s="791"/>
      <c r="AP88" s="791"/>
      <c r="AQ88" s="791"/>
    </row>
    <row r="89" spans="1:43">
      <c r="A89" s="888"/>
      <c r="B89" s="888"/>
      <c r="C89" s="888"/>
      <c r="D89" s="888"/>
      <c r="E89" s="888"/>
      <c r="F89" s="888"/>
      <c r="G89" s="888"/>
      <c r="H89" s="888"/>
      <c r="I89" s="888"/>
      <c r="J89" s="888"/>
      <c r="K89" s="888"/>
      <c r="L89" s="888"/>
      <c r="M89" s="888"/>
      <c r="N89" s="888"/>
      <c r="O89" s="888"/>
      <c r="P89" s="888"/>
      <c r="Q89" s="888"/>
      <c r="R89" s="888"/>
      <c r="S89" s="888"/>
      <c r="T89" s="888"/>
      <c r="U89" s="888"/>
      <c r="V89" s="888"/>
      <c r="W89" s="888"/>
      <c r="X89" s="888"/>
      <c r="Y89" s="791"/>
      <c r="Z89" s="791"/>
      <c r="AA89" s="791"/>
      <c r="AB89" s="791"/>
      <c r="AC89" s="791"/>
      <c r="AD89" s="791"/>
      <c r="AE89" s="791"/>
      <c r="AF89" s="791"/>
      <c r="AG89" s="791"/>
      <c r="AH89" s="791"/>
      <c r="AI89" s="791"/>
      <c r="AJ89" s="791"/>
      <c r="AK89" s="791"/>
      <c r="AL89" s="888"/>
      <c r="AM89" s="791"/>
      <c r="AN89" s="791"/>
      <c r="AO89" s="791"/>
      <c r="AP89" s="791"/>
      <c r="AQ89" s="791"/>
    </row>
    <row r="90" spans="1:43">
      <c r="A90" s="865"/>
      <c r="B90" s="865"/>
      <c r="C90" s="865"/>
      <c r="D90" s="865"/>
      <c r="E90" s="865"/>
      <c r="F90" s="865"/>
      <c r="G90" s="865"/>
      <c r="H90" s="865"/>
      <c r="I90" s="865"/>
      <c r="J90" s="865"/>
      <c r="K90" s="865"/>
      <c r="L90" s="865"/>
      <c r="M90" s="865"/>
      <c r="N90" s="865"/>
      <c r="O90" s="865"/>
      <c r="P90" s="865"/>
      <c r="Q90" s="865"/>
      <c r="R90" s="865"/>
      <c r="S90" s="865"/>
      <c r="T90" s="865"/>
      <c r="U90" s="865"/>
      <c r="V90" s="865"/>
      <c r="W90" s="865"/>
      <c r="X90" s="865"/>
      <c r="AL90" s="865"/>
    </row>
    <row r="91" spans="1:43">
      <c r="A91" s="865"/>
      <c r="B91" s="865"/>
      <c r="C91" s="865"/>
      <c r="D91" s="865"/>
      <c r="E91" s="865"/>
      <c r="F91" s="865"/>
      <c r="G91" s="865"/>
      <c r="H91" s="865"/>
      <c r="I91" s="865"/>
      <c r="J91" s="865"/>
      <c r="K91" s="865"/>
      <c r="L91" s="865"/>
      <c r="M91" s="865"/>
      <c r="N91" s="865"/>
      <c r="O91" s="865"/>
      <c r="P91" s="865"/>
      <c r="Q91" s="865"/>
      <c r="R91" s="865"/>
      <c r="S91" s="865"/>
      <c r="T91" s="865"/>
      <c r="U91" s="865"/>
      <c r="V91" s="865"/>
      <c r="W91" s="865"/>
      <c r="X91" s="865"/>
      <c r="AL91" s="865"/>
    </row>
    <row r="92" spans="1:43">
      <c r="A92" s="865"/>
      <c r="B92" s="865"/>
      <c r="C92" s="865"/>
      <c r="D92" s="865"/>
      <c r="E92" s="865"/>
      <c r="F92" s="865"/>
      <c r="G92" s="865"/>
      <c r="H92" s="865"/>
      <c r="I92" s="865"/>
      <c r="J92" s="865"/>
      <c r="K92" s="865"/>
      <c r="L92" s="865"/>
      <c r="M92" s="865"/>
      <c r="N92" s="865"/>
      <c r="O92" s="865"/>
      <c r="P92" s="865"/>
      <c r="Q92" s="865"/>
      <c r="R92" s="865"/>
      <c r="S92" s="865"/>
      <c r="T92" s="865"/>
      <c r="U92" s="865"/>
      <c r="V92" s="865"/>
      <c r="W92" s="865"/>
      <c r="X92" s="865"/>
      <c r="AL92" s="865"/>
    </row>
    <row r="93" spans="1:43">
      <c r="A93" s="865"/>
      <c r="B93" s="865"/>
      <c r="C93" s="865"/>
      <c r="D93" s="865"/>
      <c r="E93" s="865"/>
      <c r="F93" s="865"/>
      <c r="G93" s="865"/>
      <c r="H93" s="865"/>
      <c r="I93" s="865"/>
      <c r="J93" s="865"/>
      <c r="K93" s="865"/>
      <c r="L93" s="865"/>
      <c r="M93" s="865"/>
      <c r="N93" s="865"/>
      <c r="O93" s="865"/>
      <c r="P93" s="865"/>
      <c r="Q93" s="865"/>
      <c r="R93" s="865"/>
      <c r="S93" s="865"/>
      <c r="T93" s="865"/>
      <c r="U93" s="865"/>
      <c r="V93" s="865"/>
      <c r="W93" s="865"/>
      <c r="X93" s="865"/>
      <c r="AL93" s="865"/>
    </row>
    <row r="94" spans="1:43">
      <c r="A94" s="865"/>
      <c r="B94" s="865"/>
      <c r="C94" s="865"/>
      <c r="D94" s="865"/>
      <c r="E94" s="865"/>
      <c r="F94" s="865"/>
      <c r="G94" s="865"/>
      <c r="H94" s="865"/>
      <c r="I94" s="865"/>
      <c r="J94" s="865"/>
      <c r="K94" s="865"/>
      <c r="L94" s="865"/>
      <c r="M94" s="865"/>
      <c r="N94" s="865"/>
      <c r="O94" s="865"/>
      <c r="P94" s="865"/>
      <c r="Q94" s="865"/>
      <c r="R94" s="865"/>
      <c r="S94" s="865"/>
      <c r="T94" s="865"/>
      <c r="U94" s="865"/>
      <c r="V94" s="865"/>
      <c r="W94" s="865"/>
      <c r="X94" s="865"/>
      <c r="AL94" s="865"/>
    </row>
    <row r="95" spans="1:43">
      <c r="A95" s="865"/>
      <c r="B95" s="865"/>
      <c r="C95" s="865"/>
      <c r="D95" s="865"/>
      <c r="E95" s="865"/>
      <c r="F95" s="865"/>
      <c r="G95" s="865"/>
      <c r="H95" s="865"/>
      <c r="I95" s="865"/>
      <c r="J95" s="865"/>
      <c r="K95" s="865"/>
      <c r="L95" s="865"/>
      <c r="M95" s="865"/>
      <c r="N95" s="865"/>
      <c r="O95" s="865"/>
      <c r="P95" s="865"/>
      <c r="Q95" s="865"/>
      <c r="R95" s="865"/>
      <c r="S95" s="865"/>
      <c r="T95" s="865"/>
      <c r="U95" s="865"/>
      <c r="V95" s="865"/>
      <c r="W95" s="865"/>
      <c r="X95" s="865"/>
      <c r="AL95" s="865"/>
    </row>
    <row r="96" spans="1:43">
      <c r="A96" s="865"/>
      <c r="B96" s="865"/>
      <c r="C96" s="865"/>
      <c r="D96" s="865"/>
      <c r="E96" s="865"/>
      <c r="F96" s="865"/>
      <c r="G96" s="865"/>
      <c r="H96" s="865"/>
      <c r="I96" s="865"/>
      <c r="J96" s="865"/>
      <c r="K96" s="865"/>
      <c r="L96" s="865"/>
      <c r="M96" s="865"/>
      <c r="N96" s="865"/>
      <c r="O96" s="865"/>
      <c r="P96" s="865"/>
      <c r="Q96" s="865"/>
      <c r="R96" s="865"/>
      <c r="S96" s="865"/>
      <c r="T96" s="865"/>
      <c r="U96" s="865"/>
      <c r="V96" s="865"/>
      <c r="W96" s="865"/>
      <c r="X96" s="865"/>
      <c r="AL96" s="865"/>
    </row>
    <row r="97" spans="1:38">
      <c r="A97" s="865"/>
      <c r="B97" s="865"/>
      <c r="C97" s="865"/>
      <c r="D97" s="865"/>
      <c r="E97" s="865"/>
      <c r="F97" s="865"/>
      <c r="G97" s="865"/>
      <c r="H97" s="865"/>
      <c r="I97" s="865"/>
      <c r="J97" s="865"/>
      <c r="K97" s="865"/>
      <c r="L97" s="865"/>
      <c r="M97" s="865"/>
      <c r="N97" s="865"/>
      <c r="O97" s="865"/>
      <c r="P97" s="865"/>
      <c r="Q97" s="865"/>
      <c r="R97" s="865"/>
      <c r="S97" s="865"/>
      <c r="T97" s="865"/>
      <c r="U97" s="865"/>
      <c r="V97" s="865"/>
      <c r="W97" s="865"/>
      <c r="X97" s="865"/>
      <c r="AL97" s="865"/>
    </row>
    <row r="98" spans="1:38">
      <c r="A98" s="865"/>
      <c r="B98" s="865"/>
      <c r="C98" s="865"/>
      <c r="D98" s="865"/>
      <c r="E98" s="865"/>
      <c r="F98" s="865"/>
      <c r="G98" s="865"/>
      <c r="H98" s="865"/>
      <c r="I98" s="865"/>
      <c r="J98" s="865"/>
      <c r="K98" s="865"/>
      <c r="L98" s="865"/>
      <c r="M98" s="865"/>
      <c r="N98" s="865"/>
      <c r="O98" s="865"/>
      <c r="P98" s="865"/>
      <c r="Q98" s="865"/>
      <c r="R98" s="865"/>
      <c r="S98" s="865"/>
      <c r="T98" s="865"/>
      <c r="U98" s="865"/>
      <c r="V98" s="865"/>
      <c r="W98" s="865"/>
      <c r="X98" s="865"/>
      <c r="AL98" s="865"/>
    </row>
    <row r="99" spans="1:38">
      <c r="A99" s="865"/>
      <c r="B99" s="865"/>
      <c r="C99" s="865"/>
      <c r="D99" s="865"/>
      <c r="E99" s="865"/>
      <c r="F99" s="865"/>
      <c r="G99" s="865"/>
      <c r="H99" s="865"/>
      <c r="I99" s="865"/>
      <c r="J99" s="865"/>
      <c r="K99" s="865"/>
      <c r="L99" s="865"/>
      <c r="M99" s="865"/>
      <c r="N99" s="865"/>
      <c r="O99" s="865"/>
      <c r="P99" s="865"/>
      <c r="Q99" s="865"/>
      <c r="R99" s="865"/>
      <c r="S99" s="865"/>
      <c r="T99" s="865"/>
      <c r="U99" s="865"/>
      <c r="V99" s="865"/>
      <c r="W99" s="865"/>
      <c r="X99" s="865"/>
      <c r="AL99" s="865"/>
    </row>
    <row r="100" spans="1:38">
      <c r="A100" s="865"/>
      <c r="B100" s="865"/>
      <c r="C100" s="865"/>
      <c r="D100" s="865"/>
      <c r="E100" s="865"/>
      <c r="F100" s="865"/>
      <c r="G100" s="865"/>
      <c r="H100" s="865"/>
      <c r="I100" s="865"/>
      <c r="J100" s="865"/>
      <c r="K100" s="865"/>
      <c r="L100" s="865"/>
      <c r="M100" s="865"/>
      <c r="N100" s="865"/>
      <c r="O100" s="865"/>
      <c r="P100" s="865"/>
      <c r="Q100" s="865"/>
      <c r="R100" s="865"/>
      <c r="S100" s="865"/>
      <c r="T100" s="865"/>
      <c r="U100" s="865"/>
      <c r="V100" s="865"/>
      <c r="W100" s="865"/>
      <c r="X100" s="865"/>
      <c r="AL100" s="865"/>
    </row>
    <row r="101" spans="1:38">
      <c r="A101" s="865"/>
      <c r="B101" s="865"/>
      <c r="C101" s="865"/>
      <c r="D101" s="865"/>
      <c r="E101" s="865"/>
      <c r="F101" s="865"/>
      <c r="G101" s="865"/>
      <c r="H101" s="865"/>
      <c r="I101" s="865"/>
      <c r="J101" s="865"/>
      <c r="K101" s="865"/>
      <c r="L101" s="865"/>
      <c r="M101" s="865"/>
      <c r="N101" s="865"/>
      <c r="O101" s="865"/>
      <c r="P101" s="865"/>
      <c r="Q101" s="865"/>
      <c r="R101" s="865"/>
      <c r="S101" s="865"/>
      <c r="T101" s="865"/>
      <c r="U101" s="865"/>
      <c r="V101" s="865"/>
      <c r="W101" s="865"/>
      <c r="X101" s="865"/>
      <c r="AL101" s="865"/>
    </row>
    <row r="102" spans="1:38">
      <c r="A102" s="865"/>
      <c r="B102" s="865"/>
      <c r="C102" s="865"/>
      <c r="D102" s="865"/>
      <c r="E102" s="865"/>
      <c r="F102" s="865"/>
      <c r="G102" s="865"/>
      <c r="H102" s="865"/>
      <c r="I102" s="865"/>
      <c r="J102" s="865"/>
      <c r="K102" s="865"/>
      <c r="L102" s="865"/>
      <c r="M102" s="865"/>
      <c r="N102" s="865"/>
      <c r="O102" s="865"/>
      <c r="P102" s="865"/>
      <c r="Q102" s="865"/>
      <c r="R102" s="865"/>
      <c r="S102" s="865"/>
      <c r="T102" s="865"/>
      <c r="U102" s="865"/>
      <c r="V102" s="865"/>
      <c r="W102" s="865"/>
      <c r="X102" s="865"/>
      <c r="AL102" s="865"/>
    </row>
    <row r="103" spans="1:38">
      <c r="A103" s="865"/>
      <c r="B103" s="865"/>
      <c r="C103" s="865"/>
      <c r="D103" s="865"/>
      <c r="E103" s="865"/>
      <c r="F103" s="865"/>
      <c r="G103" s="865"/>
      <c r="H103" s="865"/>
      <c r="I103" s="865"/>
      <c r="J103" s="865"/>
      <c r="K103" s="865"/>
      <c r="L103" s="865"/>
      <c r="M103" s="865"/>
      <c r="N103" s="865"/>
      <c r="O103" s="865"/>
      <c r="P103" s="865"/>
      <c r="Q103" s="865"/>
      <c r="R103" s="865"/>
      <c r="S103" s="865"/>
      <c r="T103" s="865"/>
      <c r="U103" s="865"/>
      <c r="V103" s="865"/>
      <c r="W103" s="865"/>
      <c r="X103" s="865"/>
      <c r="AL103" s="865"/>
    </row>
    <row r="104" spans="1:38">
      <c r="A104" s="865"/>
      <c r="B104" s="865"/>
      <c r="C104" s="865"/>
      <c r="D104" s="865"/>
      <c r="E104" s="865"/>
      <c r="F104" s="865"/>
      <c r="G104" s="865"/>
      <c r="H104" s="865"/>
      <c r="I104" s="865"/>
      <c r="J104" s="865"/>
      <c r="K104" s="865"/>
      <c r="L104" s="865"/>
      <c r="M104" s="865"/>
      <c r="N104" s="865"/>
      <c r="O104" s="865"/>
      <c r="P104" s="865"/>
      <c r="Q104" s="865"/>
      <c r="R104" s="865"/>
      <c r="S104" s="865"/>
      <c r="T104" s="865"/>
      <c r="U104" s="865"/>
      <c r="V104" s="865"/>
      <c r="W104" s="865"/>
      <c r="X104" s="865"/>
      <c r="AL104" s="865"/>
    </row>
    <row r="105" spans="1:38">
      <c r="A105" s="865"/>
      <c r="B105" s="865"/>
      <c r="C105" s="865"/>
      <c r="D105" s="865"/>
      <c r="E105" s="865"/>
      <c r="F105" s="865"/>
      <c r="G105" s="865"/>
      <c r="H105" s="865"/>
      <c r="I105" s="865"/>
      <c r="J105" s="865"/>
      <c r="K105" s="865"/>
      <c r="L105" s="865"/>
      <c r="M105" s="865"/>
      <c r="N105" s="865"/>
      <c r="O105" s="865"/>
      <c r="P105" s="865"/>
      <c r="Q105" s="865"/>
      <c r="R105" s="865"/>
      <c r="S105" s="865"/>
      <c r="T105" s="865"/>
      <c r="U105" s="865"/>
      <c r="V105" s="865"/>
      <c r="W105" s="865"/>
      <c r="X105" s="865"/>
      <c r="AL105" s="865"/>
    </row>
    <row r="106" spans="1:38">
      <c r="A106" s="865"/>
      <c r="B106" s="865"/>
      <c r="C106" s="865"/>
      <c r="D106" s="865"/>
      <c r="E106" s="865"/>
      <c r="F106" s="865"/>
      <c r="G106" s="865"/>
      <c r="H106" s="865"/>
      <c r="I106" s="865"/>
      <c r="J106" s="865"/>
      <c r="K106" s="865"/>
      <c r="L106" s="865"/>
      <c r="M106" s="865"/>
      <c r="N106" s="865"/>
      <c r="O106" s="865"/>
      <c r="P106" s="865"/>
      <c r="Q106" s="865"/>
      <c r="R106" s="865"/>
      <c r="S106" s="865"/>
      <c r="T106" s="865"/>
      <c r="U106" s="865"/>
      <c r="V106" s="865"/>
      <c r="W106" s="865"/>
      <c r="X106" s="865"/>
      <c r="AL106" s="865"/>
    </row>
    <row r="107" spans="1:38">
      <c r="A107" s="865"/>
      <c r="B107" s="865"/>
      <c r="C107" s="865"/>
      <c r="D107" s="865"/>
      <c r="E107" s="865"/>
      <c r="F107" s="865"/>
      <c r="G107" s="865"/>
      <c r="H107" s="865"/>
      <c r="I107" s="865"/>
      <c r="J107" s="865"/>
      <c r="K107" s="865"/>
      <c r="L107" s="865"/>
      <c r="M107" s="865"/>
      <c r="N107" s="865"/>
      <c r="O107" s="865"/>
      <c r="P107" s="865"/>
      <c r="Q107" s="865"/>
      <c r="R107" s="865"/>
      <c r="S107" s="865"/>
      <c r="T107" s="865"/>
      <c r="U107" s="865"/>
      <c r="V107" s="865"/>
      <c r="W107" s="865"/>
      <c r="X107" s="865"/>
      <c r="AL107" s="865"/>
    </row>
    <row r="108" spans="1:38">
      <c r="A108" s="865"/>
      <c r="B108" s="865"/>
      <c r="C108" s="865"/>
      <c r="D108" s="865"/>
      <c r="E108" s="865"/>
      <c r="F108" s="865"/>
      <c r="G108" s="865"/>
      <c r="H108" s="865"/>
      <c r="I108" s="865"/>
      <c r="J108" s="865"/>
      <c r="K108" s="865"/>
      <c r="L108" s="865"/>
      <c r="M108" s="865"/>
      <c r="N108" s="865"/>
      <c r="O108" s="865"/>
      <c r="P108" s="865"/>
      <c r="Q108" s="865"/>
      <c r="R108" s="865"/>
      <c r="S108" s="865"/>
      <c r="T108" s="865"/>
      <c r="U108" s="865"/>
      <c r="V108" s="865"/>
      <c r="W108" s="865"/>
      <c r="X108" s="865"/>
      <c r="AL108" s="865"/>
    </row>
    <row r="109" spans="1:38">
      <c r="A109" s="865"/>
      <c r="B109" s="865"/>
      <c r="C109" s="865"/>
      <c r="D109" s="865"/>
      <c r="E109" s="865"/>
      <c r="F109" s="865"/>
      <c r="G109" s="865"/>
      <c r="H109" s="865"/>
      <c r="I109" s="865"/>
      <c r="J109" s="865"/>
      <c r="K109" s="865"/>
      <c r="L109" s="865"/>
      <c r="M109" s="865"/>
      <c r="N109" s="865"/>
      <c r="O109" s="865"/>
      <c r="P109" s="865"/>
      <c r="Q109" s="865"/>
      <c r="R109" s="865"/>
      <c r="S109" s="865"/>
      <c r="T109" s="865"/>
      <c r="U109" s="865"/>
      <c r="V109" s="865"/>
      <c r="W109" s="865"/>
      <c r="X109" s="865"/>
      <c r="AL109" s="865"/>
    </row>
    <row r="110" spans="1:38">
      <c r="A110" s="865"/>
      <c r="B110" s="865"/>
      <c r="C110" s="865"/>
      <c r="D110" s="865"/>
      <c r="E110" s="865"/>
      <c r="F110" s="865"/>
      <c r="G110" s="865"/>
      <c r="H110" s="865"/>
      <c r="I110" s="865"/>
      <c r="J110" s="865"/>
      <c r="K110" s="865"/>
      <c r="L110" s="865"/>
      <c r="M110" s="865"/>
      <c r="N110" s="865"/>
      <c r="O110" s="865"/>
      <c r="P110" s="865"/>
      <c r="Q110" s="865"/>
      <c r="R110" s="865"/>
    </row>
    <row r="111" spans="1:38">
      <c r="A111" s="865"/>
      <c r="B111" s="865"/>
      <c r="C111" s="865"/>
      <c r="D111" s="865"/>
      <c r="E111" s="865"/>
      <c r="F111" s="865"/>
      <c r="G111" s="865"/>
      <c r="H111" s="865"/>
      <c r="I111" s="865"/>
      <c r="J111" s="865"/>
      <c r="K111" s="865"/>
      <c r="L111" s="865"/>
      <c r="M111" s="865"/>
      <c r="N111" s="865"/>
      <c r="O111" s="865"/>
      <c r="P111" s="865"/>
      <c r="Q111" s="865"/>
      <c r="R111" s="865"/>
    </row>
    <row r="112" spans="1:38">
      <c r="A112" s="865"/>
      <c r="B112" s="865"/>
      <c r="C112" s="865"/>
      <c r="D112" s="865"/>
      <c r="E112" s="865"/>
      <c r="F112" s="865"/>
      <c r="G112" s="865"/>
      <c r="H112" s="865"/>
      <c r="I112" s="865"/>
      <c r="J112" s="865"/>
      <c r="K112" s="865"/>
      <c r="L112" s="865"/>
      <c r="M112" s="865"/>
      <c r="N112" s="865"/>
      <c r="O112" s="865"/>
      <c r="P112" s="865"/>
      <c r="Q112" s="865"/>
      <c r="R112" s="865"/>
    </row>
    <row r="113" spans="1:18">
      <c r="A113" s="865"/>
      <c r="B113" s="865"/>
      <c r="C113" s="865"/>
      <c r="D113" s="865"/>
      <c r="E113" s="865"/>
      <c r="F113" s="865"/>
      <c r="G113" s="865"/>
      <c r="H113" s="865"/>
      <c r="I113" s="865"/>
      <c r="J113" s="865"/>
      <c r="K113" s="865"/>
      <c r="L113" s="865"/>
      <c r="M113" s="865"/>
      <c r="N113" s="865"/>
      <c r="O113" s="865"/>
      <c r="P113" s="865"/>
      <c r="Q113" s="865"/>
      <c r="R113" s="865"/>
    </row>
    <row r="114" spans="1:18">
      <c r="A114" s="865"/>
      <c r="B114" s="865"/>
      <c r="C114" s="865"/>
      <c r="D114" s="865"/>
      <c r="E114" s="865"/>
      <c r="F114" s="865"/>
      <c r="G114" s="865"/>
      <c r="H114" s="865"/>
      <c r="I114" s="865"/>
      <c r="J114" s="865"/>
      <c r="K114" s="865"/>
      <c r="L114" s="865"/>
      <c r="M114" s="865"/>
      <c r="N114" s="865"/>
      <c r="O114" s="865"/>
      <c r="P114" s="865"/>
      <c r="Q114" s="865"/>
      <c r="R114" s="865"/>
    </row>
    <row r="115" spans="1:18">
      <c r="A115" s="865"/>
      <c r="B115" s="865"/>
      <c r="C115" s="865"/>
      <c r="D115" s="865"/>
      <c r="E115" s="865"/>
      <c r="F115" s="865"/>
      <c r="G115" s="865"/>
      <c r="H115" s="865"/>
      <c r="I115" s="865"/>
      <c r="J115" s="865"/>
      <c r="K115" s="865"/>
      <c r="L115" s="865"/>
      <c r="M115" s="865"/>
      <c r="N115" s="865"/>
      <c r="O115" s="865"/>
      <c r="P115" s="865"/>
      <c r="Q115" s="865"/>
      <c r="R115" s="865"/>
    </row>
    <row r="116" spans="1:18">
      <c r="A116" s="865"/>
      <c r="B116" s="865"/>
      <c r="C116" s="865"/>
      <c r="D116" s="865"/>
      <c r="E116" s="865"/>
      <c r="F116" s="865"/>
      <c r="G116" s="865"/>
      <c r="H116" s="865"/>
      <c r="I116" s="865"/>
      <c r="J116" s="865"/>
      <c r="K116" s="865"/>
      <c r="L116" s="865"/>
      <c r="M116" s="865"/>
      <c r="N116" s="865"/>
      <c r="O116" s="865"/>
      <c r="P116" s="865"/>
      <c r="Q116" s="865"/>
      <c r="R116" s="865"/>
    </row>
    <row r="117" spans="1:18">
      <c r="A117" s="865"/>
      <c r="B117" s="865"/>
      <c r="C117" s="865"/>
      <c r="D117" s="865"/>
      <c r="E117" s="865"/>
      <c r="F117" s="865"/>
      <c r="G117" s="865"/>
      <c r="H117" s="865"/>
      <c r="I117" s="865"/>
      <c r="J117" s="865"/>
      <c r="K117" s="865"/>
      <c r="L117" s="865"/>
      <c r="M117" s="865"/>
      <c r="N117" s="865"/>
      <c r="O117" s="865"/>
      <c r="P117" s="865"/>
      <c r="Q117" s="865"/>
      <c r="R117" s="865"/>
    </row>
  </sheetData>
  <mergeCells count="4">
    <mergeCell ref="C48:R48"/>
    <mergeCell ref="T48:U48"/>
    <mergeCell ref="W48:AK48"/>
    <mergeCell ref="AM48:AO48"/>
  </mergeCells>
  <pageMargins left="0.25" right="0.25" top="0.75" bottom="0.75" header="0.3" footer="0.3"/>
  <pageSetup scale="43"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workbookViewId="0"/>
  </sheetViews>
  <sheetFormatPr defaultColWidth="9.140625" defaultRowHeight="12.75"/>
  <cols>
    <col min="1" max="1" width="4.140625" style="517" customWidth="1"/>
    <col min="2" max="2" width="65.5703125" style="517" customWidth="1"/>
    <col min="3" max="3" width="14.5703125" style="517" bestFit="1" customWidth="1"/>
    <col min="4" max="4" width="71.42578125" style="517" bestFit="1" customWidth="1"/>
    <col min="5" max="5" width="20.7109375" style="517" customWidth="1"/>
    <col min="6" max="16384" width="9.140625" style="517"/>
  </cols>
  <sheetData>
    <row r="1" spans="1:8" ht="15.75">
      <c r="A1" s="490" t="s">
        <v>218</v>
      </c>
    </row>
    <row r="2" spans="1:8" ht="15.75">
      <c r="A2" s="490" t="s">
        <v>682</v>
      </c>
      <c r="D2" s="556"/>
    </row>
    <row r="3" spans="1:8" ht="15.75">
      <c r="A3" s="492" t="s">
        <v>668</v>
      </c>
    </row>
    <row r="6" spans="1:8" s="522" customFormat="1">
      <c r="A6" s="519"/>
      <c r="B6" s="520"/>
      <c r="C6" s="520"/>
      <c r="D6" s="520"/>
      <c r="E6" s="520"/>
      <c r="F6" s="521"/>
    </row>
    <row r="7" spans="1:8" s="522" customFormat="1">
      <c r="A7" s="524" t="s">
        <v>683</v>
      </c>
      <c r="C7" s="525"/>
      <c r="D7" s="525"/>
      <c r="E7" s="525"/>
      <c r="F7" s="526"/>
    </row>
    <row r="8" spans="1:8" s="522" customFormat="1">
      <c r="A8" s="527">
        <v>-1</v>
      </c>
      <c r="B8" s="528" t="s">
        <v>684</v>
      </c>
      <c r="C8" s="529">
        <v>1670030.24</v>
      </c>
      <c r="D8" s="530" t="s">
        <v>685</v>
      </c>
      <c r="E8" s="360"/>
      <c r="F8" s="526"/>
    </row>
    <row r="9" spans="1:8" s="522" customFormat="1">
      <c r="A9" s="527"/>
      <c r="B9" s="531"/>
      <c r="C9" s="532"/>
      <c r="D9" s="525"/>
      <c r="E9" s="525"/>
      <c r="F9" s="526"/>
    </row>
    <row r="10" spans="1:8" s="522" customFormat="1">
      <c r="A10" s="527">
        <f>A8-1</f>
        <v>-2</v>
      </c>
      <c r="B10" s="533" t="s">
        <v>686</v>
      </c>
      <c r="C10" s="529">
        <v>39339.730000000003</v>
      </c>
      <c r="D10" s="530" t="s">
        <v>687</v>
      </c>
      <c r="E10" s="525"/>
      <c r="F10" s="526"/>
      <c r="H10" s="914"/>
    </row>
    <row r="11" spans="1:8" s="523" customFormat="1">
      <c r="A11" s="527"/>
      <c r="B11" s="534"/>
      <c r="C11" s="535"/>
      <c r="D11" s="536"/>
      <c r="E11" s="532"/>
      <c r="F11" s="537"/>
    </row>
    <row r="12" spans="1:8" s="522" customFormat="1">
      <c r="A12" s="527">
        <f>A10-1</f>
        <v>-3</v>
      </c>
      <c r="B12" s="538" t="s">
        <v>688</v>
      </c>
      <c r="C12" s="529">
        <v>575187566.5</v>
      </c>
      <c r="D12" s="528" t="s">
        <v>960</v>
      </c>
      <c r="E12" s="525"/>
      <c r="F12" s="526"/>
      <c r="H12" s="914"/>
    </row>
    <row r="13" spans="1:8" s="522" customFormat="1">
      <c r="A13" s="527">
        <f t="shared" ref="A13:A19" si="0">A12-1</f>
        <v>-4</v>
      </c>
      <c r="B13" s="538" t="s">
        <v>689</v>
      </c>
      <c r="C13" s="535">
        <v>-7355047.0099999998</v>
      </c>
      <c r="D13" s="533" t="s">
        <v>690</v>
      </c>
      <c r="E13" s="525"/>
      <c r="F13" s="526"/>
    </row>
    <row r="14" spans="1:8" s="522" customFormat="1">
      <c r="A14" s="527">
        <f t="shared" si="0"/>
        <v>-5</v>
      </c>
      <c r="B14" s="538" t="s">
        <v>691</v>
      </c>
      <c r="C14" s="535">
        <v>7733421.71</v>
      </c>
      <c r="D14" s="525" t="s">
        <v>692</v>
      </c>
      <c r="E14" s="525"/>
      <c r="F14" s="526"/>
      <c r="G14" s="539"/>
      <c r="H14" s="914"/>
    </row>
    <row r="15" spans="1:8" s="522" customFormat="1">
      <c r="A15" s="527">
        <f t="shared" si="0"/>
        <v>-6</v>
      </c>
      <c r="B15" s="538" t="s">
        <v>693</v>
      </c>
      <c r="C15" s="535">
        <v>97988547.280000001</v>
      </c>
      <c r="D15" s="533" t="s">
        <v>694</v>
      </c>
      <c r="E15" s="525"/>
      <c r="F15" s="526"/>
    </row>
    <row r="16" spans="1:8" s="522" customFormat="1">
      <c r="A16" s="527">
        <f t="shared" si="0"/>
        <v>-7</v>
      </c>
      <c r="B16" s="538" t="s">
        <v>695</v>
      </c>
      <c r="C16" s="535">
        <v>-1893772.6600000001</v>
      </c>
      <c r="D16" s="533" t="s">
        <v>696</v>
      </c>
      <c r="E16" s="525"/>
      <c r="F16" s="526"/>
      <c r="H16" s="913"/>
    </row>
    <row r="17" spans="1:8" s="522" customFormat="1">
      <c r="A17" s="527">
        <f t="shared" si="0"/>
        <v>-8</v>
      </c>
      <c r="B17" s="538" t="s">
        <v>697</v>
      </c>
      <c r="C17" s="535">
        <v>12067111.810000001</v>
      </c>
      <c r="D17" s="533" t="s">
        <v>698</v>
      </c>
      <c r="E17" s="525"/>
      <c r="F17" s="526"/>
    </row>
    <row r="18" spans="1:8" s="522" customFormat="1">
      <c r="A18" s="527">
        <f t="shared" si="0"/>
        <v>-9</v>
      </c>
      <c r="B18" s="538" t="s">
        <v>699</v>
      </c>
      <c r="C18" s="540">
        <v>-575248.25</v>
      </c>
      <c r="D18" s="533" t="s">
        <v>700</v>
      </c>
      <c r="E18" s="525"/>
      <c r="F18" s="526"/>
      <c r="H18" s="913"/>
    </row>
    <row r="19" spans="1:8" s="522" customFormat="1">
      <c r="A19" s="527">
        <f t="shared" si="0"/>
        <v>-10</v>
      </c>
      <c r="B19" s="366" t="s">
        <v>701</v>
      </c>
      <c r="C19" s="529">
        <f>SUM(C12:C18)</f>
        <v>683152579.38</v>
      </c>
      <c r="D19" s="541" t="s">
        <v>702</v>
      </c>
      <c r="E19" s="525"/>
      <c r="F19" s="526"/>
    </row>
    <row r="20" spans="1:8" s="522" customFormat="1">
      <c r="A20" s="527"/>
      <c r="B20" s="533"/>
      <c r="C20" s="542"/>
      <c r="D20" s="541"/>
      <c r="E20" s="525"/>
      <c r="F20" s="526"/>
      <c r="H20" s="914"/>
    </row>
    <row r="21" spans="1:8" s="522" customFormat="1">
      <c r="A21" s="527">
        <f>A19-1</f>
        <v>-11</v>
      </c>
      <c r="B21" s="533" t="s">
        <v>703</v>
      </c>
      <c r="C21" s="529">
        <f>C8</f>
        <v>1670030.24</v>
      </c>
      <c r="D21" s="541"/>
      <c r="E21" s="532"/>
      <c r="F21" s="895"/>
    </row>
    <row r="22" spans="1:8" s="522" customFormat="1">
      <c r="A22" s="543">
        <f>A21-1</f>
        <v>-12</v>
      </c>
      <c r="B22" s="544" t="s">
        <v>704</v>
      </c>
      <c r="C22" s="545">
        <f>SUM(C10,C12:C18)</f>
        <v>683191919.11000001</v>
      </c>
      <c r="D22" s="546" t="s">
        <v>705</v>
      </c>
      <c r="E22" s="896"/>
      <c r="F22" s="895"/>
      <c r="H22" s="913"/>
    </row>
    <row r="23" spans="1:8" s="522" customFormat="1">
      <c r="A23" s="527">
        <f>A22-1</f>
        <v>-13</v>
      </c>
      <c r="B23" s="533" t="s">
        <v>706</v>
      </c>
      <c r="C23" s="529">
        <f>SUM(C12:C13)</f>
        <v>567832519.49000001</v>
      </c>
      <c r="D23" s="366"/>
      <c r="E23" s="532"/>
      <c r="F23" s="895"/>
    </row>
    <row r="24" spans="1:8" s="522" customFormat="1">
      <c r="A24" s="527">
        <f>A23-1</f>
        <v>-14</v>
      </c>
      <c r="B24" s="533" t="s">
        <v>707</v>
      </c>
      <c r="C24" s="529">
        <f>SUM(C15:C16)</f>
        <v>96094774.620000005</v>
      </c>
      <c r="D24" s="528" t="s">
        <v>708</v>
      </c>
      <c r="E24" s="532"/>
      <c r="F24" s="895"/>
    </row>
    <row r="25" spans="1:8" s="522" customFormat="1">
      <c r="A25" s="527">
        <f>A24-1</f>
        <v>-15</v>
      </c>
      <c r="B25" s="533" t="s">
        <v>709</v>
      </c>
      <c r="C25" s="529">
        <f>SUM(C17:C18)</f>
        <v>11491863.560000001</v>
      </c>
      <c r="D25" s="528" t="s">
        <v>710</v>
      </c>
      <c r="E25" s="532"/>
      <c r="F25" s="895"/>
    </row>
    <row r="26" spans="1:8" s="522" customFormat="1">
      <c r="A26" s="527">
        <f>A25-1</f>
        <v>-16</v>
      </c>
      <c r="B26" s="533" t="s">
        <v>711</v>
      </c>
      <c r="C26" s="529">
        <f>SUM(C10,C14)</f>
        <v>7772761.4400000004</v>
      </c>
      <c r="D26" s="528"/>
      <c r="E26" s="532"/>
      <c r="F26" s="895"/>
    </row>
    <row r="27" spans="1:8" s="522" customFormat="1">
      <c r="A27" s="548"/>
      <c r="B27" s="434"/>
      <c r="C27" s="434"/>
      <c r="D27" s="549"/>
      <c r="E27" s="434"/>
      <c r="F27" s="550"/>
    </row>
    <row r="28" spans="1:8" s="522" customFormat="1">
      <c r="A28" s="360"/>
      <c r="B28" s="360"/>
      <c r="C28" s="360"/>
      <c r="D28" s="360"/>
      <c r="E28" s="360"/>
      <c r="F28" s="360"/>
    </row>
    <row r="29" spans="1:8" s="522" customFormat="1">
      <c r="A29" s="551"/>
      <c r="B29" s="520"/>
      <c r="C29" s="520"/>
      <c r="D29" s="520"/>
      <c r="E29" s="520"/>
      <c r="F29" s="521"/>
    </row>
    <row r="30" spans="1:8" s="522" customFormat="1">
      <c r="A30" s="552"/>
      <c r="B30" s="531" t="s">
        <v>712</v>
      </c>
      <c r="C30" s="525"/>
      <c r="D30" s="525"/>
      <c r="E30" s="525"/>
      <c r="F30" s="526"/>
    </row>
    <row r="31" spans="1:8" s="522" customFormat="1">
      <c r="A31" s="552"/>
      <c r="B31" s="533" t="s">
        <v>713</v>
      </c>
      <c r="C31" s="553">
        <f>'Network True-up'!G6</f>
        <v>567832519.87641287</v>
      </c>
      <c r="D31" s="360"/>
      <c r="E31" s="525"/>
      <c r="F31" s="526"/>
    </row>
    <row r="32" spans="1:8" s="522" customFormat="1">
      <c r="A32" s="552"/>
      <c r="B32" s="525"/>
      <c r="C32" s="525"/>
      <c r="D32" s="360"/>
      <c r="E32" s="525"/>
      <c r="F32" s="526"/>
    </row>
    <row r="33" spans="1:6" s="522" customFormat="1">
      <c r="A33" s="552"/>
      <c r="B33" s="538" t="s">
        <v>714</v>
      </c>
      <c r="C33" s="547">
        <f>-C12</f>
        <v>-575187566.5</v>
      </c>
      <c r="D33" s="360"/>
      <c r="E33" s="525"/>
      <c r="F33" s="526"/>
    </row>
    <row r="34" spans="1:6" s="522" customFormat="1">
      <c r="A34" s="552"/>
      <c r="B34" s="525"/>
      <c r="C34" s="525"/>
      <c r="D34" s="360"/>
      <c r="E34" s="525"/>
      <c r="F34" s="526"/>
    </row>
    <row r="35" spans="1:6" s="522" customFormat="1" ht="13.5" thickBot="1">
      <c r="A35" s="552"/>
      <c r="B35" s="533" t="s">
        <v>715</v>
      </c>
      <c r="C35" s="554">
        <f>C31+C33</f>
        <v>-7355046.6235871315</v>
      </c>
      <c r="D35" s="360"/>
      <c r="E35" s="525"/>
      <c r="F35" s="526"/>
    </row>
    <row r="36" spans="1:6" s="522" customFormat="1" ht="13.5" thickTop="1">
      <c r="A36" s="548"/>
      <c r="B36" s="434"/>
      <c r="C36" s="434"/>
      <c r="D36" s="434"/>
      <c r="E36" s="434"/>
      <c r="F36" s="550"/>
    </row>
    <row r="37" spans="1:6" s="522" customFormat="1">
      <c r="A37" s="360"/>
      <c r="B37" s="360"/>
      <c r="C37" s="360"/>
      <c r="D37" s="360"/>
      <c r="E37" s="360"/>
      <c r="F37" s="360"/>
    </row>
    <row r="38" spans="1:6">
      <c r="C38" s="961"/>
    </row>
  </sheetData>
  <pageMargins left="0.7" right="0.7" top="0.75" bottom="0.75" header="0.3" footer="0.3"/>
  <pageSetup scale="6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L314"/>
  <sheetViews>
    <sheetView zoomScale="60" zoomScaleNormal="60" zoomScaleSheetLayoutView="70" workbookViewId="0"/>
  </sheetViews>
  <sheetFormatPr defaultColWidth="9.140625" defaultRowHeight="15"/>
  <cols>
    <col min="1" max="1" width="7.7109375" style="184" customWidth="1"/>
    <col min="2" max="2" width="1.85546875" style="184" customWidth="1"/>
    <col min="3" max="3" width="71.28515625" style="184" bestFit="1" customWidth="1"/>
    <col min="4" max="4" width="15.42578125" style="184" customWidth="1"/>
    <col min="5" max="5" width="25.85546875" style="184" customWidth="1"/>
    <col min="6" max="6" width="15.28515625" style="184" customWidth="1"/>
    <col min="7" max="7" width="18.140625" style="184" customWidth="1"/>
    <col min="8" max="8" width="17.85546875" style="184" customWidth="1"/>
    <col min="9" max="10" width="16.42578125" style="184" customWidth="1"/>
    <col min="11" max="11" width="20" style="184" customWidth="1"/>
    <col min="12" max="12" width="18.5703125" style="184" customWidth="1"/>
    <col min="13" max="13" width="20.5703125" style="184" customWidth="1"/>
    <col min="14" max="14" width="16.42578125" style="184" customWidth="1"/>
    <col min="15" max="15" width="17.85546875" style="184" customWidth="1"/>
    <col min="16" max="16" width="2.42578125" style="184" customWidth="1"/>
    <col min="17" max="17" width="16.7109375" style="184" customWidth="1"/>
    <col min="18" max="16384" width="9.140625" style="184"/>
  </cols>
  <sheetData>
    <row r="1" spans="1:64">
      <c r="O1" s="185"/>
    </row>
    <row r="2" spans="1:64">
      <c r="C2" s="186"/>
      <c r="D2" s="186"/>
      <c r="E2" s="186"/>
      <c r="F2" s="186"/>
      <c r="G2" s="186"/>
      <c r="H2" s="186"/>
      <c r="I2" s="186"/>
      <c r="J2" s="186"/>
      <c r="K2" s="186"/>
      <c r="L2" s="186"/>
      <c r="M2" s="186"/>
      <c r="N2" s="186"/>
      <c r="O2" s="187"/>
    </row>
    <row r="3" spans="1:64">
      <c r="C3" s="186"/>
      <c r="D3" s="186"/>
      <c r="E3" s="186"/>
      <c r="F3" s="186"/>
      <c r="G3" s="186"/>
      <c r="H3" s="186"/>
      <c r="I3" s="186"/>
      <c r="J3" s="186"/>
      <c r="K3" s="186"/>
      <c r="L3" s="186"/>
      <c r="M3" s="186"/>
      <c r="N3" s="186"/>
      <c r="O3" s="186"/>
    </row>
    <row r="4" spans="1:64">
      <c r="C4" s="186"/>
      <c r="D4" s="186"/>
      <c r="E4" s="186"/>
      <c r="F4" s="186"/>
      <c r="G4" s="186"/>
      <c r="H4" s="186"/>
      <c r="I4" s="186"/>
      <c r="J4" s="186"/>
      <c r="K4" s="186"/>
      <c r="L4" s="186"/>
      <c r="M4" s="186"/>
      <c r="N4" s="186"/>
      <c r="O4" s="187" t="s">
        <v>352</v>
      </c>
    </row>
    <row r="5" spans="1:64" ht="15.75">
      <c r="C5" s="188" t="s">
        <v>353</v>
      </c>
      <c r="D5" s="188"/>
      <c r="E5" s="188"/>
      <c r="F5" s="188"/>
      <c r="G5" s="189" t="s">
        <v>354</v>
      </c>
      <c r="H5" s="188"/>
      <c r="I5" s="188"/>
      <c r="J5" s="188"/>
      <c r="K5" s="190"/>
      <c r="L5" s="190"/>
      <c r="M5" s="191"/>
      <c r="N5" s="192"/>
      <c r="O5" s="193" t="s">
        <v>631</v>
      </c>
      <c r="P5" s="194"/>
      <c r="Q5" s="195"/>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row>
    <row r="6" spans="1:64">
      <c r="C6" s="188"/>
      <c r="D6" s="188"/>
      <c r="E6" s="196" t="s">
        <v>1</v>
      </c>
      <c r="F6" s="196"/>
      <c r="G6" s="196" t="s">
        <v>355</v>
      </c>
      <c r="H6" s="196"/>
      <c r="I6" s="196"/>
      <c r="J6" s="196"/>
      <c r="K6" s="190"/>
      <c r="L6" s="190"/>
      <c r="M6" s="186"/>
      <c r="N6" s="197"/>
      <c r="O6" s="190"/>
      <c r="P6" s="194"/>
      <c r="Q6" s="198"/>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row>
    <row r="7" spans="1:64">
      <c r="A7" s="186"/>
      <c r="C7" s="197"/>
      <c r="D7" s="197"/>
      <c r="E7" s="197"/>
      <c r="F7" s="197"/>
      <c r="G7" s="197"/>
      <c r="H7" s="197"/>
      <c r="I7" s="197"/>
      <c r="J7" s="197"/>
      <c r="K7" s="197"/>
      <c r="L7" s="197"/>
      <c r="M7" s="186"/>
      <c r="N7" s="197"/>
      <c r="O7" s="197" t="s">
        <v>356</v>
      </c>
      <c r="P7" s="194"/>
      <c r="Q7" s="195"/>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row>
    <row r="8" spans="1:64">
      <c r="A8" s="199"/>
      <c r="C8" s="197"/>
      <c r="D8" s="197"/>
      <c r="E8" s="197"/>
      <c r="F8" s="192"/>
      <c r="G8" s="200" t="s">
        <v>218</v>
      </c>
      <c r="H8" s="192"/>
      <c r="I8" s="197"/>
      <c r="J8" s="197"/>
      <c r="K8" s="197"/>
      <c r="L8" s="197"/>
      <c r="M8" s="197"/>
      <c r="N8" s="197"/>
      <c r="O8" s="197"/>
      <c r="P8" s="194"/>
      <c r="Q8" s="195"/>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row>
    <row r="9" spans="1:64">
      <c r="A9" s="199"/>
      <c r="C9" s="197"/>
      <c r="D9" s="197"/>
      <c r="E9" s="197"/>
      <c r="F9" s="197"/>
      <c r="G9" s="201"/>
      <c r="H9" s="197"/>
      <c r="I9" s="197"/>
      <c r="J9" s="197"/>
      <c r="K9" s="197"/>
      <c r="L9" s="197"/>
      <c r="M9" s="197"/>
      <c r="N9" s="197"/>
      <c r="O9" s="197"/>
      <c r="P9" s="194"/>
      <c r="Q9" s="195"/>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row>
    <row r="10" spans="1:64">
      <c r="A10" s="199"/>
      <c r="C10" s="197" t="s">
        <v>357</v>
      </c>
      <c r="D10" s="197"/>
      <c r="E10" s="197"/>
      <c r="F10" s="197"/>
      <c r="G10" s="201"/>
      <c r="H10" s="197"/>
      <c r="I10" s="197"/>
      <c r="J10" s="197"/>
      <c r="K10" s="197"/>
      <c r="L10" s="197"/>
      <c r="M10" s="197"/>
      <c r="N10" s="197"/>
      <c r="O10" s="197"/>
      <c r="P10" s="194"/>
      <c r="Q10" s="195"/>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row>
    <row r="11" spans="1:64">
      <c r="A11" s="199"/>
      <c r="C11" s="197"/>
      <c r="D11" s="197"/>
      <c r="E11" s="197"/>
      <c r="F11" s="197"/>
      <c r="G11" s="201"/>
      <c r="H11" s="186"/>
      <c r="I11" s="186"/>
      <c r="J11" s="186"/>
      <c r="K11" s="186"/>
      <c r="L11" s="186"/>
      <c r="M11" s="197"/>
      <c r="N11" s="197"/>
      <c r="O11" s="197"/>
      <c r="P11" s="194"/>
      <c r="Q11" s="194"/>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row>
    <row r="12" spans="1:64">
      <c r="A12" s="199"/>
      <c r="C12" s="197"/>
      <c r="D12" s="197"/>
      <c r="E12" s="197"/>
      <c r="F12" s="197"/>
      <c r="G12" s="197"/>
      <c r="H12" s="186"/>
      <c r="I12" s="186"/>
      <c r="J12" s="186"/>
      <c r="K12" s="186"/>
      <c r="L12" s="186"/>
      <c r="M12" s="202"/>
      <c r="N12" s="197"/>
      <c r="O12" s="197"/>
      <c r="P12" s="194"/>
      <c r="Q12" s="194"/>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row>
    <row r="13" spans="1:64">
      <c r="A13" s="186"/>
      <c r="C13" s="203" t="s">
        <v>49</v>
      </c>
      <c r="D13" s="203"/>
      <c r="E13" s="203" t="s">
        <v>50</v>
      </c>
      <c r="F13" s="203"/>
      <c r="G13" s="203" t="s">
        <v>51</v>
      </c>
      <c r="H13" s="186"/>
      <c r="I13" s="186"/>
      <c r="J13" s="186"/>
      <c r="K13" s="186"/>
      <c r="L13" s="186"/>
      <c r="M13" s="204" t="s">
        <v>52</v>
      </c>
      <c r="N13" s="196"/>
      <c r="O13" s="204"/>
      <c r="P13" s="205"/>
      <c r="Q13" s="204"/>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row>
    <row r="14" spans="1:64" ht="15.75">
      <c r="A14" s="186"/>
      <c r="C14" s="207"/>
      <c r="D14" s="207"/>
      <c r="E14" s="208" t="s">
        <v>358</v>
      </c>
      <c r="F14" s="208"/>
      <c r="G14" s="196"/>
      <c r="H14" s="186"/>
      <c r="I14" s="186"/>
      <c r="J14" s="186"/>
      <c r="K14" s="186"/>
      <c r="L14" s="186"/>
      <c r="M14" s="186"/>
      <c r="N14" s="196"/>
      <c r="O14" s="186"/>
      <c r="P14" s="205"/>
      <c r="Q14" s="209"/>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row>
    <row r="15" spans="1:64" ht="15.75">
      <c r="A15" s="199" t="s">
        <v>4</v>
      </c>
      <c r="C15" s="207"/>
      <c r="D15" s="207"/>
      <c r="E15" s="210" t="s">
        <v>56</v>
      </c>
      <c r="F15" s="210"/>
      <c r="G15" s="211" t="s">
        <v>55</v>
      </c>
      <c r="H15" s="186"/>
      <c r="I15" s="186"/>
      <c r="J15" s="186"/>
      <c r="K15" s="186"/>
      <c r="L15" s="186"/>
      <c r="M15" s="211" t="s">
        <v>11</v>
      </c>
      <c r="N15" s="196"/>
      <c r="O15" s="186"/>
      <c r="P15" s="194"/>
      <c r="Q15" s="212"/>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row>
    <row r="16" spans="1:64" ht="15.75">
      <c r="A16" s="199" t="s">
        <v>6</v>
      </c>
      <c r="C16" s="213"/>
      <c r="D16" s="213"/>
      <c r="E16" s="196"/>
      <c r="F16" s="196"/>
      <c r="G16" s="196"/>
      <c r="H16" s="186"/>
      <c r="I16" s="186"/>
      <c r="J16" s="186"/>
      <c r="K16" s="186"/>
      <c r="L16" s="186"/>
      <c r="M16" s="196"/>
      <c r="N16" s="196"/>
      <c r="O16" s="196"/>
      <c r="P16" s="194"/>
      <c r="Q16" s="205"/>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row>
    <row r="17" spans="1:64" ht="15.75">
      <c r="A17" s="214"/>
      <c r="C17" s="207"/>
      <c r="D17" s="207"/>
      <c r="E17" s="196"/>
      <c r="F17" s="196"/>
      <c r="G17" s="196"/>
      <c r="H17" s="186"/>
      <c r="I17" s="186"/>
      <c r="J17" s="186"/>
      <c r="K17" s="186"/>
      <c r="L17" s="186"/>
      <c r="M17" s="196"/>
      <c r="N17" s="196"/>
      <c r="O17" s="196"/>
      <c r="P17" s="194"/>
      <c r="Q17" s="205"/>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row>
    <row r="18" spans="1:64">
      <c r="A18" s="215">
        <v>1</v>
      </c>
      <c r="C18" s="207" t="s">
        <v>359</v>
      </c>
      <c r="D18" s="207"/>
      <c r="E18" s="216" t="s">
        <v>360</v>
      </c>
      <c r="F18" s="216"/>
      <c r="G18" s="217">
        <f>'ATC Attach O ER15-358'!I87+'ATC Attach O ER15-358'!I88</f>
        <v>5058842120</v>
      </c>
      <c r="H18" s="186"/>
      <c r="I18" s="186"/>
      <c r="J18" s="186"/>
      <c r="K18" s="186"/>
      <c r="L18" s="186"/>
      <c r="M18" s="186"/>
      <c r="N18" s="196"/>
      <c r="O18" s="196"/>
      <c r="P18" s="194"/>
      <c r="Q18" s="205"/>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row>
    <row r="19" spans="1:64">
      <c r="A19" s="215">
        <v>2</v>
      </c>
      <c r="C19" s="207" t="s">
        <v>361</v>
      </c>
      <c r="D19" s="207"/>
      <c r="E19" s="216" t="s">
        <v>362</v>
      </c>
      <c r="F19" s="216"/>
      <c r="G19" s="217">
        <f>'ATC Attach O ER15-358'!I105+'ATC Attach O ER15-358'!I106</f>
        <v>3798463419.6900001</v>
      </c>
      <c r="H19" s="186"/>
      <c r="I19" s="186"/>
      <c r="J19" s="186"/>
      <c r="K19" s="186"/>
      <c r="L19" s="186"/>
      <c r="M19" s="186"/>
      <c r="N19" s="196"/>
      <c r="O19" s="196"/>
      <c r="P19" s="194"/>
      <c r="Q19" s="205"/>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row>
    <row r="20" spans="1:64">
      <c r="A20" s="215"/>
      <c r="C20" s="186"/>
      <c r="D20" s="186"/>
      <c r="E20" s="216"/>
      <c r="F20" s="216"/>
      <c r="G20" s="186"/>
      <c r="H20" s="186"/>
      <c r="I20" s="186"/>
      <c r="J20" s="186"/>
      <c r="K20" s="186"/>
      <c r="L20" s="186"/>
      <c r="M20" s="186"/>
      <c r="N20" s="196"/>
      <c r="O20" s="196"/>
      <c r="P20" s="194"/>
      <c r="Q20" s="205"/>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row>
    <row r="21" spans="1:64">
      <c r="A21" s="215"/>
      <c r="C21" s="207" t="s">
        <v>363</v>
      </c>
      <c r="D21" s="207"/>
      <c r="E21" s="216"/>
      <c r="F21" s="216"/>
      <c r="G21" s="196"/>
      <c r="H21" s="186"/>
      <c r="I21" s="186"/>
      <c r="J21" s="186"/>
      <c r="K21" s="186"/>
      <c r="L21" s="186"/>
      <c r="M21" s="196"/>
      <c r="N21" s="196"/>
      <c r="O21" s="196"/>
      <c r="P21" s="205"/>
      <c r="Q21" s="205"/>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row>
    <row r="22" spans="1:64">
      <c r="A22" s="215">
        <v>3</v>
      </c>
      <c r="C22" s="207" t="s">
        <v>364</v>
      </c>
      <c r="D22" s="207"/>
      <c r="E22" s="216" t="s">
        <v>365</v>
      </c>
      <c r="F22" s="216"/>
      <c r="G22" s="217">
        <f>'ATC Attach O ER15-358'!I165</f>
        <v>141277453.87952605</v>
      </c>
      <c r="H22" s="186"/>
      <c r="I22" s="186"/>
      <c r="J22" s="186"/>
      <c r="K22" s="186"/>
      <c r="L22" s="186"/>
      <c r="M22" s="196"/>
      <c r="N22" s="196"/>
      <c r="O22" s="196"/>
      <c r="P22" s="205"/>
      <c r="Q22" s="205"/>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row>
    <row r="23" spans="1:64">
      <c r="A23" s="215" t="s">
        <v>366</v>
      </c>
      <c r="B23" s="218"/>
      <c r="C23" s="207" t="s">
        <v>367</v>
      </c>
      <c r="D23" s="207"/>
      <c r="E23" s="216" t="s">
        <v>368</v>
      </c>
      <c r="F23" s="216"/>
      <c r="G23" s="219">
        <v>5471583.3200000003</v>
      </c>
      <c r="H23" s="186"/>
      <c r="I23" s="186"/>
      <c r="J23" s="186"/>
      <c r="K23" s="186"/>
      <c r="L23" s="186"/>
      <c r="M23" s="196"/>
      <c r="N23" s="196"/>
      <c r="O23" s="196"/>
      <c r="P23" s="205"/>
      <c r="Q23" s="205"/>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row>
    <row r="24" spans="1:64">
      <c r="A24" s="215" t="s">
        <v>369</v>
      </c>
      <c r="B24" s="218"/>
      <c r="C24" s="207" t="s">
        <v>370</v>
      </c>
      <c r="D24" s="207"/>
      <c r="E24" s="216" t="s">
        <v>371</v>
      </c>
      <c r="F24" s="216"/>
      <c r="G24" s="220">
        <f>+G22-G23</f>
        <v>135805870.55952606</v>
      </c>
      <c r="H24" s="186"/>
      <c r="I24" s="186"/>
      <c r="J24" s="186"/>
      <c r="K24" s="186"/>
      <c r="L24" s="186"/>
      <c r="M24" s="186"/>
      <c r="N24" s="196"/>
      <c r="O24" s="196"/>
      <c r="P24" s="205"/>
      <c r="Q24" s="205"/>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row>
    <row r="25" spans="1:64" ht="15.75">
      <c r="A25" s="215">
        <v>4</v>
      </c>
      <c r="C25" s="207" t="s">
        <v>372</v>
      </c>
      <c r="D25" s="207"/>
      <c r="E25" s="216" t="s">
        <v>373</v>
      </c>
      <c r="F25" s="216"/>
      <c r="G25" s="221">
        <f>IF(G24=0,0,G24/G18)</f>
        <v>2.6845247852788506E-2</v>
      </c>
      <c r="H25" s="186"/>
      <c r="I25" s="186"/>
      <c r="J25" s="186"/>
      <c r="K25" s="186"/>
      <c r="L25" s="186"/>
      <c r="M25" s="222">
        <f>G25</f>
        <v>2.6845247852788506E-2</v>
      </c>
      <c r="N25" s="196"/>
      <c r="O25" s="223"/>
      <c r="P25" s="224"/>
      <c r="Q25" s="225"/>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row>
    <row r="26" spans="1:64" ht="15.75">
      <c r="A26" s="215"/>
      <c r="C26" s="207"/>
      <c r="D26" s="207"/>
      <c r="E26" s="216"/>
      <c r="F26" s="216"/>
      <c r="G26" s="221"/>
      <c r="H26" s="186"/>
      <c r="I26" s="186"/>
      <c r="J26" s="186"/>
      <c r="K26" s="186"/>
      <c r="L26" s="186"/>
      <c r="M26" s="222"/>
      <c r="N26" s="196"/>
      <c r="O26" s="223"/>
      <c r="P26" s="224"/>
      <c r="Q26" s="225"/>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row>
    <row r="27" spans="1:64" ht="15.75">
      <c r="A27" s="226"/>
      <c r="B27" s="186"/>
      <c r="C27" s="207" t="s">
        <v>374</v>
      </c>
      <c r="D27" s="207"/>
      <c r="E27" s="227"/>
      <c r="F27" s="227"/>
      <c r="G27" s="196"/>
      <c r="H27" s="186"/>
      <c r="I27" s="186"/>
      <c r="J27" s="186"/>
      <c r="K27" s="186"/>
      <c r="L27" s="186"/>
      <c r="M27" s="196"/>
      <c r="N27" s="196"/>
      <c r="O27" s="223"/>
      <c r="P27" s="224"/>
      <c r="Q27" s="225"/>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row>
    <row r="28" spans="1:64" ht="15.75">
      <c r="A28" s="226" t="s">
        <v>375</v>
      </c>
      <c r="B28" s="186"/>
      <c r="C28" s="207" t="s">
        <v>376</v>
      </c>
      <c r="D28" s="207"/>
      <c r="E28" s="216" t="s">
        <v>377</v>
      </c>
      <c r="F28" s="216"/>
      <c r="G28" s="217">
        <f>'ATC Attach O ER15-358'!I169+'ATC Attach O ER15-358'!I170</f>
        <v>11005414</v>
      </c>
      <c r="H28" s="186"/>
      <c r="I28" s="186"/>
      <c r="J28" s="186"/>
      <c r="K28" s="186"/>
      <c r="L28" s="186"/>
      <c r="M28" s="186"/>
      <c r="N28" s="196"/>
      <c r="O28" s="223"/>
      <c r="P28" s="224"/>
      <c r="Q28" s="225"/>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row>
    <row r="29" spans="1:64" ht="15.75">
      <c r="A29" s="226" t="s">
        <v>378</v>
      </c>
      <c r="B29" s="186"/>
      <c r="C29" s="207" t="s">
        <v>379</v>
      </c>
      <c r="D29" s="207"/>
      <c r="E29" s="216" t="s">
        <v>380</v>
      </c>
      <c r="F29" s="216"/>
      <c r="G29" s="221">
        <f>IF(G28=0,0,G28/G18)</f>
        <v>2.1754808193144401E-3</v>
      </c>
      <c r="H29" s="186"/>
      <c r="I29" s="186"/>
      <c r="J29" s="186"/>
      <c r="K29" s="186"/>
      <c r="L29" s="186"/>
      <c r="M29" s="222">
        <f>G29</f>
        <v>2.1754808193144401E-3</v>
      </c>
      <c r="N29" s="196"/>
      <c r="O29" s="223"/>
      <c r="P29" s="224"/>
      <c r="Q29" s="225"/>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row>
    <row r="30" spans="1:64" ht="15.75">
      <c r="A30" s="215"/>
      <c r="C30" s="207"/>
      <c r="D30" s="207"/>
      <c r="E30" s="216"/>
      <c r="F30" s="216"/>
      <c r="G30" s="221"/>
      <c r="H30" s="186"/>
      <c r="I30" s="186"/>
      <c r="J30" s="186"/>
      <c r="K30" s="186"/>
      <c r="L30" s="186"/>
      <c r="M30" s="222"/>
      <c r="N30" s="196"/>
      <c r="O30" s="223"/>
      <c r="P30" s="224"/>
      <c r="Q30" s="225"/>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row>
    <row r="31" spans="1:64">
      <c r="A31" s="226"/>
      <c r="C31" s="207" t="s">
        <v>381</v>
      </c>
      <c r="D31" s="207"/>
      <c r="E31" s="227"/>
      <c r="F31" s="227"/>
      <c r="G31" s="196"/>
      <c r="H31" s="186"/>
      <c r="I31" s="186"/>
      <c r="J31" s="186"/>
      <c r="K31" s="186"/>
      <c r="L31" s="186"/>
      <c r="M31" s="196"/>
      <c r="N31" s="196"/>
      <c r="O31" s="196"/>
      <c r="P31" s="205"/>
      <c r="Q31" s="19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row>
    <row r="32" spans="1:64" ht="15.75">
      <c r="A32" s="226" t="s">
        <v>382</v>
      </c>
      <c r="C32" s="207" t="s">
        <v>383</v>
      </c>
      <c r="D32" s="207"/>
      <c r="E32" s="216" t="s">
        <v>384</v>
      </c>
      <c r="F32" s="216"/>
      <c r="G32" s="217">
        <f>'ATC Attach O ER15-358'!I182</f>
        <v>23001910.780000001</v>
      </c>
      <c r="H32" s="186"/>
      <c r="I32" s="186"/>
      <c r="J32" s="186"/>
      <c r="K32" s="186"/>
      <c r="L32" s="186"/>
      <c r="M32" s="186"/>
      <c r="N32" s="196"/>
      <c r="O32" s="228"/>
      <c r="P32" s="205"/>
      <c r="Q32" s="215"/>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row>
    <row r="33" spans="1:64" ht="15.75">
      <c r="A33" s="226" t="s">
        <v>385</v>
      </c>
      <c r="C33" s="207" t="s">
        <v>386</v>
      </c>
      <c r="D33" s="207"/>
      <c r="E33" s="216" t="s">
        <v>387</v>
      </c>
      <c r="F33" s="216"/>
      <c r="G33" s="221">
        <f>IF(G32=0,0,G32/G18)</f>
        <v>4.5468726310043455E-3</v>
      </c>
      <c r="H33" s="186"/>
      <c r="I33" s="186"/>
      <c r="J33" s="186"/>
      <c r="K33" s="186"/>
      <c r="L33" s="186"/>
      <c r="M33" s="222">
        <f>G33</f>
        <v>4.5468726310043455E-3</v>
      </c>
      <c r="N33" s="196"/>
      <c r="O33" s="223"/>
      <c r="P33" s="205"/>
      <c r="Q33" s="225"/>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row>
    <row r="34" spans="1:64">
      <c r="A34" s="226"/>
      <c r="C34" s="207"/>
      <c r="D34" s="207"/>
      <c r="E34" s="216"/>
      <c r="F34" s="216"/>
      <c r="G34" s="196"/>
      <c r="H34" s="186"/>
      <c r="I34" s="186"/>
      <c r="J34" s="186"/>
      <c r="K34" s="186"/>
      <c r="L34" s="186"/>
      <c r="M34" s="196"/>
      <c r="N34" s="196"/>
      <c r="O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row>
    <row r="35" spans="1:64" ht="15.75">
      <c r="A35" s="229" t="s">
        <v>388</v>
      </c>
      <c r="B35" s="230"/>
      <c r="C35" s="213" t="s">
        <v>389</v>
      </c>
      <c r="D35" s="213"/>
      <c r="E35" s="208" t="s">
        <v>390</v>
      </c>
      <c r="F35" s="208"/>
      <c r="G35" s="231"/>
      <c r="H35" s="186"/>
      <c r="I35" s="186"/>
      <c r="J35" s="186"/>
      <c r="K35" s="186"/>
      <c r="L35" s="186"/>
      <c r="M35" s="232">
        <f>M25+M29+M33</f>
        <v>3.3567601303107292E-2</v>
      </c>
      <c r="N35" s="196"/>
      <c r="O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row>
    <row r="36" spans="1:64">
      <c r="A36" s="226"/>
      <c r="C36" s="207"/>
      <c r="D36" s="207"/>
      <c r="E36" s="216"/>
      <c r="F36" s="216"/>
      <c r="G36" s="196"/>
      <c r="H36" s="186"/>
      <c r="I36" s="186"/>
      <c r="J36" s="186"/>
      <c r="K36" s="186"/>
      <c r="L36" s="186"/>
      <c r="M36" s="196"/>
      <c r="N36" s="196"/>
      <c r="O36" s="196"/>
      <c r="P36" s="205"/>
      <c r="Q36" s="233"/>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row>
    <row r="37" spans="1:64">
      <c r="A37" s="226"/>
      <c r="B37" s="234"/>
      <c r="C37" s="196" t="s">
        <v>391</v>
      </c>
      <c r="D37" s="196"/>
      <c r="E37" s="216"/>
      <c r="F37" s="216"/>
      <c r="G37" s="196"/>
      <c r="H37" s="186"/>
      <c r="I37" s="186"/>
      <c r="J37" s="186"/>
      <c r="K37" s="186"/>
      <c r="L37" s="186"/>
      <c r="M37" s="196"/>
      <c r="N37" s="196"/>
      <c r="O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row>
    <row r="38" spans="1:64">
      <c r="A38" s="226" t="s">
        <v>392</v>
      </c>
      <c r="B38" s="234"/>
      <c r="C38" s="196" t="s">
        <v>393</v>
      </c>
      <c r="D38" s="196"/>
      <c r="E38" s="216" t="s">
        <v>394</v>
      </c>
      <c r="F38" s="216"/>
      <c r="G38" s="217">
        <f>'ATC Attach O ER15-358'!I197</f>
        <v>111462695.27652104</v>
      </c>
      <c r="H38" s="186"/>
      <c r="I38" s="186"/>
      <c r="J38" s="186"/>
      <c r="K38" s="186"/>
      <c r="L38" s="186"/>
      <c r="M38" s="196"/>
      <c r="N38" s="196"/>
      <c r="O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row>
    <row r="39" spans="1:64" ht="15.75">
      <c r="A39" s="226" t="s">
        <v>395</v>
      </c>
      <c r="B39" s="234"/>
      <c r="C39" s="196" t="s">
        <v>396</v>
      </c>
      <c r="D39" s="196"/>
      <c r="E39" s="216" t="s">
        <v>397</v>
      </c>
      <c r="F39" s="216"/>
      <c r="G39" s="221">
        <f>IF(G38=0,0,G38/G19)</f>
        <v>2.9344153927805292E-2</v>
      </c>
      <c r="H39" s="186"/>
      <c r="I39" s="186"/>
      <c r="J39" s="186"/>
      <c r="K39" s="186"/>
      <c r="L39" s="186"/>
      <c r="M39" s="222">
        <f>G39</f>
        <v>2.9344153927805292E-2</v>
      </c>
      <c r="N39" s="196"/>
      <c r="O39" s="186"/>
      <c r="P39" s="205"/>
      <c r="Q39" s="205"/>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row>
    <row r="40" spans="1:64">
      <c r="A40" s="226"/>
      <c r="C40" s="196"/>
      <c r="D40" s="196"/>
      <c r="E40" s="216"/>
      <c r="F40" s="216"/>
      <c r="G40" s="196"/>
      <c r="H40" s="186"/>
      <c r="I40" s="186"/>
      <c r="J40" s="186"/>
      <c r="K40" s="186"/>
      <c r="L40" s="186"/>
      <c r="M40" s="196"/>
      <c r="N40" s="196"/>
      <c r="O40" s="186"/>
      <c r="P40" s="194"/>
      <c r="Q40" s="205"/>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row>
    <row r="41" spans="1:64">
      <c r="A41" s="226"/>
      <c r="C41" s="207" t="s">
        <v>126</v>
      </c>
      <c r="D41" s="207"/>
      <c r="E41" s="235"/>
      <c r="F41" s="235"/>
      <c r="G41" s="186"/>
      <c r="H41" s="186"/>
      <c r="I41" s="186"/>
      <c r="J41" s="186"/>
      <c r="K41" s="186"/>
      <c r="L41" s="186"/>
      <c r="M41" s="186"/>
      <c r="N41" s="196"/>
      <c r="O41" s="186"/>
      <c r="P41" s="205"/>
      <c r="Q41" s="205"/>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row>
    <row r="42" spans="1:64">
      <c r="A42" s="226" t="s">
        <v>398</v>
      </c>
      <c r="C42" s="207" t="s">
        <v>399</v>
      </c>
      <c r="D42" s="207"/>
      <c r="E42" s="216" t="s">
        <v>400</v>
      </c>
      <c r="F42" s="216"/>
      <c r="G42" s="217">
        <f>'ATC Attach O ER15-358'!I199</f>
        <v>267395629.80036578</v>
      </c>
      <c r="H42" s="186"/>
      <c r="I42" s="186"/>
      <c r="J42" s="186"/>
      <c r="K42" s="186"/>
      <c r="L42" s="186"/>
      <c r="M42" s="196"/>
      <c r="N42" s="196"/>
      <c r="O42" s="186"/>
      <c r="P42" s="205"/>
      <c r="Q42" s="205"/>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row>
    <row r="43" spans="1:64" ht="15.75">
      <c r="A43" s="226" t="s">
        <v>401</v>
      </c>
      <c r="B43" s="234"/>
      <c r="C43" s="196" t="s">
        <v>402</v>
      </c>
      <c r="D43" s="196"/>
      <c r="E43" s="216" t="s">
        <v>403</v>
      </c>
      <c r="F43" s="216"/>
      <c r="G43" s="236">
        <f>IF(G42=0,0,G42/G19)</f>
        <v>7.039573644813156E-2</v>
      </c>
      <c r="H43" s="186"/>
      <c r="I43" s="186"/>
      <c r="J43" s="186"/>
      <c r="K43" s="186"/>
      <c r="L43" s="186"/>
      <c r="M43" s="222">
        <f>G43</f>
        <v>7.039573644813156E-2</v>
      </c>
      <c r="N43" s="196"/>
      <c r="O43" s="186"/>
      <c r="Q43" s="237"/>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row>
    <row r="44" spans="1:64">
      <c r="A44" s="226"/>
      <c r="C44" s="207"/>
      <c r="D44" s="207"/>
      <c r="E44" s="216"/>
      <c r="F44" s="216"/>
      <c r="G44" s="196"/>
      <c r="H44" s="186"/>
      <c r="I44" s="186"/>
      <c r="J44" s="186"/>
      <c r="K44" s="186"/>
      <c r="L44" s="186"/>
      <c r="M44" s="196"/>
      <c r="N44" s="196"/>
      <c r="O44" s="235"/>
      <c r="P44" s="205"/>
      <c r="Q44" s="205"/>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row>
    <row r="45" spans="1:64" ht="15.75">
      <c r="A45" s="229" t="s">
        <v>404</v>
      </c>
      <c r="B45" s="230"/>
      <c r="C45" s="213" t="s">
        <v>405</v>
      </c>
      <c r="D45" s="213"/>
      <c r="E45" s="208" t="s">
        <v>406</v>
      </c>
      <c r="F45" s="208"/>
      <c r="G45" s="231"/>
      <c r="H45" s="186"/>
      <c r="I45" s="186"/>
      <c r="J45" s="186"/>
      <c r="K45" s="186"/>
      <c r="L45" s="186"/>
      <c r="M45" s="232">
        <f>M39+M43</f>
        <v>9.9739890375936849E-2</v>
      </c>
      <c r="N45" s="196"/>
      <c r="O45" s="235"/>
      <c r="P45" s="205"/>
      <c r="Q45" s="205"/>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row>
    <row r="46" spans="1:64">
      <c r="A46" s="186"/>
      <c r="C46" s="186"/>
      <c r="D46" s="186"/>
      <c r="E46" s="186"/>
      <c r="F46" s="186"/>
      <c r="G46" s="186"/>
      <c r="H46" s="186"/>
      <c r="I46" s="186"/>
      <c r="J46" s="186"/>
      <c r="K46" s="186"/>
      <c r="L46" s="186"/>
      <c r="M46" s="186"/>
      <c r="N46" s="197"/>
      <c r="O46" s="197"/>
      <c r="P46" s="205"/>
      <c r="Q46" s="205"/>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row>
    <row r="47" spans="1:64">
      <c r="C47" s="186"/>
      <c r="D47" s="186"/>
      <c r="E47" s="186"/>
      <c r="F47" s="186"/>
      <c r="G47" s="186"/>
      <c r="H47" s="186"/>
      <c r="I47" s="186"/>
      <c r="J47" s="186"/>
      <c r="K47" s="186"/>
      <c r="L47" s="186"/>
      <c r="M47" s="186"/>
      <c r="N47" s="197"/>
      <c r="O47" s="197"/>
      <c r="P47" s="205"/>
      <c r="Q47" s="205"/>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row>
    <row r="48" spans="1:64">
      <c r="C48" s="186"/>
      <c r="D48" s="186"/>
      <c r="E48" s="186"/>
      <c r="F48" s="186"/>
      <c r="G48" s="186"/>
      <c r="H48" s="186"/>
      <c r="I48" s="186"/>
      <c r="J48" s="186"/>
      <c r="K48" s="186"/>
      <c r="L48" s="186"/>
      <c r="M48" s="186"/>
      <c r="N48" s="197"/>
      <c r="O48" s="197"/>
      <c r="P48" s="205"/>
      <c r="Q48" s="205"/>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row>
    <row r="49" spans="1:64">
      <c r="C49" s="186"/>
      <c r="D49" s="186"/>
      <c r="E49" s="186"/>
      <c r="F49" s="186"/>
      <c r="G49" s="186"/>
      <c r="H49" s="186"/>
      <c r="I49" s="186"/>
      <c r="J49" s="186"/>
      <c r="K49" s="186"/>
      <c r="L49" s="186"/>
      <c r="M49" s="186"/>
      <c r="N49" s="197"/>
      <c r="O49" s="197"/>
      <c r="P49" s="206"/>
      <c r="Q49" s="20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row>
    <row r="50" spans="1:64">
      <c r="C50" s="186"/>
      <c r="D50" s="186"/>
      <c r="E50" s="186"/>
      <c r="F50" s="186"/>
      <c r="G50" s="186"/>
      <c r="H50" s="186"/>
      <c r="I50" s="186"/>
      <c r="J50" s="186"/>
      <c r="K50" s="186"/>
      <c r="L50" s="186"/>
      <c r="M50" s="186"/>
      <c r="N50" s="196"/>
      <c r="O50" s="196"/>
      <c r="P50" s="205"/>
      <c r="Q50" s="194"/>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row>
    <row r="51" spans="1:64" ht="15.75">
      <c r="C51" s="186"/>
      <c r="D51" s="186"/>
      <c r="E51" s="186"/>
      <c r="F51" s="186"/>
      <c r="G51" s="186"/>
      <c r="H51" s="186"/>
      <c r="I51" s="186"/>
      <c r="J51" s="186"/>
      <c r="K51" s="186"/>
      <c r="L51" s="186"/>
      <c r="M51" s="186"/>
      <c r="N51" s="196"/>
      <c r="O51" s="223"/>
      <c r="P51" s="205"/>
      <c r="Q51" s="205"/>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row>
    <row r="52" spans="1:64" ht="15.75">
      <c r="C52" s="186"/>
      <c r="D52" s="186"/>
      <c r="E52" s="186"/>
      <c r="F52" s="186"/>
      <c r="G52" s="186"/>
      <c r="H52" s="186"/>
      <c r="I52" s="186"/>
      <c r="J52" s="186"/>
      <c r="K52" s="186"/>
      <c r="L52" s="186"/>
      <c r="M52" s="186"/>
      <c r="N52" s="196"/>
      <c r="O52" s="223"/>
      <c r="P52" s="205"/>
      <c r="Q52" s="205"/>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row>
    <row r="53" spans="1:64" ht="15.75">
      <c r="C53" s="186"/>
      <c r="D53" s="186"/>
      <c r="E53" s="186"/>
      <c r="F53" s="186"/>
      <c r="G53" s="186"/>
      <c r="H53" s="186"/>
      <c r="I53" s="186"/>
      <c r="J53" s="186"/>
      <c r="K53" s="186"/>
      <c r="L53" s="186"/>
      <c r="M53" s="186"/>
      <c r="N53" s="196"/>
      <c r="O53" s="223"/>
      <c r="P53" s="205"/>
      <c r="Q53" s="205"/>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row>
    <row r="54" spans="1:64" ht="15.75">
      <c r="A54" s="226"/>
      <c r="B54" s="234"/>
      <c r="C54" s="238"/>
      <c r="D54" s="238"/>
      <c r="E54" s="227"/>
      <c r="F54" s="227"/>
      <c r="G54" s="196"/>
      <c r="H54" s="238"/>
      <c r="I54" s="238"/>
      <c r="J54" s="221"/>
      <c r="K54" s="238"/>
      <c r="L54" s="238"/>
      <c r="M54" s="196"/>
      <c r="N54" s="196"/>
      <c r="O54" s="223"/>
      <c r="P54" s="205"/>
      <c r="Q54" s="205"/>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row>
    <row r="55" spans="1:64" ht="15.75">
      <c r="A55" s="226"/>
      <c r="B55" s="234"/>
      <c r="C55" s="238"/>
      <c r="D55" s="238"/>
      <c r="E55" s="227"/>
      <c r="F55" s="227"/>
      <c r="G55" s="196"/>
      <c r="H55" s="238"/>
      <c r="I55" s="238"/>
      <c r="J55" s="221"/>
      <c r="K55" s="238"/>
      <c r="L55" s="238"/>
      <c r="M55" s="196"/>
      <c r="N55" s="196"/>
      <c r="O55" s="223"/>
      <c r="P55" s="205"/>
      <c r="Q55" s="205"/>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row>
    <row r="56" spans="1:64" ht="15.75">
      <c r="A56" s="239"/>
      <c r="B56" s="186"/>
      <c r="C56" s="226"/>
      <c r="D56" s="226"/>
      <c r="E56" s="227"/>
      <c r="F56" s="227"/>
      <c r="G56" s="196"/>
      <c r="H56" s="238"/>
      <c r="I56" s="238"/>
      <c r="J56" s="221"/>
      <c r="K56" s="238"/>
      <c r="L56" s="238"/>
      <c r="M56" s="186"/>
      <c r="N56" s="196"/>
      <c r="O56" s="240"/>
      <c r="P56" s="241"/>
      <c r="Q56" s="205"/>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row>
    <row r="57" spans="1:64" ht="15.75">
      <c r="A57" s="239"/>
      <c r="B57" s="186"/>
      <c r="C57" s="226"/>
      <c r="D57" s="226"/>
      <c r="E57" s="227"/>
      <c r="F57" s="227"/>
      <c r="G57" s="196"/>
      <c r="H57" s="238"/>
      <c r="I57" s="238"/>
      <c r="J57" s="221"/>
      <c r="K57" s="238"/>
      <c r="L57" s="238"/>
      <c r="M57" s="186"/>
      <c r="N57" s="196"/>
      <c r="O57" s="223"/>
      <c r="P57" s="241"/>
      <c r="Q57" s="205"/>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row>
    <row r="58" spans="1:64" ht="15.75">
      <c r="A58" s="242"/>
      <c r="B58" s="186"/>
      <c r="C58" s="226"/>
      <c r="D58" s="226"/>
      <c r="E58" s="227"/>
      <c r="F58" s="227"/>
      <c r="G58" s="196"/>
      <c r="H58" s="238"/>
      <c r="I58" s="238"/>
      <c r="J58" s="221"/>
      <c r="K58" s="238"/>
      <c r="L58" s="238"/>
      <c r="M58" s="186"/>
      <c r="N58" s="196"/>
      <c r="O58" s="223"/>
      <c r="P58" s="241"/>
      <c r="Q58" s="205"/>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row>
    <row r="59" spans="1:64">
      <c r="A59" s="243"/>
      <c r="C59" s="238"/>
      <c r="D59" s="238"/>
      <c r="E59" s="238"/>
      <c r="F59" s="238"/>
      <c r="G59" s="196"/>
      <c r="H59" s="238"/>
      <c r="I59" s="238"/>
      <c r="J59" s="238"/>
      <c r="K59" s="238"/>
      <c r="L59" s="238"/>
      <c r="M59" s="186"/>
      <c r="N59" s="196"/>
      <c r="O59" s="196"/>
      <c r="P59" s="205"/>
      <c r="Q59" s="205"/>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row>
    <row r="60" spans="1:64">
      <c r="C60" s="186"/>
      <c r="D60" s="186"/>
      <c r="E60" s="186"/>
      <c r="F60" s="186"/>
      <c r="G60" s="186"/>
      <c r="H60" s="186"/>
      <c r="I60" s="186"/>
      <c r="J60" s="186"/>
      <c r="K60" s="186"/>
      <c r="L60" s="186"/>
      <c r="M60" s="186"/>
      <c r="N60" s="186"/>
      <c r="O60" s="187"/>
    </row>
    <row r="61" spans="1:64">
      <c r="C61" s="186"/>
      <c r="D61" s="186"/>
      <c r="E61" s="186"/>
      <c r="F61" s="186"/>
      <c r="G61" s="186"/>
      <c r="H61" s="186"/>
      <c r="I61" s="186"/>
      <c r="J61" s="186"/>
      <c r="K61" s="186"/>
      <c r="L61" s="186"/>
      <c r="M61" s="186"/>
      <c r="N61" s="186"/>
      <c r="O61" s="187"/>
    </row>
    <row r="62" spans="1:64">
      <c r="C62" s="186"/>
      <c r="D62" s="186"/>
      <c r="E62" s="186"/>
      <c r="F62" s="186"/>
      <c r="G62" s="186"/>
      <c r="H62" s="186"/>
      <c r="I62" s="186"/>
      <c r="J62" s="186"/>
      <c r="K62" s="186"/>
      <c r="L62" s="186"/>
      <c r="M62" s="186"/>
      <c r="N62" s="186"/>
      <c r="O62" s="186"/>
    </row>
    <row r="63" spans="1:64">
      <c r="A63" s="243"/>
      <c r="C63" s="238"/>
      <c r="D63" s="238"/>
      <c r="E63" s="238"/>
      <c r="F63" s="238"/>
      <c r="G63" s="196"/>
      <c r="H63" s="238"/>
      <c r="I63" s="238"/>
      <c r="J63" s="238"/>
      <c r="K63" s="238"/>
      <c r="L63" s="238"/>
      <c r="M63" s="186"/>
      <c r="N63" s="196"/>
      <c r="O63" s="187" t="s">
        <v>352</v>
      </c>
      <c r="P63" s="205"/>
      <c r="Q63" s="194"/>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row>
    <row r="64" spans="1:64">
      <c r="A64" s="243"/>
      <c r="C64" s="207" t="str">
        <f>C5</f>
        <v>Formula Rate calculation</v>
      </c>
      <c r="D64" s="207"/>
      <c r="E64" s="238"/>
      <c r="F64" s="238"/>
      <c r="G64" s="227" t="str">
        <f>G5</f>
        <v xml:space="preserve">     Rate Formula Template</v>
      </c>
      <c r="H64" s="238"/>
      <c r="I64" s="238"/>
      <c r="J64" s="238"/>
      <c r="K64" s="238"/>
      <c r="L64" s="238"/>
      <c r="M64" s="186"/>
      <c r="N64" s="196"/>
      <c r="O64" s="244" t="str">
        <f>+O5</f>
        <v>For  the 12 months ended 12/31/2016</v>
      </c>
      <c r="P64" s="205"/>
      <c r="Q64" s="194"/>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row>
    <row r="65" spans="1:64">
      <c r="A65" s="243"/>
      <c r="C65" s="207"/>
      <c r="D65" s="207"/>
      <c r="E65" s="238"/>
      <c r="F65" s="238"/>
      <c r="G65" s="227" t="s">
        <v>355</v>
      </c>
      <c r="H65" s="238"/>
      <c r="I65" s="238"/>
      <c r="J65" s="238"/>
      <c r="K65" s="238"/>
      <c r="L65" s="238"/>
      <c r="M65" s="196"/>
      <c r="N65" s="196"/>
      <c r="O65" s="186"/>
      <c r="P65" s="205"/>
      <c r="Q65" s="194"/>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row>
    <row r="66" spans="1:64" ht="14.25" customHeight="1">
      <c r="A66" s="243"/>
      <c r="C66" s="238"/>
      <c r="D66" s="238"/>
      <c r="E66" s="238"/>
      <c r="F66" s="238"/>
      <c r="G66" s="227"/>
      <c r="H66" s="238"/>
      <c r="I66" s="238"/>
      <c r="J66" s="238"/>
      <c r="K66" s="238"/>
      <c r="L66" s="238"/>
      <c r="M66" s="186"/>
      <c r="N66" s="196"/>
      <c r="O66" s="238" t="s">
        <v>407</v>
      </c>
      <c r="P66" s="205"/>
      <c r="Q66" s="194"/>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row>
    <row r="67" spans="1:64">
      <c r="A67" s="243"/>
      <c r="C67" s="186"/>
      <c r="D67" s="186"/>
      <c r="E67" s="238"/>
      <c r="F67" s="238"/>
      <c r="G67" s="227" t="str">
        <f>G8</f>
        <v>American Transmission Company LLC</v>
      </c>
      <c r="H67" s="238"/>
      <c r="I67" s="238"/>
      <c r="J67" s="238"/>
      <c r="K67" s="238"/>
      <c r="L67" s="238"/>
      <c r="M67" s="238"/>
      <c r="N67" s="196"/>
      <c r="O67" s="196"/>
      <c r="P67" s="205"/>
      <c r="Q67" s="194"/>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row>
    <row r="68" spans="1:64">
      <c r="A68" s="243"/>
      <c r="C68" s="186"/>
      <c r="D68" s="186"/>
      <c r="E68" s="207"/>
      <c r="F68" s="207"/>
      <c r="G68" s="203"/>
      <c r="H68" s="207"/>
      <c r="I68" s="207"/>
      <c r="J68" s="207"/>
      <c r="K68" s="207"/>
      <c r="L68" s="207"/>
      <c r="M68" s="207"/>
      <c r="N68" s="207"/>
      <c r="O68" s="207"/>
      <c r="P68" s="205"/>
      <c r="Q68" s="194"/>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row>
    <row r="69" spans="1:64" ht="15.75">
      <c r="A69" s="243"/>
      <c r="C69" s="238"/>
      <c r="D69" s="238"/>
      <c r="E69" s="213" t="s">
        <v>408</v>
      </c>
      <c r="F69" s="213"/>
      <c r="G69" s="245"/>
      <c r="H69" s="197"/>
      <c r="I69" s="197"/>
      <c r="J69" s="197"/>
      <c r="K69" s="197"/>
      <c r="L69" s="197"/>
      <c r="M69" s="197"/>
      <c r="N69" s="196"/>
      <c r="O69" s="196"/>
      <c r="P69" s="205"/>
      <c r="Q69" s="194"/>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row>
    <row r="70" spans="1:64" ht="15.75">
      <c r="A70" s="243"/>
      <c r="C70" s="238"/>
      <c r="D70" s="238"/>
      <c r="E70" s="213"/>
      <c r="F70" s="213"/>
      <c r="G70" s="186"/>
      <c r="H70" s="197"/>
      <c r="I70" s="197"/>
      <c r="J70" s="197"/>
      <c r="K70" s="197"/>
      <c r="L70" s="197"/>
      <c r="M70" s="197"/>
      <c r="N70" s="196"/>
      <c r="O70" s="196"/>
      <c r="P70" s="205"/>
      <c r="Q70" s="194"/>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row>
    <row r="71" spans="1:64" ht="15.75">
      <c r="A71" s="243"/>
      <c r="C71" s="246">
        <v>-1</v>
      </c>
      <c r="D71" s="246">
        <v>-2</v>
      </c>
      <c r="E71" s="246">
        <v>-3</v>
      </c>
      <c r="F71" s="246">
        <v>-4</v>
      </c>
      <c r="G71" s="246">
        <v>-5</v>
      </c>
      <c r="H71" s="246">
        <v>-6</v>
      </c>
      <c r="I71" s="246">
        <v>-7</v>
      </c>
      <c r="J71" s="246">
        <v>-8</v>
      </c>
      <c r="K71" s="246">
        <v>-9</v>
      </c>
      <c r="L71" s="246" t="s">
        <v>409</v>
      </c>
      <c r="M71" s="246">
        <v>-10</v>
      </c>
      <c r="N71" s="246">
        <v>-11</v>
      </c>
      <c r="O71" s="246">
        <v>-12</v>
      </c>
      <c r="P71" s="205"/>
      <c r="Q71" s="194"/>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row>
    <row r="72" spans="1:64" ht="63">
      <c r="A72" s="247" t="s">
        <v>410</v>
      </c>
      <c r="B72" s="248"/>
      <c r="C72" s="248" t="s">
        <v>411</v>
      </c>
      <c r="D72" s="249" t="s">
        <v>412</v>
      </c>
      <c r="E72" s="250" t="s">
        <v>413</v>
      </c>
      <c r="F72" s="250" t="s">
        <v>389</v>
      </c>
      <c r="G72" s="251" t="s">
        <v>414</v>
      </c>
      <c r="H72" s="250" t="s">
        <v>415</v>
      </c>
      <c r="I72" s="250" t="s">
        <v>405</v>
      </c>
      <c r="J72" s="251" t="s">
        <v>416</v>
      </c>
      <c r="K72" s="250" t="s">
        <v>417</v>
      </c>
      <c r="L72" s="252" t="s">
        <v>418</v>
      </c>
      <c r="M72" s="253" t="s">
        <v>419</v>
      </c>
      <c r="N72" s="254" t="s">
        <v>420</v>
      </c>
      <c r="O72" s="253" t="s">
        <v>421</v>
      </c>
      <c r="P72" s="224"/>
      <c r="Q72" s="194"/>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row>
    <row r="73" spans="1:64" ht="46.5" customHeight="1">
      <c r="A73" s="255"/>
      <c r="B73" s="256"/>
      <c r="C73" s="256"/>
      <c r="D73" s="256"/>
      <c r="E73" s="257" t="s">
        <v>27</v>
      </c>
      <c r="F73" s="257" t="s">
        <v>422</v>
      </c>
      <c r="G73" s="258" t="s">
        <v>423</v>
      </c>
      <c r="H73" s="257" t="s">
        <v>29</v>
      </c>
      <c r="I73" s="257" t="s">
        <v>424</v>
      </c>
      <c r="J73" s="258" t="s">
        <v>425</v>
      </c>
      <c r="K73" s="257" t="s">
        <v>246</v>
      </c>
      <c r="L73" s="259" t="s">
        <v>426</v>
      </c>
      <c r="M73" s="260" t="s">
        <v>427</v>
      </c>
      <c r="N73" s="261" t="s">
        <v>428</v>
      </c>
      <c r="O73" s="262" t="s">
        <v>429</v>
      </c>
      <c r="P73" s="205"/>
      <c r="Q73" s="194"/>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row>
    <row r="74" spans="1:64">
      <c r="A74" s="263"/>
      <c r="B74" s="197"/>
      <c r="C74" s="197"/>
      <c r="D74" s="197"/>
      <c r="E74" s="197"/>
      <c r="F74" s="197"/>
      <c r="G74" s="264"/>
      <c r="H74" s="197"/>
      <c r="I74" s="197"/>
      <c r="J74" s="264"/>
      <c r="K74" s="197"/>
      <c r="L74" s="265"/>
      <c r="M74" s="264"/>
      <c r="N74" s="196"/>
      <c r="O74" s="266"/>
      <c r="P74" s="205"/>
      <c r="Q74" s="194"/>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row>
    <row r="75" spans="1:64">
      <c r="A75" s="267" t="s">
        <v>232</v>
      </c>
      <c r="B75" s="268"/>
      <c r="C75" s="269" t="s">
        <v>774</v>
      </c>
      <c r="D75" s="270">
        <v>345</v>
      </c>
      <c r="E75" s="271">
        <f>IF(ISNA(HLOOKUP($D75,'GG Support Data'!$C$8:$Q$67,17,FALSE)),0,HLOOKUP($D75,'GG Support Data'!$C$8:$Q$67,17,FALSE))</f>
        <v>148504036.27307698</v>
      </c>
      <c r="F75" s="272">
        <f>$M$35</f>
        <v>3.3567601303107292E-2</v>
      </c>
      <c r="G75" s="273">
        <f>E75*F75</f>
        <v>4984924.2815168314</v>
      </c>
      <c r="H75" s="271">
        <f>IF(ISNA(HLOOKUP($D75,'GG Support Data'!$C$8:$Q$67,17,FALSE)),0,HLOOKUP($D75,'GG Support Data'!$C$8:$Q$67,50,FALSE))</f>
        <v>120215405.42615387</v>
      </c>
      <c r="I75" s="272">
        <f>$M$45</f>
        <v>9.9739890375936849E-2</v>
      </c>
      <c r="J75" s="273">
        <f>H75*I75</f>
        <v>11990271.35870339</v>
      </c>
      <c r="K75" s="271">
        <f>IF(ISNA(HLOOKUP($D75,'GG Support Data'!$C$8:$Q$67,17,FALSE)),0,HLOOKUP($D75,'GG Support Data'!$C$8:$Q$67,55,FALSE))</f>
        <v>3844879.3199999989</v>
      </c>
      <c r="L75" s="271">
        <f>IF(ISNA(HLOOKUP($D75,'GG Support Data'!$C$8:$Q$67,17,FALSE)),0,HLOOKUP($D75,'GG Support Data'!$C$8:$Q$67,60,FALSE))</f>
        <v>0</v>
      </c>
      <c r="M75" s="273">
        <f>G75+J75+K75+L75</f>
        <v>20820074.960220221</v>
      </c>
      <c r="N75" s="274">
        <f>'2014 Sch. 26 True-up Adj'!AG47</f>
        <v>-1197077.8908389132</v>
      </c>
      <c r="O75" s="273">
        <f>M75+N75</f>
        <v>19622997.069381308</v>
      </c>
      <c r="P75" s="275"/>
      <c r="Q75" s="894"/>
      <c r="R75" s="275"/>
      <c r="S75" s="275"/>
      <c r="T75" s="275"/>
    </row>
    <row r="76" spans="1:64">
      <c r="A76" s="267" t="s">
        <v>430</v>
      </c>
      <c r="B76" s="268"/>
      <c r="C76" s="269" t="s">
        <v>775</v>
      </c>
      <c r="D76" s="270">
        <v>1453</v>
      </c>
      <c r="E76" s="271">
        <f>IF(ISNA(HLOOKUP($D76,'GG Support Data'!$C$8:$Q$67,17,FALSE)),0,HLOOKUP($D76,'GG Support Data'!$C$8:$Q$67,17,FALSE))</f>
        <v>8751971.6800000034</v>
      </c>
      <c r="F76" s="272">
        <f>$M$35</f>
        <v>3.3567601303107292E-2</v>
      </c>
      <c r="G76" s="273">
        <f>E76*F76</f>
        <v>293782.69597032625</v>
      </c>
      <c r="H76" s="271">
        <f>IF(ISNA(HLOOKUP($D76,'GG Support Data'!$C$8:$Q$67,17,FALSE)),0,HLOOKUP($D76,'GG Support Data'!$C$8:$Q$67,50,FALSE))</f>
        <v>6808951.1569999969</v>
      </c>
      <c r="I76" s="272">
        <f>$M$45</f>
        <v>9.9739890375936849E-2</v>
      </c>
      <c r="J76" s="273">
        <f>H76*I76</f>
        <v>679124.04197428806</v>
      </c>
      <c r="K76" s="271">
        <f>IF(ISNA(HLOOKUP($D76,'GG Support Data'!$C$8:$Q$67,17,FALSE)),0,HLOOKUP($D76,'GG Support Data'!$C$8:$Q$67,55,FALSE))</f>
        <v>251596.08</v>
      </c>
      <c r="L76" s="271">
        <f>IF(ISNA(HLOOKUP($D76,'GG Support Data'!$C$8:$Q$67,17,FALSE)),0,HLOOKUP($D76,'GG Support Data'!$C$8:$Q$67,60,FALSE))</f>
        <v>0</v>
      </c>
      <c r="M76" s="273">
        <f t="shared" ref="M76:M88" si="0">G76+J76+K76+L76</f>
        <v>1224502.8179446144</v>
      </c>
      <c r="N76" s="274">
        <f>'2014 Sch. 26 True-up Adj'!AG48</f>
        <v>-47001.876434327605</v>
      </c>
      <c r="O76" s="273">
        <f>M76+N76</f>
        <v>1177500.9415102869</v>
      </c>
      <c r="P76" s="275"/>
      <c r="Q76" s="894"/>
      <c r="R76" s="275"/>
      <c r="S76" s="275"/>
      <c r="T76" s="275"/>
    </row>
    <row r="77" spans="1:64">
      <c r="A77" s="267" t="s">
        <v>431</v>
      </c>
      <c r="B77" s="268"/>
      <c r="C77" s="269" t="s">
        <v>776</v>
      </c>
      <c r="D77" s="270">
        <v>352</v>
      </c>
      <c r="E77" s="271">
        <f>IF(ISNA(HLOOKUP($D77,'GG Support Data'!$C$8:$Q$67,17,FALSE)),0,HLOOKUP($D77,'GG Support Data'!$C$8:$Q$67,17,FALSE))</f>
        <v>88220916.11999999</v>
      </c>
      <c r="F77" s="272">
        <f>$M$35</f>
        <v>3.3567601303107292E-2</v>
      </c>
      <c r="G77" s="273">
        <f>E77*F77</f>
        <v>2961364.5389110306</v>
      </c>
      <c r="H77" s="271">
        <f>IF(ISNA(HLOOKUP($D77,'GG Support Data'!$C$8:$Q$67,17,FALSE)),0,HLOOKUP($D77,'GG Support Data'!$C$8:$Q$67,50,FALSE))</f>
        <v>71978523.289999992</v>
      </c>
      <c r="I77" s="272">
        <f>$M$45</f>
        <v>9.9739890375936849E-2</v>
      </c>
      <c r="J77" s="273">
        <f>H77*I77</f>
        <v>7179130.0223664166</v>
      </c>
      <c r="K77" s="271">
        <f>IF(ISNA(HLOOKUP($D77,'GG Support Data'!$C$8:$Q$67,17,FALSE)),0,HLOOKUP($D77,'GG Support Data'!$C$8:$Q$67,55,FALSE))</f>
        <v>2269282.7999999993</v>
      </c>
      <c r="L77" s="271">
        <f>IF(ISNA(HLOOKUP($D77,'GG Support Data'!$C$8:$Q$67,17,FALSE)),0,HLOOKUP($D77,'GG Support Data'!$C$8:$Q$67,60,FALSE))</f>
        <v>0</v>
      </c>
      <c r="M77" s="273">
        <f t="shared" si="0"/>
        <v>12409777.361277446</v>
      </c>
      <c r="N77" s="274">
        <f>'2014 Sch. 26 True-up Adj'!AG49+'352 Correction (Sch 26)'!K10</f>
        <v>-6055211.8321462041</v>
      </c>
      <c r="O77" s="273">
        <f>M77+N77</f>
        <v>6354565.5291312421</v>
      </c>
      <c r="P77" s="275"/>
      <c r="Q77" s="894"/>
      <c r="R77" s="275"/>
      <c r="S77" s="275"/>
      <c r="T77" s="275"/>
    </row>
    <row r="78" spans="1:64">
      <c r="A78" s="267" t="s">
        <v>509</v>
      </c>
      <c r="B78" s="268"/>
      <c r="C78" s="269" t="s">
        <v>777</v>
      </c>
      <c r="D78" s="270">
        <v>356</v>
      </c>
      <c r="E78" s="271">
        <f>IF(ISNA(HLOOKUP($D78,'GG Support Data'!$C$8:$Q$67,17,FALSE)),0,HLOOKUP($D78,'GG Support Data'!$C$8:$Q$67,17,FALSE))</f>
        <v>141173979.72999999</v>
      </c>
      <c r="F78" s="272">
        <f t="shared" ref="F78:F91" si="1">$M$35</f>
        <v>3.3567601303107292E-2</v>
      </c>
      <c r="G78" s="273">
        <f t="shared" ref="G78:G88" si="2">E78*F78</f>
        <v>4738871.8659495898</v>
      </c>
      <c r="H78" s="271">
        <f>IF(ISNA(HLOOKUP($D78,'GG Support Data'!$C$8:$Q$67,17,FALSE)),0,HLOOKUP($D78,'GG Support Data'!$C$8:$Q$67,50,FALSE))</f>
        <v>129183002.36923073</v>
      </c>
      <c r="I78" s="272">
        <f t="shared" ref="I78:I91" si="3">$M$45</f>
        <v>9.9739890375936849E-2</v>
      </c>
      <c r="J78" s="273">
        <f t="shared" ref="J78:J88" si="4">H78*I78</f>
        <v>12884698.494741464</v>
      </c>
      <c r="K78" s="271">
        <f>IF(ISNA(HLOOKUP($D78,'GG Support Data'!$C$8:$Q$67,17,FALSE)),0,HLOOKUP($D78,'GG Support Data'!$C$8:$Q$67,55,FALSE))</f>
        <v>3379192.7999999993</v>
      </c>
      <c r="L78" s="271">
        <f>IF(ISNA(HLOOKUP($D78,'GG Support Data'!$C$8:$Q$67,17,FALSE)),0,HLOOKUP($D78,'GG Support Data'!$C$8:$Q$67,60,FALSE))</f>
        <v>0</v>
      </c>
      <c r="M78" s="273">
        <f t="shared" si="0"/>
        <v>21002763.160691056</v>
      </c>
      <c r="N78" s="274">
        <f>'2014 Sch. 26 True-up Adj'!AG50</f>
        <v>-1048820.4334302847</v>
      </c>
      <c r="O78" s="273">
        <f t="shared" ref="O78:O88" si="5">M78+N78</f>
        <v>19953942.727260772</v>
      </c>
      <c r="P78" s="275"/>
      <c r="Q78" s="894"/>
      <c r="R78" s="275"/>
      <c r="S78" s="275"/>
      <c r="T78" s="275"/>
    </row>
    <row r="79" spans="1:64">
      <c r="A79" s="267" t="s">
        <v>510</v>
      </c>
      <c r="B79" s="268"/>
      <c r="C79" s="269" t="s">
        <v>790</v>
      </c>
      <c r="D79" s="270">
        <v>1621</v>
      </c>
      <c r="E79" s="271">
        <f>IF(ISNA(HLOOKUP($D79,'GG Support Data'!$C$8:$Q$67,17,FALSE)),0,HLOOKUP($D79,'GG Support Data'!$C$8:$Q$67,17,FALSE))</f>
        <v>0</v>
      </c>
      <c r="F79" s="272">
        <f t="shared" si="1"/>
        <v>3.3567601303107292E-2</v>
      </c>
      <c r="G79" s="273">
        <f t="shared" si="2"/>
        <v>0</v>
      </c>
      <c r="H79" s="271">
        <f>IF(ISNA(HLOOKUP($D79,'GG Support Data'!$C$8:$Q$67,17,FALSE)),0,HLOOKUP($D79,'GG Support Data'!$C$8:$Q$67,50,FALSE))</f>
        <v>0</v>
      </c>
      <c r="I79" s="272">
        <f t="shared" si="3"/>
        <v>9.9739890375936849E-2</v>
      </c>
      <c r="J79" s="273">
        <f t="shared" si="4"/>
        <v>0</v>
      </c>
      <c r="K79" s="271">
        <f>IF(ISNA(HLOOKUP($D79,'GG Support Data'!$C$8:$Q$67,17,FALSE)),0,HLOOKUP($D79,'GG Support Data'!$C$8:$Q$67,55,FALSE))</f>
        <v>0</v>
      </c>
      <c r="L79" s="271">
        <f>IF(ISNA(HLOOKUP($D79,'GG Support Data'!$C$8:$Q$67,17,FALSE)),0,HLOOKUP($D79,'GG Support Data'!$C$8:$Q$67,60,FALSE))</f>
        <v>0</v>
      </c>
      <c r="M79" s="273">
        <f t="shared" si="0"/>
        <v>0</v>
      </c>
      <c r="N79" s="274">
        <f>'2014 Sch. 26 True-up Adj'!AG51</f>
        <v>0</v>
      </c>
      <c r="O79" s="273">
        <f t="shared" si="5"/>
        <v>0</v>
      </c>
      <c r="P79" s="275"/>
      <c r="Q79" s="894"/>
      <c r="R79" s="275"/>
      <c r="S79" s="275"/>
      <c r="T79" s="275"/>
    </row>
    <row r="80" spans="1:64">
      <c r="A80" s="267" t="s">
        <v>511</v>
      </c>
      <c r="B80" s="268"/>
      <c r="C80" s="269" t="s">
        <v>791</v>
      </c>
      <c r="D80" s="270">
        <v>1712</v>
      </c>
      <c r="E80" s="271">
        <f>IF(ISNA(HLOOKUP($D80,'GG Support Data'!$C$8:$Q$67,17,FALSE)),0,HLOOKUP($D80,'GG Support Data'!$C$8:$Q$67,17,FALSE))</f>
        <v>0</v>
      </c>
      <c r="F80" s="272">
        <f t="shared" si="1"/>
        <v>3.3567601303107292E-2</v>
      </c>
      <c r="G80" s="273">
        <f t="shared" si="2"/>
        <v>0</v>
      </c>
      <c r="H80" s="271">
        <f>IF(ISNA(HLOOKUP($D80,'GG Support Data'!$C$8:$Q$67,17,FALSE)),0,HLOOKUP($D80,'GG Support Data'!$C$8:$Q$67,50,FALSE))</f>
        <v>0</v>
      </c>
      <c r="I80" s="272">
        <f t="shared" si="3"/>
        <v>9.9739890375936849E-2</v>
      </c>
      <c r="J80" s="273">
        <f t="shared" si="4"/>
        <v>0</v>
      </c>
      <c r="K80" s="271">
        <f>IF(ISNA(HLOOKUP($D80,'GG Support Data'!$C$8:$Q$67,17,FALSE)),0,HLOOKUP($D80,'GG Support Data'!$C$8:$Q$67,55,FALSE))</f>
        <v>0</v>
      </c>
      <c r="L80" s="271">
        <f>IF(ISNA(HLOOKUP($D80,'GG Support Data'!$C$8:$Q$67,17,FALSE)),0,HLOOKUP($D80,'GG Support Data'!$C$8:$Q$67,60,FALSE))</f>
        <v>0</v>
      </c>
      <c r="M80" s="273">
        <f t="shared" si="0"/>
        <v>0</v>
      </c>
      <c r="N80" s="274">
        <f>'2014 Sch. 26 True-up Adj'!AG52</f>
        <v>0</v>
      </c>
      <c r="O80" s="273">
        <f t="shared" si="5"/>
        <v>0</v>
      </c>
      <c r="P80" s="275"/>
      <c r="Q80" s="894"/>
      <c r="R80" s="275"/>
      <c r="S80" s="275"/>
      <c r="T80" s="275"/>
    </row>
    <row r="81" spans="1:20">
      <c r="A81" s="267" t="s">
        <v>512</v>
      </c>
      <c r="B81" s="268"/>
      <c r="C81" s="269" t="s">
        <v>778</v>
      </c>
      <c r="D81" s="270">
        <v>1616</v>
      </c>
      <c r="E81" s="271">
        <f>IF(ISNA(HLOOKUP($D81,'GG Support Data'!$C$8:$Q$67,17,FALSE)),0,HLOOKUP($D81,'GG Support Data'!$C$8:$Q$67,17,FALSE))</f>
        <v>1379725.8599999999</v>
      </c>
      <c r="F81" s="272">
        <f t="shared" si="1"/>
        <v>3.3567601303107292E-2</v>
      </c>
      <c r="G81" s="273">
        <f t="shared" si="2"/>
        <v>46314.087576066828</v>
      </c>
      <c r="H81" s="271">
        <f>IF(ISNA(HLOOKUP($D81,'GG Support Data'!$C$8:$Q$67,17,FALSE)),0,HLOOKUP($D81,'GG Support Data'!$C$8:$Q$67,50,FALSE))</f>
        <v>1086553.4080769236</v>
      </c>
      <c r="I81" s="272">
        <f t="shared" si="3"/>
        <v>9.9739890375936849E-2</v>
      </c>
      <c r="J81" s="273">
        <f t="shared" si="4"/>
        <v>108372.71780919294</v>
      </c>
      <c r="K81" s="271">
        <f>IF(ISNA(HLOOKUP($D81,'GG Support Data'!$C$8:$Q$67,17,FALSE)),0,HLOOKUP($D81,'GG Support Data'!$C$8:$Q$67,55,FALSE))</f>
        <v>38146.32</v>
      </c>
      <c r="L81" s="271">
        <f>IF(ISNA(HLOOKUP($D81,'GG Support Data'!$C$8:$Q$67,17,FALSE)),0,HLOOKUP($D81,'GG Support Data'!$C$8:$Q$67,60,FALSE))</f>
        <v>0</v>
      </c>
      <c r="M81" s="273">
        <f t="shared" si="0"/>
        <v>192833.12538525977</v>
      </c>
      <c r="N81" s="274">
        <f>'2014 Sch. 26 True-up Adj'!AG53+'GIP Dep Correction (Sch 26)'!K37</f>
        <v>-162276.36320447247</v>
      </c>
      <c r="O81" s="273">
        <f t="shared" si="5"/>
        <v>30556.762180787307</v>
      </c>
      <c r="P81" s="275"/>
      <c r="Q81" s="894"/>
      <c r="R81" s="275"/>
      <c r="S81" s="275"/>
      <c r="T81" s="275"/>
    </row>
    <row r="82" spans="1:20">
      <c r="A82" s="267" t="s">
        <v>513</v>
      </c>
      <c r="B82" s="268"/>
      <c r="C82" s="269" t="s">
        <v>779</v>
      </c>
      <c r="D82" s="270" t="s">
        <v>780</v>
      </c>
      <c r="E82" s="271">
        <f>IF(ISNA(HLOOKUP($D82,'GG Support Data'!$C$8:$Q$67,17,FALSE)),0,HLOOKUP($D82,'GG Support Data'!$C$8:$Q$67,17,FALSE))</f>
        <v>2141426.63</v>
      </c>
      <c r="F82" s="272">
        <f t="shared" si="1"/>
        <v>3.3567601303107292E-2</v>
      </c>
      <c r="G82" s="273">
        <f t="shared" si="2"/>
        <v>71882.555335696656</v>
      </c>
      <c r="H82" s="271">
        <f>IF(ISNA(HLOOKUP($D82,'GG Support Data'!$C$8:$Q$67,17,FALSE)),0,HLOOKUP($D82,'GG Support Data'!$C$8:$Q$67,50,FALSE))</f>
        <v>1888777.3042307699</v>
      </c>
      <c r="I82" s="272">
        <f t="shared" si="3"/>
        <v>9.9739890375936849E-2</v>
      </c>
      <c r="J82" s="273">
        <f t="shared" si="4"/>
        <v>188386.44126853452</v>
      </c>
      <c r="K82" s="271">
        <f>IF(ISNA(HLOOKUP($D82,'GG Support Data'!$C$8:$Q$67,17,FALSE)),0,HLOOKUP($D82,'GG Support Data'!$C$8:$Q$67,55,FALSE))</f>
        <v>59365.02</v>
      </c>
      <c r="L82" s="271">
        <f>IF(ISNA(HLOOKUP($D82,'GG Support Data'!$C$8:$Q$67,17,FALSE)),0,HLOOKUP($D82,'GG Support Data'!$C$8:$Q$67,60,FALSE))</f>
        <v>0</v>
      </c>
      <c r="M82" s="273">
        <f t="shared" si="0"/>
        <v>319634.0166042312</v>
      </c>
      <c r="N82" s="274">
        <f>'2014 Sch. 26 True-up Adj'!AG54+'GIP Dep Correction (Sch 26)'!K38</f>
        <v>-140342.7227631635</v>
      </c>
      <c r="O82" s="273">
        <f t="shared" si="5"/>
        <v>179291.2938410677</v>
      </c>
      <c r="P82" s="275"/>
      <c r="Q82" s="894"/>
      <c r="R82" s="275"/>
      <c r="S82" s="275"/>
      <c r="T82" s="275"/>
    </row>
    <row r="83" spans="1:20">
      <c r="A83" s="267" t="s">
        <v>514</v>
      </c>
      <c r="B83" s="268"/>
      <c r="C83" s="269" t="s">
        <v>781</v>
      </c>
      <c r="D83" s="270">
        <v>1950</v>
      </c>
      <c r="E83" s="271">
        <f>IF(ISNA(HLOOKUP($D83,'GG Support Data'!$C$8:$Q$67,17,FALSE)),0,HLOOKUP($D83,'GG Support Data'!$C$8:$Q$67,17,FALSE))</f>
        <v>15192855.369999995</v>
      </c>
      <c r="F83" s="272">
        <f t="shared" si="1"/>
        <v>3.3567601303107292E-2</v>
      </c>
      <c r="G83" s="273">
        <f t="shared" si="2"/>
        <v>509987.71171593247</v>
      </c>
      <c r="H83" s="271">
        <f>IF(ISNA(HLOOKUP($D83,'GG Support Data'!$C$8:$Q$67,17,FALSE)),0,HLOOKUP($D83,'GG Support Data'!$C$8:$Q$67,50,FALSE))</f>
        <v>13148572.432307694</v>
      </c>
      <c r="I83" s="272">
        <f t="shared" si="3"/>
        <v>9.9739890375936849E-2</v>
      </c>
      <c r="J83" s="273">
        <f t="shared" si="4"/>
        <v>1311437.1729984346</v>
      </c>
      <c r="K83" s="271">
        <f>IF(ISNA(HLOOKUP($D83,'GG Support Data'!$C$8:$Q$67,17,FALSE)),0,HLOOKUP($D83,'GG Support Data'!$C$8:$Q$67,55,FALSE))</f>
        <v>449960.11999999988</v>
      </c>
      <c r="L83" s="271">
        <f>IF(ISNA(HLOOKUP($D83,'GG Support Data'!$C$8:$Q$67,17,FALSE)),0,HLOOKUP($D83,'GG Support Data'!$C$8:$Q$67,60,FALSE))</f>
        <v>0</v>
      </c>
      <c r="M83" s="273">
        <f t="shared" si="0"/>
        <v>2271385.004714367</v>
      </c>
      <c r="N83" s="274">
        <f>'2014 Sch. 26 True-up Adj'!AG57</f>
        <v>-75331.912306168961</v>
      </c>
      <c r="O83" s="273">
        <f t="shared" si="5"/>
        <v>2196053.0924081979</v>
      </c>
      <c r="P83" s="275"/>
      <c r="Q83" s="894"/>
      <c r="R83" s="275"/>
      <c r="S83" s="275"/>
      <c r="T83" s="275"/>
    </row>
    <row r="84" spans="1:20">
      <c r="A84" s="267" t="s">
        <v>515</v>
      </c>
      <c r="B84" s="268"/>
      <c r="C84" s="269" t="s">
        <v>782</v>
      </c>
      <c r="D84" s="270">
        <v>2846</v>
      </c>
      <c r="E84" s="271">
        <f>IF(ISNA(HLOOKUP($D84,'GG Support Data'!$C$8:$Q$67,17,FALSE)),0,HLOOKUP($D84,'GG Support Data'!$C$8:$Q$67,17,FALSE))</f>
        <v>124275481.33615382</v>
      </c>
      <c r="F84" s="272">
        <f t="shared" si="1"/>
        <v>3.3567601303107292E-2</v>
      </c>
      <c r="G84" s="273">
        <f t="shared" si="2"/>
        <v>4171629.8092437629</v>
      </c>
      <c r="H84" s="271">
        <f>IF(ISNA(HLOOKUP($D84,'GG Support Data'!$C$8:$Q$67,17,FALSE)),0,HLOOKUP($D84,'GG Support Data'!$C$8:$Q$67,50,FALSE))</f>
        <v>117301624.80384615</v>
      </c>
      <c r="I84" s="272">
        <f t="shared" si="3"/>
        <v>9.9739890375936849E-2</v>
      </c>
      <c r="J84" s="273">
        <f t="shared" si="4"/>
        <v>11699651.19885489</v>
      </c>
      <c r="K84" s="271">
        <f>IF(ISNA(HLOOKUP($D84,'GG Support Data'!$C$8:$Q$67,17,FALSE)),0,HLOOKUP($D84,'GG Support Data'!$C$8:$Q$67,55,FALSE))</f>
        <v>3479412.95</v>
      </c>
      <c r="L84" s="271">
        <f>IF(ISNA(HLOOKUP($D84,'GG Support Data'!$C$8:$Q$67,17,FALSE)),0,HLOOKUP($D84,'GG Support Data'!$C$8:$Q$67,60,FALSE))</f>
        <v>0</v>
      </c>
      <c r="M84" s="273">
        <f t="shared" si="0"/>
        <v>19350693.958098654</v>
      </c>
      <c r="N84" s="274">
        <f>'2014 Sch. 26 True-up Adj'!AG59</f>
        <v>-1032008.6539583442</v>
      </c>
      <c r="O84" s="273">
        <f t="shared" si="5"/>
        <v>18318685.304140311</v>
      </c>
      <c r="P84" s="275"/>
      <c r="Q84" s="894"/>
      <c r="R84" s="275"/>
      <c r="S84" s="275"/>
      <c r="T84" s="275"/>
    </row>
    <row r="85" spans="1:20">
      <c r="A85" s="267" t="s">
        <v>516</v>
      </c>
      <c r="B85" s="268"/>
      <c r="C85" s="269" t="s">
        <v>783</v>
      </c>
      <c r="D85" s="270">
        <v>2837</v>
      </c>
      <c r="E85" s="271">
        <f>IF(ISNA(HLOOKUP($D85,'GG Support Data'!$C$8:$Q$67,17,FALSE)),0,HLOOKUP($D85,'GG Support Data'!$C$8:$Q$67,17,FALSE))</f>
        <v>626602.79500000004</v>
      </c>
      <c r="F85" s="272">
        <f t="shared" si="1"/>
        <v>3.3567601303107292E-2</v>
      </c>
      <c r="G85" s="273">
        <f t="shared" si="2"/>
        <v>21033.552797972672</v>
      </c>
      <c r="H85" s="271">
        <f>IF(ISNA(HLOOKUP($D85,'GG Support Data'!$C$8:$Q$67,17,FALSE)),0,HLOOKUP($D85,'GG Support Data'!$C$8:$Q$67,50,FALSE))</f>
        <v>547887.40038461541</v>
      </c>
      <c r="I85" s="272">
        <f t="shared" si="3"/>
        <v>9.9739890375936849E-2</v>
      </c>
      <c r="J85" s="273">
        <f t="shared" si="4"/>
        <v>54646.229252718564</v>
      </c>
      <c r="K85" s="271">
        <f>IF(ISNA(HLOOKUP($D85,'GG Support Data'!$C$8:$Q$67,17,FALSE)),0,HLOOKUP($D85,'GG Support Data'!$C$8:$Q$67,55,FALSE))</f>
        <v>18278.939999999995</v>
      </c>
      <c r="L85" s="271">
        <f>IF(ISNA(HLOOKUP($D85,'GG Support Data'!$C$8:$Q$67,17,FALSE)),0,HLOOKUP($D85,'GG Support Data'!$C$8:$Q$67,60,FALSE))</f>
        <v>0</v>
      </c>
      <c r="M85" s="273">
        <f t="shared" si="0"/>
        <v>93958.722050691227</v>
      </c>
      <c r="N85" s="274">
        <f>'2014 Sch. 26 True-up Adj'!AG55+'GIP Dep Correction (Sch 26)'!K39</f>
        <v>-43593.933104978649</v>
      </c>
      <c r="O85" s="273">
        <f t="shared" si="5"/>
        <v>50364.788945712578</v>
      </c>
      <c r="P85" s="275"/>
      <c r="Q85" s="894"/>
      <c r="R85" s="275"/>
      <c r="S85" s="275"/>
      <c r="T85" s="275"/>
    </row>
    <row r="86" spans="1:20">
      <c r="A86" s="267" t="s">
        <v>517</v>
      </c>
      <c r="B86" s="268"/>
      <c r="C86" s="269" t="s">
        <v>784</v>
      </c>
      <c r="D86" s="270">
        <v>2793</v>
      </c>
      <c r="E86" s="271">
        <f>IF(ISNA(HLOOKUP($D86,'GG Support Data'!$C$8:$Q$67,17,FALSE)),0,HLOOKUP($D86,'GG Support Data'!$C$8:$Q$67,17,FALSE))</f>
        <v>389418.03115384612</v>
      </c>
      <c r="F86" s="272">
        <f t="shared" si="1"/>
        <v>3.3567601303107292E-2</v>
      </c>
      <c r="G86" s="273">
        <f t="shared" si="2"/>
        <v>13071.82921001332</v>
      </c>
      <c r="H86" s="271">
        <f>IF(ISNA(HLOOKUP($D86,'GG Support Data'!$C$8:$Q$67,17,FALSE)),0,HLOOKUP($D86,'GG Support Data'!$C$8:$Q$67,50,FALSE))</f>
        <v>374872.5907692308</v>
      </c>
      <c r="I86" s="272">
        <f t="shared" si="3"/>
        <v>9.9739890375936849E-2</v>
      </c>
      <c r="J86" s="273">
        <f t="shared" si="4"/>
        <v>37389.751108266515</v>
      </c>
      <c r="K86" s="271">
        <f>IF(ISNA(HLOOKUP($D86,'GG Support Data'!$C$8:$Q$67,17,FALSE)),0,HLOOKUP($D86,'GG Support Data'!$C$8:$Q$67,55,FALSE))</f>
        <v>17308.600000000006</v>
      </c>
      <c r="L86" s="271">
        <f>IF(ISNA(HLOOKUP($D86,'GG Support Data'!$C$8:$Q$67,17,FALSE)),0,HLOOKUP($D86,'GG Support Data'!$C$8:$Q$67,60,FALSE))</f>
        <v>0</v>
      </c>
      <c r="M86" s="273">
        <f t="shared" si="0"/>
        <v>67770.180318279832</v>
      </c>
      <c r="N86" s="274">
        <f>'2014 Sch. 26 True-up Adj'!AG56+'GIP Dep Correction (Sch 26)'!K40</f>
        <v>-35448.19845498362</v>
      </c>
      <c r="O86" s="273">
        <f t="shared" si="5"/>
        <v>32321.981863296212</v>
      </c>
      <c r="P86" s="275"/>
      <c r="Q86" s="894"/>
      <c r="R86" s="275"/>
      <c r="S86" s="275"/>
      <c r="T86" s="275"/>
    </row>
    <row r="87" spans="1:20">
      <c r="A87" s="267" t="s">
        <v>518</v>
      </c>
      <c r="B87" s="268"/>
      <c r="C87" s="269" t="s">
        <v>785</v>
      </c>
      <c r="D87" s="270">
        <v>1270</v>
      </c>
      <c r="E87" s="271">
        <f>IF(ISNA(HLOOKUP($D87,'GG Support Data'!$C$8:$Q$67,17,FALSE)),0,HLOOKUP($D87,'GG Support Data'!$C$8:$Q$67,17,FALSE))</f>
        <v>0</v>
      </c>
      <c r="F87" s="272">
        <f t="shared" si="1"/>
        <v>3.3567601303107292E-2</v>
      </c>
      <c r="G87" s="273">
        <f t="shared" si="2"/>
        <v>0</v>
      </c>
      <c r="H87" s="271">
        <f>IF(ISNA(HLOOKUP($D87,'GG Support Data'!$C$8:$Q$67,17,FALSE)),0,HLOOKUP($D87,'GG Support Data'!$C$8:$Q$67,50,FALSE))</f>
        <v>0</v>
      </c>
      <c r="I87" s="272">
        <f t="shared" si="3"/>
        <v>9.9739890375936849E-2</v>
      </c>
      <c r="J87" s="273">
        <f t="shared" si="4"/>
        <v>0</v>
      </c>
      <c r="K87" s="271">
        <f>IF(ISNA(HLOOKUP($D87,'GG Support Data'!$C$8:$Q$67,17,FALSE)),0,HLOOKUP($D87,'GG Support Data'!$C$8:$Q$67,55,FALSE))</f>
        <v>0</v>
      </c>
      <c r="L87" s="271">
        <f>IF(ISNA(HLOOKUP($D87,'GG Support Data'!$C$8:$Q$67,17,FALSE)),0,HLOOKUP($D87,'GG Support Data'!$C$8:$Q$67,60,FALSE))</f>
        <v>0</v>
      </c>
      <c r="M87" s="273">
        <f t="shared" si="0"/>
        <v>0</v>
      </c>
      <c r="N87" s="274">
        <f>'2014 Sch. 26 True-up Adj'!AG60</f>
        <v>-68306.793719170149</v>
      </c>
      <c r="O87" s="273">
        <f t="shared" si="5"/>
        <v>-68306.793719170149</v>
      </c>
      <c r="P87" s="275"/>
      <c r="Q87" s="894"/>
      <c r="R87" s="275"/>
      <c r="S87" s="275"/>
      <c r="T87" s="275"/>
    </row>
    <row r="88" spans="1:20">
      <c r="A88" s="267" t="s">
        <v>519</v>
      </c>
      <c r="B88" s="268"/>
      <c r="C88" s="269" t="s">
        <v>786</v>
      </c>
      <c r="D88" s="270">
        <v>3125</v>
      </c>
      <c r="E88" s="271">
        <f>IF(ISNA(HLOOKUP($D88,'GG Support Data'!$C$8:$Q$67,17,FALSE)),0,HLOOKUP($D88,'GG Support Data'!$C$8:$Q$67,17,FALSE))</f>
        <v>26353773.856153846</v>
      </c>
      <c r="F88" s="272">
        <f t="shared" si="1"/>
        <v>3.3567601303107292E-2</v>
      </c>
      <c r="G88" s="273">
        <f t="shared" si="2"/>
        <v>884632.97363562474</v>
      </c>
      <c r="H88" s="271">
        <f>IF(ISNA(HLOOKUP($D88,'GG Support Data'!$C$8:$Q$67,17,FALSE)),0,HLOOKUP($D88,'GG Support Data'!$C$8:$Q$67,50,FALSE))</f>
        <v>25598782.445384618</v>
      </c>
      <c r="I88" s="272">
        <f t="shared" si="3"/>
        <v>9.9739890375936849E-2</v>
      </c>
      <c r="J88" s="273">
        <f t="shared" si="4"/>
        <v>2553219.7548601185</v>
      </c>
      <c r="K88" s="271">
        <f>IF(ISNA(HLOOKUP($D88,'GG Support Data'!$C$8:$Q$67,17,FALSE)),0,HLOOKUP($D88,'GG Support Data'!$C$8:$Q$67,55,FALSE))</f>
        <v>771190.5</v>
      </c>
      <c r="L88" s="271">
        <f>IF(ISNA(HLOOKUP($D88,'GG Support Data'!$C$8:$Q$67,17,FALSE)),0,HLOOKUP($D88,'GG Support Data'!$C$8:$Q$67,60,FALSE))</f>
        <v>0</v>
      </c>
      <c r="M88" s="273">
        <f t="shared" si="0"/>
        <v>4209043.2284957431</v>
      </c>
      <c r="N88" s="274">
        <f>'2014 Sch. 26 True-up Adj'!AG61</f>
        <v>253921.75050584626</v>
      </c>
      <c r="O88" s="273">
        <f t="shared" si="5"/>
        <v>4462964.9790015891</v>
      </c>
      <c r="P88" s="275"/>
      <c r="Q88" s="894"/>
      <c r="R88" s="275"/>
      <c r="S88" s="275"/>
      <c r="T88" s="275"/>
    </row>
    <row r="89" spans="1:20">
      <c r="A89" s="267" t="s">
        <v>520</v>
      </c>
      <c r="B89" s="268"/>
      <c r="C89" s="269" t="s">
        <v>787</v>
      </c>
      <c r="D89" s="270">
        <v>3206</v>
      </c>
      <c r="E89" s="271">
        <f>IF(ISNA(HLOOKUP($D89,'GG Support Data'!$C$8:$Q$67,17,FALSE)),0,HLOOKUP($D89,'GG Support Data'!$C$8:$Q$67,17,FALSE))</f>
        <v>1345292.780769231</v>
      </c>
      <c r="F89" s="272">
        <f t="shared" si="1"/>
        <v>3.3567601303107292E-2</v>
      </c>
      <c r="G89" s="273">
        <f t="shared" ref="G89:G90" si="6">E89*F89</f>
        <v>45158.251700810069</v>
      </c>
      <c r="H89" s="271">
        <f>IF(ISNA(HLOOKUP($D89,'GG Support Data'!$C$8:$Q$67,17,FALSE)),0,HLOOKUP($D89,'GG Support Data'!$C$8:$Q$67,50,FALSE))</f>
        <v>1345292.780769231</v>
      </c>
      <c r="I89" s="272">
        <f t="shared" si="3"/>
        <v>9.9739890375936849E-2</v>
      </c>
      <c r="J89" s="273">
        <f t="shared" ref="J89:J90" si="7">H89*I89</f>
        <v>134179.35447746236</v>
      </c>
      <c r="K89" s="271">
        <f>IF(ISNA(HLOOKUP($D89,'GG Support Data'!$C$8:$Q$67,17,FALSE)),0,HLOOKUP($D89,'GG Support Data'!$C$8:$Q$67,55,FALSE))</f>
        <v>0</v>
      </c>
      <c r="L89" s="271">
        <f>IF(ISNA(HLOOKUP($D89,'GG Support Data'!$C$8:$Q$67,17,FALSE)),0,HLOOKUP($D89,'GG Support Data'!$C$8:$Q$67,60,FALSE))</f>
        <v>0</v>
      </c>
      <c r="M89" s="273">
        <f t="shared" ref="M89:M90" si="8">G89+J89+K89+L89</f>
        <v>179337.60617827243</v>
      </c>
      <c r="N89" s="274">
        <f>'2014 Sch. 26 True-up Adj'!AG58</f>
        <v>-33000.42724614864</v>
      </c>
      <c r="O89" s="273">
        <f t="shared" ref="O89:O90" si="9">M89+N89</f>
        <v>146337.17893212379</v>
      </c>
      <c r="P89" s="275"/>
      <c r="Q89" s="894"/>
      <c r="R89" s="275"/>
      <c r="S89" s="275"/>
      <c r="T89" s="275"/>
    </row>
    <row r="90" spans="1:20" ht="30">
      <c r="A90" s="267" t="s">
        <v>521</v>
      </c>
      <c r="B90" s="268"/>
      <c r="C90" s="269" t="s">
        <v>788</v>
      </c>
      <c r="D90" s="270">
        <v>3679</v>
      </c>
      <c r="E90" s="271">
        <f>IF(ISNA(HLOOKUP($D90,'GG Support Data'!$C$8:$Q$67,17,FALSE)),0,HLOOKUP($D90,'GG Support Data'!$C$8:$Q$67,17,FALSE))</f>
        <v>99792058.186351538</v>
      </c>
      <c r="F90" s="272">
        <f t="shared" si="1"/>
        <v>3.3567601303107292E-2</v>
      </c>
      <c r="G90" s="273">
        <f t="shared" si="6"/>
        <v>3349780.0224159327</v>
      </c>
      <c r="H90" s="271">
        <f>IF(ISNA(HLOOKUP($D90,'GG Support Data'!$C$8:$Q$67,17,FALSE)),0,HLOOKUP($D90,'GG Support Data'!$C$8:$Q$67,50,FALSE))</f>
        <v>99665968.104813069</v>
      </c>
      <c r="I90" s="272">
        <f t="shared" si="3"/>
        <v>9.9739890375936849E-2</v>
      </c>
      <c r="J90" s="273">
        <f t="shared" si="7"/>
        <v>9940672.7329856735</v>
      </c>
      <c r="K90" s="271">
        <f>IF(ISNA(HLOOKUP($D90,'GG Support Data'!$C$8:$Q$67,17,FALSE)),0,HLOOKUP($D90,'GG Support Data'!$C$8:$Q$67,55,FALSE))</f>
        <v>658569.36</v>
      </c>
      <c r="L90" s="271">
        <f>IF(ISNA(HLOOKUP($D90,'GG Support Data'!$C$8:$Q$67,17,FALSE)),0,HLOOKUP($D90,'GG Support Data'!$C$8:$Q$67,60,FALSE))</f>
        <v>3978.3602000000001</v>
      </c>
      <c r="M90" s="273">
        <f t="shared" si="8"/>
        <v>13953000.475601606</v>
      </c>
      <c r="N90" s="274">
        <f>'2014 Sch. 26 True-up Adj'!AG62</f>
        <v>-1367057.0752203735</v>
      </c>
      <c r="O90" s="273">
        <f t="shared" si="9"/>
        <v>12585943.400381234</v>
      </c>
      <c r="P90" s="275"/>
      <c r="Q90" s="894"/>
      <c r="R90" s="275"/>
      <c r="S90" s="275"/>
      <c r="T90" s="275"/>
    </row>
    <row r="91" spans="1:20" ht="30">
      <c r="A91" s="267" t="s">
        <v>522</v>
      </c>
      <c r="B91" s="268"/>
      <c r="C91" s="269" t="s">
        <v>789</v>
      </c>
      <c r="D91" s="270">
        <v>12284</v>
      </c>
      <c r="E91" s="271">
        <f>IF(ISNA(HLOOKUP($D91,'GG Support Data'!$C$8:$Q$67,17,FALSE)),0,HLOOKUP($D91,'GG Support Data'!$C$8:$Q$67,17,FALSE))</f>
        <v>0</v>
      </c>
      <c r="F91" s="272">
        <f t="shared" si="1"/>
        <v>3.3567601303107292E-2</v>
      </c>
      <c r="G91" s="273">
        <f t="shared" ref="G91" si="10">E91*F91</f>
        <v>0</v>
      </c>
      <c r="H91" s="271">
        <f>IF(ISNA(HLOOKUP($D91,'GG Support Data'!$C$8:$Q$67,17,FALSE)),0,HLOOKUP($D91,'GG Support Data'!$C$8:$Q$67,50,FALSE))</f>
        <v>0</v>
      </c>
      <c r="I91" s="272">
        <f t="shared" si="3"/>
        <v>9.9739890375936849E-2</v>
      </c>
      <c r="J91" s="273">
        <f t="shared" ref="J91" si="11">H91*I91</f>
        <v>0</v>
      </c>
      <c r="K91" s="271">
        <f>IF(ISNA(HLOOKUP($D91,'GG Support Data'!$C$8:$Q$67,17,FALSE)),0,HLOOKUP($D91,'GG Support Data'!$C$8:$Q$67,55,FALSE))</f>
        <v>0</v>
      </c>
      <c r="L91" s="271">
        <f>IF(ISNA(HLOOKUP($D91,'GG Support Data'!$C$8:$Q$67,17,FALSE)),0,HLOOKUP($D91,'GG Support Data'!$C$8:$Q$67,60,FALSE))</f>
        <v>0</v>
      </c>
      <c r="M91" s="273">
        <f t="shared" ref="M91" si="12">G91+J91+K91+L91</f>
        <v>0</v>
      </c>
      <c r="N91" s="274">
        <v>0</v>
      </c>
      <c r="O91" s="273">
        <f t="shared" ref="O91" si="13">M91+N91</f>
        <v>0</v>
      </c>
      <c r="P91" s="275"/>
      <c r="Q91" s="894"/>
      <c r="R91" s="275"/>
      <c r="S91" s="275"/>
      <c r="T91" s="275"/>
    </row>
    <row r="92" spans="1:20">
      <c r="A92" s="267"/>
      <c r="B92" s="268"/>
      <c r="C92" s="269"/>
      <c r="D92" s="270"/>
      <c r="E92" s="277"/>
      <c r="F92" s="272"/>
      <c r="G92" s="273"/>
      <c r="H92" s="277"/>
      <c r="I92" s="272"/>
      <c r="J92" s="273"/>
      <c r="K92" s="277"/>
      <c r="L92" s="277"/>
      <c r="M92" s="273"/>
      <c r="N92" s="278"/>
      <c r="O92" s="273"/>
      <c r="P92" s="275"/>
      <c r="Q92" s="276"/>
      <c r="R92" s="275"/>
      <c r="S92" s="275"/>
      <c r="T92" s="275"/>
    </row>
    <row r="93" spans="1:20">
      <c r="A93" s="267"/>
      <c r="B93" s="268"/>
      <c r="C93" s="269"/>
      <c r="D93" s="270"/>
      <c r="E93" s="277"/>
      <c r="F93" s="272"/>
      <c r="G93" s="273"/>
      <c r="H93" s="277"/>
      <c r="I93" s="272"/>
      <c r="J93" s="273"/>
      <c r="K93" s="277"/>
      <c r="L93" s="277"/>
      <c r="M93" s="273"/>
      <c r="N93" s="278"/>
      <c r="O93" s="273"/>
      <c r="P93" s="275"/>
      <c r="Q93" s="276"/>
      <c r="R93" s="275"/>
      <c r="S93" s="275"/>
      <c r="T93" s="275"/>
    </row>
    <row r="94" spans="1:20">
      <c r="A94" s="267"/>
      <c r="B94" s="268"/>
      <c r="C94" s="269"/>
      <c r="D94" s="270"/>
      <c r="E94" s="277"/>
      <c r="F94" s="272"/>
      <c r="G94" s="273"/>
      <c r="H94" s="277"/>
      <c r="I94" s="272"/>
      <c r="J94" s="273"/>
      <c r="K94" s="277"/>
      <c r="L94" s="277"/>
      <c r="M94" s="273"/>
      <c r="N94" s="278"/>
      <c r="O94" s="273"/>
      <c r="P94" s="275"/>
      <c r="Q94" s="276"/>
      <c r="R94" s="275"/>
      <c r="S94" s="275"/>
      <c r="T94" s="275"/>
    </row>
    <row r="95" spans="1:20">
      <c r="A95" s="267"/>
      <c r="B95" s="268"/>
      <c r="C95" s="269"/>
      <c r="D95" s="270"/>
      <c r="E95" s="277"/>
      <c r="F95" s="272"/>
      <c r="G95" s="273"/>
      <c r="H95" s="277"/>
      <c r="I95" s="272"/>
      <c r="J95" s="273"/>
      <c r="K95" s="277"/>
      <c r="L95" s="277"/>
      <c r="M95" s="273"/>
      <c r="N95" s="278"/>
      <c r="O95" s="273"/>
      <c r="P95" s="275"/>
      <c r="Q95" s="276"/>
      <c r="R95" s="275"/>
      <c r="S95" s="275"/>
      <c r="T95" s="275"/>
    </row>
    <row r="96" spans="1:20">
      <c r="A96" s="267"/>
      <c r="B96" s="268"/>
      <c r="C96" s="269"/>
      <c r="D96" s="270"/>
      <c r="E96" s="277"/>
      <c r="F96" s="272"/>
      <c r="G96" s="273"/>
      <c r="H96" s="277"/>
      <c r="I96" s="272"/>
      <c r="J96" s="273"/>
      <c r="K96" s="277"/>
      <c r="L96" s="277"/>
      <c r="M96" s="273"/>
      <c r="N96" s="278"/>
      <c r="O96" s="273"/>
      <c r="P96" s="275"/>
      <c r="Q96" s="276"/>
      <c r="R96" s="275"/>
      <c r="S96" s="275"/>
      <c r="T96" s="275"/>
    </row>
    <row r="97" spans="1:20">
      <c r="A97" s="267"/>
      <c r="B97" s="268"/>
      <c r="C97" s="269"/>
      <c r="D97" s="270"/>
      <c r="E97" s="277"/>
      <c r="F97" s="272"/>
      <c r="G97" s="273"/>
      <c r="H97" s="277"/>
      <c r="I97" s="272"/>
      <c r="J97" s="273"/>
      <c r="K97" s="277"/>
      <c r="L97" s="277"/>
      <c r="M97" s="273"/>
      <c r="N97" s="278"/>
      <c r="O97" s="273"/>
      <c r="P97" s="275"/>
      <c r="Q97" s="276"/>
      <c r="R97" s="275"/>
      <c r="S97" s="275"/>
      <c r="T97" s="275"/>
    </row>
    <row r="98" spans="1:20">
      <c r="A98" s="267"/>
      <c r="B98" s="268"/>
      <c r="C98" s="269"/>
      <c r="D98" s="270"/>
      <c r="E98" s="277"/>
      <c r="F98" s="272"/>
      <c r="G98" s="273"/>
      <c r="H98" s="277"/>
      <c r="I98" s="272"/>
      <c r="J98" s="273"/>
      <c r="K98" s="277"/>
      <c r="L98" s="277"/>
      <c r="M98" s="273"/>
      <c r="N98" s="278"/>
      <c r="O98" s="273"/>
      <c r="P98" s="275"/>
      <c r="Q98" s="276"/>
      <c r="R98" s="275"/>
      <c r="S98" s="275"/>
      <c r="T98" s="275"/>
    </row>
    <row r="99" spans="1:20">
      <c r="A99" s="267"/>
      <c r="B99" s="268"/>
      <c r="C99" s="269"/>
      <c r="D99" s="270"/>
      <c r="E99" s="277"/>
      <c r="F99" s="272"/>
      <c r="G99" s="273"/>
      <c r="H99" s="277"/>
      <c r="I99" s="272"/>
      <c r="J99" s="273"/>
      <c r="K99" s="277"/>
      <c r="L99" s="277"/>
      <c r="M99" s="273"/>
      <c r="N99" s="278"/>
      <c r="O99" s="273"/>
      <c r="P99" s="275"/>
      <c r="Q99" s="276"/>
      <c r="R99" s="275"/>
      <c r="S99" s="275"/>
      <c r="T99" s="275"/>
    </row>
    <row r="100" spans="1:20">
      <c r="A100" s="279"/>
      <c r="B100" s="280"/>
      <c r="C100" s="281"/>
      <c r="D100" s="281"/>
      <c r="E100" s="281"/>
      <c r="F100" s="281"/>
      <c r="G100" s="282"/>
      <c r="H100" s="281"/>
      <c r="I100" s="281"/>
      <c r="J100" s="282"/>
      <c r="K100" s="281"/>
      <c r="L100" s="281"/>
      <c r="M100" s="282"/>
      <c r="N100" s="281"/>
      <c r="O100" s="282"/>
      <c r="P100" s="275"/>
      <c r="Q100" s="276"/>
      <c r="R100" s="275"/>
      <c r="S100" s="275"/>
      <c r="T100" s="275"/>
    </row>
    <row r="101" spans="1:20">
      <c r="A101" s="204" t="s">
        <v>433</v>
      </c>
      <c r="B101" s="234"/>
      <c r="C101" s="207" t="s">
        <v>434</v>
      </c>
      <c r="D101" s="207"/>
      <c r="E101" s="227"/>
      <c r="F101" s="227"/>
      <c r="G101" s="196"/>
      <c r="H101" s="196"/>
      <c r="I101" s="196"/>
      <c r="J101" s="196"/>
      <c r="K101" s="196"/>
      <c r="L101" s="283">
        <f>SUM(L75:L100)</f>
        <v>3978.3602000000001</v>
      </c>
      <c r="M101" s="283">
        <f>SUM(M75:M100)</f>
        <v>96094774.617580444</v>
      </c>
      <c r="N101" s="284">
        <f>SUM(N75:N100)</f>
        <v>-11051556.362321686</v>
      </c>
      <c r="O101" s="283">
        <f>SUM(O75:O100)</f>
        <v>85043218.255258769</v>
      </c>
      <c r="P101" s="275"/>
      <c r="Q101" s="275"/>
      <c r="R101" s="275"/>
      <c r="S101" s="275"/>
      <c r="T101" s="275"/>
    </row>
    <row r="102" spans="1:20">
      <c r="A102" s="285"/>
      <c r="B102" s="275"/>
      <c r="C102" s="275"/>
      <c r="D102" s="275"/>
      <c r="E102" s="275"/>
      <c r="F102" s="275"/>
      <c r="G102" s="275"/>
      <c r="H102" s="275"/>
      <c r="I102" s="275"/>
      <c r="J102" s="275"/>
      <c r="K102" s="275"/>
      <c r="L102" s="275"/>
      <c r="M102" s="275"/>
      <c r="N102" s="275"/>
      <c r="O102" s="275"/>
      <c r="P102" s="275"/>
      <c r="Q102" s="275"/>
      <c r="R102" s="275"/>
      <c r="S102" s="275"/>
      <c r="T102" s="275"/>
    </row>
    <row r="103" spans="1:20">
      <c r="A103" s="286">
        <v>3</v>
      </c>
      <c r="B103" s="275"/>
      <c r="C103" s="238" t="s">
        <v>435</v>
      </c>
      <c r="D103" s="275"/>
      <c r="E103" s="275"/>
      <c r="F103" s="275"/>
      <c r="G103" s="275"/>
      <c r="H103" s="275"/>
      <c r="I103" s="275"/>
      <c r="J103" s="275"/>
      <c r="K103" s="275"/>
      <c r="L103" s="275"/>
      <c r="M103" s="283">
        <f>M101</f>
        <v>96094774.617580444</v>
      </c>
      <c r="N103" s="275"/>
      <c r="O103" s="275"/>
      <c r="P103" s="275"/>
      <c r="Q103" s="275"/>
      <c r="R103" s="275"/>
      <c r="S103" s="275"/>
      <c r="T103" s="275"/>
    </row>
    <row r="104" spans="1:20">
      <c r="A104" s="275"/>
      <c r="B104" s="275"/>
      <c r="C104" s="275"/>
      <c r="D104" s="275"/>
      <c r="E104" s="275"/>
      <c r="F104" s="275"/>
      <c r="G104" s="275"/>
      <c r="H104" s="275"/>
      <c r="I104" s="275"/>
      <c r="J104" s="275"/>
      <c r="K104" s="275"/>
      <c r="L104" s="275"/>
      <c r="M104" s="275"/>
      <c r="N104" s="275"/>
      <c r="O104" s="275"/>
      <c r="P104" s="275"/>
      <c r="Q104" s="275"/>
      <c r="R104" s="275"/>
      <c r="S104" s="275"/>
      <c r="T104" s="275"/>
    </row>
    <row r="105" spans="1:20">
      <c r="A105" s="275"/>
      <c r="B105" s="275"/>
      <c r="C105" s="275"/>
      <c r="D105" s="275"/>
      <c r="E105" s="275"/>
      <c r="F105" s="275"/>
      <c r="G105" s="275"/>
      <c r="H105" s="275"/>
      <c r="I105" s="275"/>
      <c r="J105" s="275"/>
      <c r="K105" s="275"/>
      <c r="L105" s="275"/>
      <c r="M105" s="275"/>
      <c r="N105" s="275"/>
      <c r="O105" s="275"/>
      <c r="P105" s="275"/>
      <c r="Q105" s="275"/>
      <c r="R105" s="275"/>
      <c r="S105" s="275"/>
      <c r="T105" s="275"/>
    </row>
    <row r="106" spans="1:20">
      <c r="A106" s="238" t="s">
        <v>180</v>
      </c>
      <c r="B106" s="275"/>
      <c r="C106" s="275"/>
      <c r="D106" s="275"/>
      <c r="E106" s="275"/>
      <c r="F106" s="275"/>
      <c r="G106" s="275"/>
      <c r="H106" s="275"/>
      <c r="I106" s="275"/>
      <c r="J106" s="275"/>
      <c r="K106" s="275"/>
      <c r="L106" s="275"/>
      <c r="M106" s="275"/>
      <c r="N106" s="275"/>
      <c r="O106" s="275"/>
      <c r="P106" s="275"/>
      <c r="Q106" s="275"/>
      <c r="R106" s="275"/>
      <c r="S106" s="275"/>
      <c r="T106" s="275"/>
    </row>
    <row r="107" spans="1:20" ht="15.75" thickBot="1">
      <c r="A107" s="287" t="s">
        <v>181</v>
      </c>
      <c r="B107" s="275"/>
      <c r="C107" s="275"/>
      <c r="D107" s="275"/>
      <c r="E107" s="275"/>
      <c r="F107" s="275"/>
      <c r="G107" s="275"/>
      <c r="H107" s="275"/>
      <c r="I107" s="275"/>
      <c r="J107" s="275"/>
      <c r="K107" s="275"/>
      <c r="L107" s="275"/>
      <c r="M107" s="275"/>
      <c r="N107" s="275"/>
      <c r="O107" s="275"/>
      <c r="P107" s="275"/>
      <c r="Q107" s="275"/>
      <c r="R107" s="275"/>
      <c r="S107" s="275"/>
      <c r="T107" s="275"/>
    </row>
    <row r="108" spans="1:20">
      <c r="A108" s="288" t="s">
        <v>182</v>
      </c>
      <c r="B108" s="186"/>
      <c r="C108" s="990" t="s">
        <v>436</v>
      </c>
      <c r="D108" s="990"/>
      <c r="E108" s="990"/>
      <c r="F108" s="990"/>
      <c r="G108" s="990"/>
      <c r="H108" s="990"/>
      <c r="I108" s="990"/>
      <c r="J108" s="990"/>
      <c r="K108" s="990"/>
      <c r="L108" s="990"/>
      <c r="M108" s="990"/>
      <c r="N108" s="990"/>
      <c r="O108" s="990"/>
      <c r="P108" s="275"/>
      <c r="Q108" s="275"/>
      <c r="R108" s="275"/>
      <c r="S108" s="275"/>
      <c r="T108" s="275"/>
    </row>
    <row r="109" spans="1:20">
      <c r="A109" s="288" t="s">
        <v>183</v>
      </c>
      <c r="B109" s="186"/>
      <c r="C109" s="990" t="s">
        <v>437</v>
      </c>
      <c r="D109" s="990"/>
      <c r="E109" s="990"/>
      <c r="F109" s="990"/>
      <c r="G109" s="990"/>
      <c r="H109" s="990"/>
      <c r="I109" s="990"/>
      <c r="J109" s="990"/>
      <c r="K109" s="990"/>
      <c r="L109" s="990"/>
      <c r="M109" s="990"/>
      <c r="N109" s="990"/>
      <c r="O109" s="990"/>
      <c r="P109" s="275"/>
      <c r="Q109" s="275"/>
      <c r="R109" s="275"/>
      <c r="S109" s="275"/>
      <c r="T109" s="275"/>
    </row>
    <row r="110" spans="1:20" ht="33" customHeight="1">
      <c r="A110" s="288" t="s">
        <v>184</v>
      </c>
      <c r="B110" s="186"/>
      <c r="C110" s="990" t="s">
        <v>438</v>
      </c>
      <c r="D110" s="990"/>
      <c r="E110" s="990"/>
      <c r="F110" s="990"/>
      <c r="G110" s="990"/>
      <c r="H110" s="990"/>
      <c r="I110" s="990"/>
      <c r="J110" s="990"/>
      <c r="K110" s="990"/>
      <c r="L110" s="990"/>
      <c r="M110" s="990"/>
      <c r="N110" s="990"/>
      <c r="O110" s="990"/>
      <c r="P110" s="275"/>
      <c r="Q110" s="275"/>
      <c r="R110" s="275"/>
      <c r="S110" s="275"/>
      <c r="T110" s="275"/>
    </row>
    <row r="111" spans="1:20">
      <c r="A111" s="288" t="s">
        <v>185</v>
      </c>
      <c r="B111" s="186"/>
      <c r="C111" s="991" t="s">
        <v>439</v>
      </c>
      <c r="D111" s="991"/>
      <c r="E111" s="991"/>
      <c r="F111" s="991"/>
      <c r="G111" s="991"/>
      <c r="H111" s="991"/>
      <c r="I111" s="991"/>
      <c r="J111" s="991"/>
      <c r="K111" s="991"/>
      <c r="L111" s="991"/>
      <c r="M111" s="991"/>
      <c r="N111" s="991"/>
      <c r="O111" s="991"/>
      <c r="P111" s="275"/>
      <c r="Q111" s="275"/>
      <c r="R111" s="275"/>
      <c r="S111" s="275"/>
      <c r="T111" s="275"/>
    </row>
    <row r="112" spans="1:20">
      <c r="A112" s="245" t="s">
        <v>186</v>
      </c>
      <c r="B112" s="186"/>
      <c r="C112" s="988" t="s">
        <v>440</v>
      </c>
      <c r="D112" s="988"/>
      <c r="E112" s="988"/>
      <c r="F112" s="988"/>
      <c r="G112" s="988"/>
      <c r="H112" s="988"/>
      <c r="I112" s="988"/>
      <c r="J112" s="988"/>
      <c r="K112" s="988"/>
      <c r="L112" s="988"/>
      <c r="M112" s="988"/>
      <c r="N112" s="988"/>
      <c r="O112" s="988"/>
      <c r="P112" s="275"/>
      <c r="Q112" s="275"/>
      <c r="R112" s="275"/>
      <c r="S112" s="275"/>
      <c r="T112" s="275"/>
    </row>
    <row r="113" spans="1:20">
      <c r="A113" s="245" t="s">
        <v>188</v>
      </c>
      <c r="B113" s="186"/>
      <c r="C113" s="988" t="s">
        <v>441</v>
      </c>
      <c r="D113" s="988"/>
      <c r="E113" s="988"/>
      <c r="F113" s="988"/>
      <c r="G113" s="988"/>
      <c r="H113" s="988"/>
      <c r="I113" s="988"/>
      <c r="J113" s="988"/>
      <c r="K113" s="988"/>
      <c r="L113" s="988"/>
      <c r="M113" s="988"/>
      <c r="N113" s="988"/>
      <c r="O113" s="988"/>
      <c r="P113" s="275"/>
      <c r="Q113" s="275"/>
      <c r="R113" s="275"/>
      <c r="S113" s="275"/>
      <c r="T113" s="275"/>
    </row>
    <row r="114" spans="1:20">
      <c r="A114" s="245" t="s">
        <v>189</v>
      </c>
      <c r="B114" s="186"/>
      <c r="C114" s="988" t="s">
        <v>442</v>
      </c>
      <c r="D114" s="988"/>
      <c r="E114" s="988"/>
      <c r="F114" s="988"/>
      <c r="G114" s="988"/>
      <c r="H114" s="988"/>
      <c r="I114" s="988"/>
      <c r="J114" s="988"/>
      <c r="K114" s="988"/>
      <c r="L114" s="988"/>
      <c r="M114" s="988"/>
      <c r="N114" s="988"/>
      <c r="O114" s="988"/>
      <c r="P114" s="275"/>
      <c r="Q114" s="275"/>
      <c r="R114" s="275"/>
      <c r="S114" s="275"/>
      <c r="T114" s="275"/>
    </row>
    <row r="115" spans="1:20">
      <c r="A115" s="245" t="s">
        <v>191</v>
      </c>
      <c r="B115" s="186"/>
      <c r="C115" s="988" t="s">
        <v>443</v>
      </c>
      <c r="D115" s="988"/>
      <c r="E115" s="988"/>
      <c r="F115" s="988"/>
      <c r="G115" s="988"/>
      <c r="H115" s="988"/>
      <c r="I115" s="988"/>
      <c r="J115" s="988"/>
      <c r="K115" s="988"/>
      <c r="L115" s="988"/>
      <c r="M115" s="988"/>
      <c r="N115" s="988"/>
      <c r="O115" s="988"/>
      <c r="P115" s="275"/>
      <c r="Q115" s="275"/>
      <c r="R115" s="275"/>
      <c r="S115" s="275"/>
      <c r="T115" s="275"/>
    </row>
    <row r="116" spans="1:20" ht="15.75" customHeight="1">
      <c r="A116" s="289" t="s">
        <v>192</v>
      </c>
      <c r="B116" s="290"/>
      <c r="C116" s="989" t="s">
        <v>444</v>
      </c>
      <c r="D116" s="989"/>
      <c r="E116" s="989"/>
      <c r="F116" s="989"/>
      <c r="G116" s="989"/>
      <c r="H116" s="989"/>
      <c r="I116" s="989"/>
      <c r="J116" s="989"/>
      <c r="K116" s="989"/>
      <c r="L116" s="989"/>
      <c r="M116" s="989"/>
      <c r="N116" s="989"/>
      <c r="O116" s="989"/>
      <c r="P116" s="292"/>
      <c r="Q116" s="292"/>
      <c r="R116" s="292"/>
      <c r="S116" s="275"/>
      <c r="T116" s="275"/>
    </row>
    <row r="117" spans="1:20" ht="33" customHeight="1">
      <c r="A117" s="289" t="s">
        <v>193</v>
      </c>
      <c r="B117" s="293"/>
      <c r="C117" s="989" t="s">
        <v>445</v>
      </c>
      <c r="D117" s="989"/>
      <c r="E117" s="989"/>
      <c r="F117" s="989"/>
      <c r="G117" s="989"/>
      <c r="H117" s="989"/>
      <c r="I117" s="989"/>
      <c r="J117" s="989"/>
      <c r="K117" s="989"/>
      <c r="L117" s="989"/>
      <c r="M117" s="989"/>
      <c r="N117" s="989"/>
      <c r="O117" s="989"/>
      <c r="P117" s="292"/>
      <c r="Q117" s="292"/>
      <c r="R117" s="292"/>
      <c r="S117" s="275"/>
      <c r="T117" s="275"/>
    </row>
    <row r="118" spans="1:20" ht="15.75">
      <c r="A118" s="239"/>
      <c r="B118" s="294"/>
      <c r="C118" s="295"/>
      <c r="D118" s="226"/>
      <c r="E118" s="227"/>
      <c r="F118" s="227"/>
      <c r="G118" s="196"/>
      <c r="H118" s="238"/>
      <c r="I118" s="238"/>
      <c r="J118" s="221"/>
      <c r="K118" s="238"/>
      <c r="L118" s="238"/>
      <c r="M118" s="186"/>
      <c r="N118" s="196"/>
      <c r="O118" s="223"/>
      <c r="P118" s="275"/>
      <c r="Q118" s="275"/>
      <c r="R118" s="275"/>
      <c r="S118" s="275"/>
      <c r="T118" s="275"/>
    </row>
    <row r="119" spans="1:20">
      <c r="C119" s="275"/>
      <c r="D119" s="275"/>
      <c r="E119" s="275"/>
      <c r="F119" s="275"/>
      <c r="G119" s="275"/>
      <c r="H119" s="275"/>
      <c r="I119" s="275"/>
      <c r="J119" s="275"/>
      <c r="K119" s="275"/>
      <c r="L119" s="275"/>
      <c r="M119" s="275"/>
      <c r="N119" s="275"/>
      <c r="O119" s="275"/>
      <c r="P119" s="275"/>
      <c r="Q119" s="275"/>
      <c r="R119" s="275"/>
      <c r="S119" s="275"/>
      <c r="T119" s="275"/>
    </row>
    <row r="120" spans="1:20">
      <c r="C120" s="275"/>
      <c r="D120" s="275"/>
      <c r="E120" s="275"/>
      <c r="F120" s="275"/>
      <c r="G120" s="275"/>
      <c r="H120" s="275"/>
      <c r="I120" s="275"/>
      <c r="J120" s="275"/>
      <c r="K120" s="275"/>
      <c r="L120" s="275"/>
      <c r="M120" s="275"/>
      <c r="N120" s="275"/>
      <c r="O120" s="275"/>
      <c r="P120" s="275"/>
      <c r="Q120" s="275"/>
      <c r="R120" s="275"/>
      <c r="S120" s="275"/>
      <c r="T120" s="275"/>
    </row>
    <row r="121" spans="1:20">
      <c r="C121" s="275"/>
      <c r="D121" s="275"/>
      <c r="E121" s="275"/>
      <c r="F121" s="275"/>
      <c r="G121" s="275"/>
      <c r="H121" s="275"/>
      <c r="I121" s="275"/>
      <c r="J121" s="275"/>
      <c r="K121" s="275"/>
      <c r="L121" s="275"/>
      <c r="M121" s="275"/>
      <c r="N121" s="275"/>
      <c r="O121" s="275"/>
      <c r="P121" s="275"/>
      <c r="Q121" s="275"/>
      <c r="R121" s="275"/>
      <c r="S121" s="275"/>
      <c r="T121" s="275"/>
    </row>
    <row r="122" spans="1:20">
      <c r="C122" s="275"/>
      <c r="D122" s="275"/>
      <c r="E122" s="275"/>
      <c r="F122" s="275"/>
      <c r="G122" s="275"/>
      <c r="H122" s="275"/>
      <c r="I122" s="275"/>
      <c r="J122" s="275"/>
      <c r="K122" s="275"/>
      <c r="L122" s="275"/>
      <c r="M122" s="275"/>
      <c r="N122" s="275"/>
      <c r="O122" s="275"/>
      <c r="P122" s="275"/>
      <c r="Q122" s="275"/>
      <c r="R122" s="275"/>
      <c r="S122" s="275"/>
      <c r="T122" s="275"/>
    </row>
    <row r="123" spans="1:20">
      <c r="C123" s="275"/>
      <c r="D123" s="275"/>
      <c r="E123" s="275"/>
      <c r="F123" s="275"/>
      <c r="G123" s="275"/>
      <c r="H123" s="275"/>
      <c r="I123" s="275"/>
      <c r="J123" s="275"/>
      <c r="K123" s="275"/>
      <c r="L123" s="275"/>
      <c r="M123" s="275"/>
      <c r="N123" s="275"/>
      <c r="O123" s="275"/>
      <c r="P123" s="275"/>
      <c r="Q123" s="275"/>
      <c r="R123" s="275"/>
      <c r="S123" s="275"/>
      <c r="T123" s="275"/>
    </row>
    <row r="124" spans="1:20">
      <c r="C124" s="275"/>
      <c r="D124" s="275"/>
      <c r="E124" s="275"/>
      <c r="F124" s="275"/>
      <c r="G124" s="275"/>
      <c r="H124" s="275"/>
      <c r="I124" s="275"/>
      <c r="J124" s="275"/>
      <c r="K124" s="275"/>
      <c r="L124" s="275"/>
      <c r="M124" s="275"/>
      <c r="N124" s="275"/>
      <c r="O124" s="275"/>
      <c r="P124" s="275"/>
      <c r="Q124" s="275"/>
      <c r="R124" s="275"/>
      <c r="S124" s="275"/>
      <c r="T124" s="275"/>
    </row>
    <row r="125" spans="1:20">
      <c r="C125" s="275"/>
      <c r="D125" s="275"/>
      <c r="E125" s="275"/>
      <c r="F125" s="275"/>
      <c r="G125" s="275"/>
      <c r="H125" s="275"/>
      <c r="I125" s="275"/>
      <c r="J125" s="275"/>
      <c r="K125" s="275"/>
      <c r="L125" s="275"/>
      <c r="M125" s="275"/>
      <c r="N125" s="275"/>
      <c r="O125" s="275"/>
      <c r="P125" s="275"/>
      <c r="Q125" s="275"/>
      <c r="R125" s="275"/>
      <c r="S125" s="275"/>
      <c r="T125" s="275"/>
    </row>
    <row r="126" spans="1:20">
      <c r="C126" s="275"/>
      <c r="D126" s="275"/>
      <c r="E126" s="275"/>
      <c r="F126" s="275"/>
      <c r="G126" s="275"/>
      <c r="H126" s="275"/>
      <c r="I126" s="275"/>
      <c r="J126" s="275"/>
      <c r="K126" s="275"/>
      <c r="L126" s="275"/>
      <c r="M126" s="275"/>
      <c r="N126" s="275"/>
      <c r="O126" s="275"/>
      <c r="P126" s="275"/>
      <c r="Q126" s="275"/>
      <c r="R126" s="275"/>
      <c r="S126" s="275"/>
      <c r="T126" s="275"/>
    </row>
    <row r="127" spans="1:20">
      <c r="C127" s="275"/>
      <c r="D127" s="275"/>
      <c r="E127" s="275"/>
      <c r="F127" s="275"/>
      <c r="G127" s="275"/>
      <c r="H127" s="275"/>
      <c r="I127" s="275"/>
      <c r="J127" s="275"/>
      <c r="K127" s="275"/>
      <c r="L127" s="275"/>
      <c r="M127" s="275"/>
      <c r="N127" s="275"/>
      <c r="O127" s="275"/>
      <c r="P127" s="275"/>
      <c r="Q127" s="275"/>
      <c r="R127" s="275"/>
      <c r="S127" s="275"/>
      <c r="T127" s="275"/>
    </row>
    <row r="128" spans="1:20">
      <c r="C128" s="275"/>
      <c r="D128" s="275"/>
      <c r="E128" s="275"/>
      <c r="F128" s="275"/>
      <c r="G128" s="275"/>
      <c r="H128" s="275"/>
      <c r="I128" s="275"/>
      <c r="J128" s="275"/>
      <c r="K128" s="275"/>
      <c r="L128" s="275"/>
      <c r="M128" s="275"/>
      <c r="N128" s="275"/>
      <c r="O128" s="275"/>
      <c r="P128" s="275"/>
      <c r="Q128" s="275"/>
      <c r="R128" s="275"/>
      <c r="S128" s="275"/>
      <c r="T128" s="275"/>
    </row>
    <row r="129" spans="3:20">
      <c r="C129" s="275"/>
      <c r="D129" s="275"/>
      <c r="E129" s="275"/>
      <c r="F129" s="275"/>
      <c r="G129" s="275"/>
      <c r="H129" s="275"/>
      <c r="I129" s="275"/>
      <c r="J129" s="275"/>
      <c r="K129" s="275"/>
      <c r="L129" s="275"/>
      <c r="M129" s="275"/>
      <c r="N129" s="275"/>
      <c r="O129" s="275"/>
      <c r="P129" s="275"/>
      <c r="Q129" s="275"/>
      <c r="R129" s="275"/>
      <c r="S129" s="275"/>
      <c r="T129" s="275"/>
    </row>
    <row r="130" spans="3:20">
      <c r="C130" s="275"/>
      <c r="D130" s="275"/>
      <c r="E130" s="275"/>
      <c r="F130" s="275"/>
      <c r="G130" s="275"/>
      <c r="H130" s="275"/>
      <c r="I130" s="275"/>
      <c r="J130" s="275"/>
      <c r="K130" s="275"/>
      <c r="L130" s="275"/>
      <c r="M130" s="275"/>
      <c r="N130" s="275"/>
      <c r="O130" s="275"/>
      <c r="P130" s="275"/>
      <c r="Q130" s="275"/>
      <c r="R130" s="275"/>
      <c r="S130" s="275"/>
      <c r="T130" s="275"/>
    </row>
    <row r="131" spans="3:20">
      <c r="C131" s="275"/>
      <c r="D131" s="275"/>
      <c r="E131" s="275"/>
      <c r="F131" s="275"/>
      <c r="G131" s="275"/>
      <c r="H131" s="275"/>
      <c r="I131" s="275"/>
      <c r="J131" s="275"/>
      <c r="K131" s="275"/>
      <c r="L131" s="275"/>
      <c r="M131" s="275"/>
      <c r="N131" s="275"/>
      <c r="O131" s="275"/>
      <c r="P131" s="275"/>
      <c r="Q131" s="275"/>
      <c r="R131" s="275"/>
      <c r="S131" s="275"/>
      <c r="T131" s="275"/>
    </row>
    <row r="132" spans="3:20">
      <c r="C132" s="275"/>
      <c r="D132" s="275"/>
      <c r="E132" s="275"/>
      <c r="F132" s="275"/>
      <c r="G132" s="275"/>
      <c r="H132" s="275"/>
      <c r="I132" s="275"/>
      <c r="J132" s="275"/>
      <c r="K132" s="275"/>
      <c r="L132" s="275"/>
      <c r="M132" s="275"/>
      <c r="N132" s="275"/>
      <c r="O132" s="275"/>
      <c r="P132" s="275"/>
      <c r="Q132" s="275"/>
      <c r="R132" s="275"/>
      <c r="S132" s="275"/>
      <c r="T132" s="275"/>
    </row>
    <row r="133" spans="3:20">
      <c r="C133" s="275"/>
      <c r="D133" s="275"/>
      <c r="E133" s="275"/>
      <c r="F133" s="275"/>
      <c r="G133" s="275"/>
      <c r="H133" s="275"/>
      <c r="I133" s="275"/>
      <c r="J133" s="275"/>
      <c r="K133" s="275"/>
      <c r="L133" s="275"/>
      <c r="M133" s="275"/>
      <c r="N133" s="275"/>
      <c r="O133" s="275"/>
      <c r="P133" s="275"/>
      <c r="Q133" s="275"/>
      <c r="R133" s="275"/>
      <c r="S133" s="275"/>
      <c r="T133" s="275"/>
    </row>
    <row r="134" spans="3:20">
      <c r="C134" s="275"/>
      <c r="D134" s="275"/>
      <c r="E134" s="275"/>
      <c r="F134" s="275"/>
      <c r="G134" s="275"/>
      <c r="H134" s="275"/>
      <c r="I134" s="275"/>
      <c r="J134" s="275"/>
      <c r="K134" s="275"/>
      <c r="L134" s="275"/>
      <c r="M134" s="275"/>
      <c r="N134" s="275"/>
      <c r="O134" s="275"/>
      <c r="P134" s="275"/>
      <c r="Q134" s="275"/>
      <c r="R134" s="275"/>
      <c r="S134" s="275"/>
      <c r="T134" s="275"/>
    </row>
    <row r="135" spans="3:20">
      <c r="C135" s="275"/>
      <c r="D135" s="275"/>
      <c r="E135" s="275"/>
      <c r="F135" s="275"/>
      <c r="G135" s="275"/>
      <c r="H135" s="275"/>
      <c r="I135" s="275"/>
      <c r="J135" s="275"/>
      <c r="K135" s="275"/>
      <c r="L135" s="275"/>
      <c r="M135" s="275"/>
      <c r="N135" s="275"/>
      <c r="O135" s="275"/>
      <c r="P135" s="275"/>
      <c r="Q135" s="275"/>
      <c r="R135" s="275"/>
      <c r="S135" s="275"/>
      <c r="T135" s="275"/>
    </row>
    <row r="136" spans="3:20">
      <c r="C136" s="275"/>
      <c r="D136" s="275"/>
      <c r="E136" s="275"/>
      <c r="F136" s="275"/>
      <c r="G136" s="275"/>
      <c r="H136" s="275"/>
      <c r="I136" s="275"/>
      <c r="J136" s="275"/>
      <c r="K136" s="275"/>
      <c r="L136" s="275"/>
      <c r="M136" s="275"/>
      <c r="N136" s="275"/>
      <c r="O136" s="275"/>
      <c r="P136" s="275"/>
      <c r="Q136" s="275"/>
      <c r="R136" s="275"/>
      <c r="S136" s="275"/>
      <c r="T136" s="275"/>
    </row>
    <row r="137" spans="3:20">
      <c r="C137" s="275"/>
      <c r="D137" s="275"/>
      <c r="E137" s="275"/>
      <c r="F137" s="275"/>
      <c r="G137" s="275"/>
      <c r="H137" s="275"/>
      <c r="I137" s="275"/>
      <c r="J137" s="275"/>
      <c r="K137" s="275"/>
      <c r="L137" s="275"/>
      <c r="M137" s="275"/>
      <c r="N137" s="275"/>
      <c r="O137" s="275"/>
      <c r="P137" s="275"/>
      <c r="Q137" s="275"/>
      <c r="R137" s="275"/>
      <c r="S137" s="275"/>
      <c r="T137" s="275"/>
    </row>
    <row r="138" spans="3:20">
      <c r="C138" s="275"/>
      <c r="D138" s="275"/>
      <c r="E138" s="275"/>
      <c r="F138" s="275"/>
      <c r="G138" s="275"/>
      <c r="H138" s="275"/>
      <c r="I138" s="275"/>
      <c r="J138" s="275"/>
      <c r="K138" s="275"/>
      <c r="L138" s="275"/>
      <c r="M138" s="275"/>
      <c r="N138" s="275"/>
      <c r="O138" s="275"/>
      <c r="P138" s="275"/>
      <c r="Q138" s="275"/>
      <c r="R138" s="275"/>
      <c r="S138" s="275"/>
      <c r="T138" s="275"/>
    </row>
    <row r="139" spans="3:20">
      <c r="C139" s="275"/>
      <c r="D139" s="275"/>
      <c r="E139" s="275"/>
      <c r="F139" s="275"/>
      <c r="G139" s="275"/>
      <c r="H139" s="275"/>
      <c r="I139" s="275"/>
      <c r="J139" s="275"/>
      <c r="K139" s="275"/>
      <c r="L139" s="275"/>
      <c r="M139" s="275"/>
      <c r="N139" s="275"/>
      <c r="O139" s="275"/>
      <c r="P139" s="275"/>
      <c r="Q139" s="275"/>
      <c r="R139" s="275"/>
      <c r="S139" s="275"/>
      <c r="T139" s="275"/>
    </row>
    <row r="140" spans="3:20">
      <c r="C140" s="275"/>
      <c r="D140" s="275"/>
      <c r="E140" s="275"/>
      <c r="F140" s="275"/>
      <c r="G140" s="275"/>
      <c r="H140" s="275"/>
      <c r="I140" s="275"/>
      <c r="J140" s="275"/>
      <c r="K140" s="275"/>
      <c r="L140" s="275"/>
      <c r="M140" s="275"/>
      <c r="N140" s="275"/>
      <c r="O140" s="275"/>
      <c r="P140" s="275"/>
      <c r="Q140" s="275"/>
      <c r="R140" s="275"/>
      <c r="S140" s="275"/>
      <c r="T140" s="275"/>
    </row>
    <row r="141" spans="3:20">
      <c r="C141" s="275"/>
      <c r="D141" s="275"/>
      <c r="E141" s="275"/>
      <c r="F141" s="275"/>
      <c r="G141" s="275"/>
      <c r="H141" s="275"/>
      <c r="I141" s="275"/>
      <c r="J141" s="275"/>
      <c r="K141" s="275"/>
      <c r="L141" s="275"/>
      <c r="M141" s="275"/>
      <c r="N141" s="275"/>
      <c r="O141" s="275"/>
      <c r="P141" s="275"/>
      <c r="Q141" s="275"/>
      <c r="R141" s="275"/>
      <c r="S141" s="275"/>
      <c r="T141" s="275"/>
    </row>
    <row r="142" spans="3:20">
      <c r="C142" s="275"/>
      <c r="D142" s="275"/>
      <c r="E142" s="275"/>
      <c r="F142" s="275"/>
      <c r="G142" s="275"/>
      <c r="H142" s="275"/>
      <c r="I142" s="275"/>
      <c r="J142" s="275"/>
      <c r="K142" s="275"/>
      <c r="L142" s="275"/>
      <c r="M142" s="275"/>
      <c r="N142" s="275"/>
      <c r="O142" s="275"/>
      <c r="P142" s="275"/>
      <c r="Q142" s="275"/>
      <c r="R142" s="275"/>
      <c r="S142" s="275"/>
      <c r="T142" s="275"/>
    </row>
    <row r="143" spans="3:20">
      <c r="C143" s="275"/>
      <c r="D143" s="275"/>
      <c r="E143" s="275"/>
      <c r="F143" s="275"/>
      <c r="G143" s="275"/>
      <c r="H143" s="275"/>
      <c r="I143" s="275"/>
      <c r="J143" s="275"/>
      <c r="K143" s="275"/>
      <c r="L143" s="275"/>
      <c r="M143" s="275"/>
      <c r="N143" s="275"/>
      <c r="O143" s="275"/>
      <c r="P143" s="275"/>
      <c r="Q143" s="275"/>
      <c r="R143" s="275"/>
      <c r="S143" s="275"/>
      <c r="T143" s="275"/>
    </row>
    <row r="144" spans="3:20">
      <c r="C144" s="275"/>
      <c r="D144" s="275"/>
      <c r="E144" s="275"/>
      <c r="F144" s="275"/>
      <c r="G144" s="275"/>
      <c r="H144" s="275"/>
      <c r="I144" s="275"/>
      <c r="J144" s="275"/>
      <c r="K144" s="275"/>
      <c r="L144" s="275"/>
      <c r="M144" s="275"/>
      <c r="N144" s="275"/>
      <c r="O144" s="275"/>
      <c r="P144" s="275"/>
      <c r="Q144" s="275"/>
      <c r="R144" s="275"/>
      <c r="S144" s="275"/>
      <c r="T144" s="275"/>
    </row>
    <row r="145" spans="3:20">
      <c r="C145" s="275"/>
      <c r="D145" s="275"/>
      <c r="E145" s="275"/>
      <c r="F145" s="275"/>
      <c r="G145" s="275"/>
      <c r="H145" s="275"/>
      <c r="I145" s="275"/>
      <c r="J145" s="275"/>
      <c r="K145" s="275"/>
      <c r="L145" s="275"/>
      <c r="M145" s="275"/>
      <c r="N145" s="275"/>
      <c r="O145" s="275"/>
      <c r="P145" s="275"/>
      <c r="Q145" s="275"/>
      <c r="R145" s="275"/>
      <c r="S145" s="275"/>
      <c r="T145" s="275"/>
    </row>
    <row r="146" spans="3:20">
      <c r="C146" s="275"/>
      <c r="D146" s="275"/>
      <c r="E146" s="275"/>
      <c r="F146" s="275"/>
      <c r="G146" s="275"/>
      <c r="H146" s="275"/>
      <c r="I146" s="275"/>
      <c r="J146" s="275"/>
      <c r="K146" s="275"/>
      <c r="L146" s="275"/>
      <c r="M146" s="275"/>
      <c r="N146" s="275"/>
      <c r="O146" s="275"/>
      <c r="P146" s="275"/>
      <c r="Q146" s="275"/>
      <c r="R146" s="275"/>
      <c r="S146" s="275"/>
      <c r="T146" s="275"/>
    </row>
    <row r="147" spans="3:20">
      <c r="C147" s="275"/>
      <c r="D147" s="275"/>
      <c r="E147" s="275"/>
      <c r="F147" s="275"/>
      <c r="G147" s="275"/>
      <c r="H147" s="275"/>
      <c r="I147" s="275"/>
      <c r="J147" s="275"/>
      <c r="K147" s="275"/>
      <c r="L147" s="275"/>
      <c r="M147" s="275"/>
      <c r="N147" s="275"/>
      <c r="O147" s="275"/>
      <c r="P147" s="275"/>
      <c r="Q147" s="275"/>
      <c r="R147" s="275"/>
      <c r="S147" s="275"/>
      <c r="T147" s="275"/>
    </row>
    <row r="148" spans="3:20">
      <c r="C148" s="275"/>
      <c r="D148" s="275"/>
      <c r="E148" s="275"/>
      <c r="F148" s="275"/>
      <c r="G148" s="275"/>
      <c r="H148" s="275"/>
      <c r="I148" s="275"/>
      <c r="J148" s="275"/>
      <c r="K148" s="275"/>
      <c r="L148" s="275"/>
      <c r="M148" s="275"/>
      <c r="N148" s="275"/>
      <c r="O148" s="275"/>
      <c r="P148" s="275"/>
      <c r="Q148" s="275"/>
      <c r="R148" s="275"/>
      <c r="S148" s="275"/>
      <c r="T148" s="275"/>
    </row>
    <row r="149" spans="3:20">
      <c r="C149" s="275"/>
      <c r="D149" s="275"/>
      <c r="E149" s="275"/>
      <c r="F149" s="275"/>
      <c r="G149" s="275"/>
      <c r="H149" s="275"/>
      <c r="I149" s="275"/>
      <c r="J149" s="275"/>
      <c r="K149" s="275"/>
      <c r="L149" s="275"/>
      <c r="M149" s="275"/>
      <c r="N149" s="275"/>
      <c r="O149" s="275"/>
      <c r="P149" s="275"/>
      <c r="Q149" s="275"/>
      <c r="R149" s="275"/>
      <c r="S149" s="275"/>
      <c r="T149" s="275"/>
    </row>
    <row r="150" spans="3:20">
      <c r="C150" s="275"/>
      <c r="D150" s="275"/>
      <c r="E150" s="275"/>
      <c r="F150" s="275"/>
      <c r="G150" s="275"/>
      <c r="H150" s="275"/>
      <c r="I150" s="275"/>
      <c r="J150" s="275"/>
      <c r="K150" s="275"/>
      <c r="L150" s="275"/>
      <c r="M150" s="275"/>
      <c r="N150" s="275"/>
      <c r="O150" s="275"/>
      <c r="P150" s="275"/>
      <c r="Q150" s="275"/>
      <c r="R150" s="275"/>
      <c r="S150" s="275"/>
      <c r="T150" s="275"/>
    </row>
    <row r="151" spans="3:20">
      <c r="C151" s="275"/>
      <c r="D151" s="275"/>
      <c r="E151" s="275"/>
      <c r="F151" s="275"/>
      <c r="G151" s="275"/>
      <c r="H151" s="275"/>
      <c r="I151" s="275"/>
      <c r="J151" s="275"/>
      <c r="K151" s="275"/>
      <c r="L151" s="275"/>
      <c r="M151" s="275"/>
      <c r="N151" s="275"/>
      <c r="O151" s="275"/>
      <c r="P151" s="275"/>
      <c r="Q151" s="275"/>
      <c r="R151" s="275"/>
      <c r="S151" s="275"/>
      <c r="T151" s="275"/>
    </row>
    <row r="152" spans="3:20">
      <c r="C152" s="275"/>
      <c r="D152" s="275"/>
      <c r="E152" s="275"/>
      <c r="F152" s="275"/>
      <c r="G152" s="275"/>
      <c r="H152" s="275"/>
      <c r="I152" s="275"/>
      <c r="J152" s="275"/>
      <c r="K152" s="275"/>
      <c r="L152" s="275"/>
      <c r="M152" s="275"/>
      <c r="N152" s="275"/>
      <c r="O152" s="275"/>
      <c r="P152" s="275"/>
      <c r="Q152" s="275"/>
      <c r="R152" s="275"/>
      <c r="S152" s="275"/>
      <c r="T152" s="275"/>
    </row>
    <row r="153" spans="3:20">
      <c r="C153" s="275"/>
      <c r="D153" s="275"/>
      <c r="E153" s="275"/>
      <c r="F153" s="275"/>
      <c r="G153" s="275"/>
      <c r="H153" s="275"/>
      <c r="I153" s="275"/>
      <c r="J153" s="275"/>
      <c r="K153" s="275"/>
      <c r="L153" s="275"/>
      <c r="M153" s="275"/>
      <c r="N153" s="275"/>
      <c r="O153" s="275"/>
      <c r="P153" s="275"/>
      <c r="Q153" s="275"/>
      <c r="R153" s="275"/>
      <c r="S153" s="275"/>
      <c r="T153" s="275"/>
    </row>
    <row r="154" spans="3:20">
      <c r="C154" s="275"/>
      <c r="D154" s="275"/>
      <c r="E154" s="275"/>
      <c r="F154" s="275"/>
      <c r="G154" s="275"/>
      <c r="H154" s="275"/>
      <c r="I154" s="275"/>
      <c r="J154" s="275"/>
      <c r="K154" s="275"/>
      <c r="L154" s="275"/>
      <c r="M154" s="275"/>
      <c r="N154" s="275"/>
      <c r="O154" s="275"/>
      <c r="P154" s="275"/>
      <c r="Q154" s="275"/>
      <c r="R154" s="275"/>
      <c r="S154" s="275"/>
      <c r="T154" s="275"/>
    </row>
    <row r="155" spans="3:20">
      <c r="C155" s="275"/>
      <c r="D155" s="275"/>
      <c r="E155" s="275"/>
      <c r="F155" s="275"/>
      <c r="G155" s="275"/>
      <c r="H155" s="275"/>
      <c r="I155" s="275"/>
      <c r="J155" s="275"/>
      <c r="K155" s="275"/>
      <c r="L155" s="275"/>
      <c r="M155" s="275"/>
      <c r="N155" s="275"/>
      <c r="O155" s="275"/>
      <c r="P155" s="275"/>
      <c r="Q155" s="275"/>
      <c r="R155" s="275"/>
      <c r="S155" s="275"/>
      <c r="T155" s="275"/>
    </row>
    <row r="156" spans="3:20">
      <c r="C156" s="275"/>
      <c r="D156" s="275"/>
      <c r="E156" s="275"/>
      <c r="F156" s="275"/>
      <c r="G156" s="275"/>
      <c r="H156" s="275"/>
      <c r="I156" s="275"/>
      <c r="J156" s="275"/>
      <c r="K156" s="275"/>
      <c r="L156" s="275"/>
      <c r="M156" s="275"/>
      <c r="N156" s="275"/>
      <c r="O156" s="275"/>
      <c r="P156" s="275"/>
      <c r="Q156" s="275"/>
      <c r="R156" s="275"/>
      <c r="S156" s="275"/>
      <c r="T156" s="275"/>
    </row>
    <row r="157" spans="3:20">
      <c r="C157" s="275"/>
      <c r="D157" s="275"/>
      <c r="E157" s="275"/>
      <c r="F157" s="275"/>
      <c r="G157" s="275"/>
      <c r="H157" s="275"/>
      <c r="I157" s="275"/>
      <c r="J157" s="275"/>
      <c r="K157" s="275"/>
      <c r="L157" s="275"/>
      <c r="M157" s="275"/>
      <c r="N157" s="275"/>
      <c r="O157" s="275"/>
      <c r="P157" s="275"/>
      <c r="Q157" s="275"/>
      <c r="R157" s="275"/>
      <c r="S157" s="275"/>
      <c r="T157" s="275"/>
    </row>
    <row r="158" spans="3:20">
      <c r="C158" s="275"/>
      <c r="D158" s="275"/>
      <c r="E158" s="275"/>
      <c r="F158" s="275"/>
      <c r="G158" s="275"/>
      <c r="H158" s="275"/>
      <c r="I158" s="275"/>
      <c r="J158" s="275"/>
      <c r="K158" s="275"/>
      <c r="L158" s="275"/>
      <c r="M158" s="275"/>
      <c r="N158" s="275"/>
      <c r="O158" s="275"/>
      <c r="P158" s="275"/>
      <c r="Q158" s="275"/>
      <c r="R158" s="275"/>
      <c r="S158" s="275"/>
      <c r="T158" s="275"/>
    </row>
    <row r="159" spans="3:20">
      <c r="C159" s="275"/>
      <c r="D159" s="275"/>
      <c r="E159" s="275"/>
      <c r="F159" s="275"/>
      <c r="G159" s="275"/>
      <c r="H159" s="275"/>
      <c r="I159" s="275"/>
      <c r="J159" s="275"/>
      <c r="K159" s="275"/>
      <c r="L159" s="275"/>
      <c r="M159" s="275"/>
      <c r="N159" s="275"/>
      <c r="O159" s="275"/>
      <c r="P159" s="275"/>
      <c r="Q159" s="275"/>
      <c r="R159" s="275"/>
      <c r="S159" s="275"/>
      <c r="T159" s="275"/>
    </row>
    <row r="160" spans="3:20">
      <c r="C160" s="275"/>
      <c r="D160" s="275"/>
      <c r="E160" s="275"/>
      <c r="F160" s="275"/>
      <c r="G160" s="275"/>
      <c r="H160" s="275"/>
      <c r="I160" s="275"/>
      <c r="J160" s="275"/>
      <c r="K160" s="275"/>
      <c r="L160" s="275"/>
      <c r="M160" s="275"/>
      <c r="N160" s="275"/>
      <c r="O160" s="275"/>
      <c r="P160" s="275"/>
      <c r="Q160" s="275"/>
      <c r="R160" s="275"/>
      <c r="S160" s="275"/>
      <c r="T160" s="275"/>
    </row>
    <row r="161" spans="3:20">
      <c r="C161" s="275"/>
      <c r="D161" s="275"/>
      <c r="E161" s="275"/>
      <c r="F161" s="275"/>
      <c r="G161" s="275"/>
      <c r="H161" s="275"/>
      <c r="I161" s="275"/>
      <c r="J161" s="275"/>
      <c r="K161" s="275"/>
      <c r="L161" s="275"/>
      <c r="M161" s="275"/>
      <c r="N161" s="275"/>
      <c r="O161" s="275"/>
      <c r="P161" s="275"/>
      <c r="Q161" s="275"/>
      <c r="R161" s="275"/>
      <c r="S161" s="275"/>
      <c r="T161" s="275"/>
    </row>
    <row r="162" spans="3:20">
      <c r="C162" s="275"/>
      <c r="D162" s="275"/>
      <c r="E162" s="275"/>
      <c r="F162" s="275"/>
      <c r="G162" s="275"/>
      <c r="H162" s="275"/>
      <c r="I162" s="275"/>
      <c r="J162" s="275"/>
      <c r="K162" s="275"/>
      <c r="L162" s="275"/>
      <c r="M162" s="275"/>
      <c r="N162" s="275"/>
      <c r="O162" s="275"/>
      <c r="P162" s="275"/>
      <c r="Q162" s="275"/>
      <c r="R162" s="275"/>
      <c r="S162" s="275"/>
      <c r="T162" s="275"/>
    </row>
    <row r="163" spans="3:20">
      <c r="C163" s="275"/>
      <c r="D163" s="275"/>
      <c r="E163" s="275"/>
      <c r="F163" s="275"/>
      <c r="G163" s="275"/>
      <c r="H163" s="275"/>
      <c r="I163" s="275"/>
      <c r="J163" s="275"/>
      <c r="K163" s="275"/>
      <c r="L163" s="275"/>
      <c r="M163" s="275"/>
      <c r="N163" s="275"/>
      <c r="O163" s="275"/>
      <c r="P163" s="275"/>
      <c r="Q163" s="275"/>
      <c r="R163" s="275"/>
      <c r="S163" s="275"/>
      <c r="T163" s="275"/>
    </row>
    <row r="164" spans="3:20">
      <c r="C164" s="275"/>
      <c r="D164" s="275"/>
      <c r="E164" s="275"/>
      <c r="F164" s="275"/>
      <c r="G164" s="275"/>
      <c r="H164" s="275"/>
      <c r="I164" s="275"/>
      <c r="J164" s="275"/>
      <c r="K164" s="275"/>
      <c r="L164" s="275"/>
      <c r="M164" s="275"/>
      <c r="N164" s="275"/>
      <c r="O164" s="275"/>
      <c r="P164" s="275"/>
      <c r="Q164" s="275"/>
      <c r="R164" s="275"/>
      <c r="S164" s="275"/>
      <c r="T164" s="275"/>
    </row>
    <row r="165" spans="3:20">
      <c r="C165" s="275"/>
      <c r="D165" s="275"/>
      <c r="E165" s="275"/>
      <c r="F165" s="275"/>
      <c r="G165" s="275"/>
      <c r="H165" s="275"/>
      <c r="I165" s="275"/>
      <c r="J165" s="275"/>
      <c r="K165" s="275"/>
      <c r="L165" s="275"/>
      <c r="M165" s="275"/>
      <c r="N165" s="275"/>
      <c r="O165" s="275"/>
      <c r="P165" s="275"/>
      <c r="Q165" s="275"/>
      <c r="R165" s="275"/>
      <c r="S165" s="275"/>
      <c r="T165" s="275"/>
    </row>
    <row r="166" spans="3:20">
      <c r="C166" s="275"/>
      <c r="D166" s="275"/>
      <c r="E166" s="275"/>
      <c r="F166" s="275"/>
      <c r="G166" s="275"/>
      <c r="H166" s="275"/>
      <c r="I166" s="275"/>
      <c r="J166" s="275"/>
      <c r="K166" s="275"/>
      <c r="L166" s="275"/>
      <c r="M166" s="275"/>
      <c r="N166" s="275"/>
      <c r="O166" s="275"/>
      <c r="P166" s="275"/>
      <c r="Q166" s="275"/>
      <c r="R166" s="275"/>
      <c r="S166" s="275"/>
      <c r="T166" s="275"/>
    </row>
    <row r="167" spans="3:20">
      <c r="C167" s="275"/>
      <c r="D167" s="275"/>
      <c r="E167" s="275"/>
      <c r="F167" s="275"/>
      <c r="G167" s="275"/>
      <c r="H167" s="275"/>
      <c r="I167" s="275"/>
      <c r="J167" s="275"/>
      <c r="K167" s="275"/>
      <c r="L167" s="275"/>
      <c r="M167" s="275"/>
      <c r="N167" s="275"/>
      <c r="O167" s="275"/>
      <c r="P167" s="275"/>
      <c r="Q167" s="275"/>
      <c r="R167" s="275"/>
      <c r="S167" s="275"/>
      <c r="T167" s="275"/>
    </row>
    <row r="168" spans="3:20">
      <c r="C168" s="275"/>
      <c r="D168" s="275"/>
      <c r="E168" s="275"/>
      <c r="F168" s="275"/>
      <c r="G168" s="275"/>
      <c r="H168" s="275"/>
      <c r="I168" s="275"/>
      <c r="J168" s="275"/>
      <c r="K168" s="275"/>
      <c r="L168" s="275"/>
      <c r="M168" s="275"/>
      <c r="N168" s="275"/>
      <c r="O168" s="275"/>
      <c r="P168" s="275"/>
      <c r="Q168" s="275"/>
      <c r="R168" s="275"/>
      <c r="S168" s="275"/>
      <c r="T168" s="275"/>
    </row>
    <row r="169" spans="3:20">
      <c r="C169" s="275"/>
      <c r="D169" s="275"/>
      <c r="E169" s="275"/>
      <c r="F169" s="275"/>
      <c r="G169" s="275"/>
      <c r="H169" s="275"/>
      <c r="I169" s="275"/>
      <c r="J169" s="275"/>
      <c r="K169" s="275"/>
      <c r="L169" s="275"/>
      <c r="M169" s="275"/>
      <c r="N169" s="275"/>
      <c r="O169" s="275"/>
      <c r="P169" s="275"/>
      <c r="Q169" s="275"/>
      <c r="R169" s="275"/>
      <c r="S169" s="275"/>
      <c r="T169" s="275"/>
    </row>
    <row r="170" spans="3:20">
      <c r="C170" s="275"/>
      <c r="D170" s="275"/>
      <c r="E170" s="275"/>
      <c r="F170" s="275"/>
      <c r="G170" s="275"/>
      <c r="H170" s="275"/>
      <c r="I170" s="275"/>
      <c r="J170" s="275"/>
      <c r="K170" s="275"/>
      <c r="L170" s="275"/>
      <c r="M170" s="275"/>
      <c r="N170" s="275"/>
      <c r="O170" s="275"/>
      <c r="P170" s="275"/>
      <c r="Q170" s="275"/>
      <c r="R170" s="275"/>
      <c r="S170" s="275"/>
      <c r="T170" s="275"/>
    </row>
    <row r="171" spans="3:20">
      <c r="C171" s="275"/>
      <c r="D171" s="275"/>
      <c r="E171" s="275"/>
      <c r="F171" s="275"/>
      <c r="G171" s="275"/>
      <c r="H171" s="275"/>
      <c r="I171" s="275"/>
      <c r="J171" s="275"/>
      <c r="K171" s="275"/>
      <c r="L171" s="275"/>
      <c r="M171" s="275"/>
      <c r="N171" s="275"/>
      <c r="O171" s="275"/>
      <c r="P171" s="275"/>
      <c r="Q171" s="275"/>
      <c r="R171" s="275"/>
      <c r="S171" s="275"/>
      <c r="T171" s="275"/>
    </row>
    <row r="172" spans="3:20">
      <c r="C172" s="275"/>
      <c r="D172" s="275"/>
      <c r="E172" s="275"/>
      <c r="F172" s="275"/>
      <c r="G172" s="275"/>
      <c r="H172" s="275"/>
      <c r="I172" s="275"/>
      <c r="J172" s="275"/>
      <c r="K172" s="275"/>
      <c r="L172" s="275"/>
      <c r="M172" s="275"/>
      <c r="N172" s="275"/>
      <c r="O172" s="275"/>
      <c r="P172" s="275"/>
      <c r="Q172" s="275"/>
      <c r="R172" s="275"/>
      <c r="S172" s="275"/>
      <c r="T172" s="275"/>
    </row>
    <row r="173" spans="3:20">
      <c r="C173" s="275"/>
      <c r="D173" s="275"/>
      <c r="E173" s="275"/>
      <c r="F173" s="275"/>
      <c r="G173" s="275"/>
      <c r="H173" s="275"/>
      <c r="I173" s="275"/>
      <c r="J173" s="275"/>
      <c r="K173" s="275"/>
      <c r="L173" s="275"/>
      <c r="M173" s="275"/>
      <c r="N173" s="275"/>
      <c r="O173" s="275"/>
      <c r="P173" s="275"/>
      <c r="Q173" s="275"/>
      <c r="R173" s="275"/>
      <c r="S173" s="275"/>
      <c r="T173" s="275"/>
    </row>
    <row r="174" spans="3:20">
      <c r="C174" s="275"/>
      <c r="D174" s="275"/>
      <c r="E174" s="275"/>
      <c r="F174" s="275"/>
      <c r="G174" s="275"/>
      <c r="H174" s="275"/>
      <c r="I174" s="275"/>
      <c r="J174" s="275"/>
      <c r="K174" s="275"/>
      <c r="L174" s="275"/>
      <c r="M174" s="275"/>
      <c r="N174" s="275"/>
      <c r="O174" s="275"/>
      <c r="P174" s="275"/>
      <c r="Q174" s="275"/>
      <c r="R174" s="275"/>
      <c r="S174" s="275"/>
      <c r="T174" s="275"/>
    </row>
    <row r="175" spans="3:20">
      <c r="C175" s="275"/>
      <c r="D175" s="275"/>
      <c r="E175" s="275"/>
      <c r="F175" s="275"/>
      <c r="G175" s="275"/>
      <c r="H175" s="275"/>
      <c r="I175" s="275"/>
      <c r="J175" s="275"/>
      <c r="K175" s="275"/>
      <c r="L175" s="275"/>
      <c r="M175" s="275"/>
      <c r="N175" s="275"/>
      <c r="O175" s="275"/>
      <c r="P175" s="275"/>
      <c r="Q175" s="275"/>
      <c r="R175" s="275"/>
      <c r="S175" s="275"/>
      <c r="T175" s="275"/>
    </row>
    <row r="176" spans="3:20">
      <c r="C176" s="275"/>
      <c r="D176" s="275"/>
      <c r="E176" s="275"/>
      <c r="F176" s="275"/>
      <c r="G176" s="275"/>
      <c r="H176" s="275"/>
      <c r="I176" s="275"/>
      <c r="J176" s="275"/>
      <c r="K176" s="275"/>
      <c r="L176" s="275"/>
      <c r="M176" s="275"/>
      <c r="N176" s="275"/>
      <c r="O176" s="275"/>
      <c r="P176" s="275"/>
      <c r="Q176" s="275"/>
      <c r="R176" s="275"/>
      <c r="S176" s="275"/>
      <c r="T176" s="275"/>
    </row>
    <row r="177" spans="3:20">
      <c r="C177" s="275"/>
      <c r="D177" s="275"/>
      <c r="E177" s="275"/>
      <c r="F177" s="275"/>
      <c r="G177" s="275"/>
      <c r="H177" s="275"/>
      <c r="I177" s="275"/>
      <c r="J177" s="275"/>
      <c r="K177" s="275"/>
      <c r="L177" s="275"/>
      <c r="M177" s="275"/>
      <c r="N177" s="275"/>
      <c r="O177" s="275"/>
      <c r="P177" s="275"/>
      <c r="Q177" s="275"/>
      <c r="R177" s="275"/>
      <c r="S177" s="275"/>
      <c r="T177" s="275"/>
    </row>
    <row r="178" spans="3:20">
      <c r="C178" s="275"/>
      <c r="D178" s="275"/>
      <c r="E178" s="275"/>
      <c r="F178" s="275"/>
      <c r="G178" s="275"/>
      <c r="H178" s="275"/>
      <c r="I178" s="275"/>
      <c r="J178" s="275"/>
      <c r="K178" s="275"/>
      <c r="L178" s="275"/>
      <c r="M178" s="275"/>
      <c r="N178" s="275"/>
      <c r="O178" s="275"/>
      <c r="P178" s="275"/>
      <c r="Q178" s="275"/>
      <c r="R178" s="275"/>
      <c r="S178" s="275"/>
      <c r="T178" s="275"/>
    </row>
    <row r="179" spans="3:20">
      <c r="C179" s="275"/>
      <c r="D179" s="275"/>
      <c r="E179" s="275"/>
      <c r="F179" s="275"/>
      <c r="G179" s="275"/>
      <c r="H179" s="275"/>
      <c r="I179" s="275"/>
      <c r="J179" s="275"/>
      <c r="K179" s="275"/>
      <c r="L179" s="275"/>
      <c r="M179" s="275"/>
      <c r="N179" s="275"/>
      <c r="O179" s="275"/>
      <c r="P179" s="275"/>
      <c r="Q179" s="275"/>
      <c r="R179" s="275"/>
      <c r="S179" s="275"/>
      <c r="T179" s="275"/>
    </row>
    <row r="180" spans="3:20">
      <c r="C180" s="275"/>
      <c r="D180" s="275"/>
      <c r="E180" s="275"/>
      <c r="F180" s="275"/>
      <c r="G180" s="275"/>
      <c r="H180" s="275"/>
      <c r="I180" s="275"/>
      <c r="J180" s="275"/>
      <c r="K180" s="275"/>
      <c r="L180" s="275"/>
      <c r="M180" s="275"/>
      <c r="N180" s="275"/>
      <c r="O180" s="275"/>
      <c r="P180" s="275"/>
      <c r="Q180" s="275"/>
      <c r="R180" s="275"/>
      <c r="S180" s="275"/>
      <c r="T180" s="275"/>
    </row>
    <row r="181" spans="3:20">
      <c r="C181" s="275"/>
      <c r="D181" s="275"/>
      <c r="E181" s="275"/>
      <c r="F181" s="275"/>
      <c r="G181" s="275"/>
      <c r="H181" s="275"/>
      <c r="I181" s="275"/>
      <c r="J181" s="275"/>
      <c r="K181" s="275"/>
      <c r="L181" s="275"/>
      <c r="M181" s="275"/>
      <c r="N181" s="275"/>
      <c r="O181" s="275"/>
      <c r="P181" s="275"/>
      <c r="Q181" s="275"/>
      <c r="R181" s="275"/>
      <c r="S181" s="275"/>
      <c r="T181" s="275"/>
    </row>
    <row r="182" spans="3:20">
      <c r="C182" s="275"/>
      <c r="D182" s="275"/>
      <c r="E182" s="275"/>
      <c r="F182" s="275"/>
      <c r="G182" s="275"/>
      <c r="H182" s="275"/>
      <c r="I182" s="275"/>
      <c r="J182" s="275"/>
      <c r="K182" s="275"/>
      <c r="L182" s="275"/>
      <c r="M182" s="275"/>
      <c r="N182" s="275"/>
      <c r="O182" s="275"/>
      <c r="P182" s="275"/>
      <c r="Q182" s="275"/>
      <c r="R182" s="275"/>
      <c r="S182" s="275"/>
      <c r="T182" s="275"/>
    </row>
    <row r="183" spans="3:20">
      <c r="C183" s="275"/>
      <c r="D183" s="275"/>
      <c r="E183" s="275"/>
      <c r="F183" s="275"/>
      <c r="G183" s="275"/>
      <c r="H183" s="275"/>
      <c r="I183" s="275"/>
      <c r="J183" s="275"/>
      <c r="K183" s="275"/>
      <c r="L183" s="275"/>
      <c r="M183" s="275"/>
      <c r="N183" s="275"/>
      <c r="O183" s="275"/>
      <c r="P183" s="275"/>
      <c r="Q183" s="275"/>
      <c r="R183" s="275"/>
      <c r="S183" s="275"/>
      <c r="T183" s="275"/>
    </row>
    <row r="184" spans="3:20">
      <c r="C184" s="275"/>
      <c r="D184" s="275"/>
      <c r="E184" s="275"/>
      <c r="F184" s="275"/>
      <c r="G184" s="275"/>
      <c r="H184" s="275"/>
      <c r="I184" s="275"/>
      <c r="J184" s="275"/>
      <c r="K184" s="275"/>
      <c r="L184" s="275"/>
      <c r="M184" s="275"/>
      <c r="N184" s="275"/>
      <c r="O184" s="275"/>
      <c r="P184" s="275"/>
      <c r="Q184" s="275"/>
      <c r="R184" s="275"/>
      <c r="S184" s="275"/>
      <c r="T184" s="275"/>
    </row>
    <row r="185" spans="3:20">
      <c r="C185" s="275"/>
      <c r="D185" s="275"/>
      <c r="E185" s="275"/>
      <c r="F185" s="275"/>
      <c r="G185" s="275"/>
      <c r="H185" s="275"/>
      <c r="I185" s="275"/>
      <c r="J185" s="275"/>
      <c r="K185" s="275"/>
      <c r="L185" s="275"/>
      <c r="M185" s="275"/>
      <c r="N185" s="275"/>
      <c r="O185" s="275"/>
      <c r="P185" s="275"/>
      <c r="Q185" s="275"/>
      <c r="R185" s="275"/>
      <c r="S185" s="275"/>
      <c r="T185" s="275"/>
    </row>
    <row r="186" spans="3:20">
      <c r="C186" s="275"/>
      <c r="D186" s="275"/>
      <c r="E186" s="275"/>
      <c r="F186" s="275"/>
      <c r="G186" s="275"/>
      <c r="H186" s="275"/>
      <c r="I186" s="275"/>
      <c r="J186" s="275"/>
      <c r="K186" s="275"/>
      <c r="L186" s="275"/>
      <c r="M186" s="275"/>
      <c r="N186" s="275"/>
      <c r="O186" s="275"/>
      <c r="P186" s="275"/>
      <c r="Q186" s="275"/>
      <c r="R186" s="275"/>
      <c r="S186" s="275"/>
      <c r="T186" s="275"/>
    </row>
    <row r="187" spans="3:20">
      <c r="C187" s="275"/>
      <c r="D187" s="275"/>
      <c r="E187" s="275"/>
      <c r="F187" s="275"/>
      <c r="G187" s="275"/>
      <c r="H187" s="275"/>
      <c r="I187" s="275"/>
      <c r="J187" s="275"/>
      <c r="K187" s="275"/>
      <c r="L187" s="275"/>
      <c r="M187" s="275"/>
      <c r="N187" s="275"/>
      <c r="O187" s="275"/>
      <c r="P187" s="275"/>
      <c r="Q187" s="275"/>
      <c r="R187" s="275"/>
      <c r="S187" s="275"/>
      <c r="T187" s="275"/>
    </row>
    <row r="188" spans="3:20">
      <c r="C188" s="275"/>
      <c r="D188" s="275"/>
      <c r="E188" s="275"/>
      <c r="F188" s="275"/>
      <c r="G188" s="275"/>
      <c r="H188" s="275"/>
      <c r="I188" s="275"/>
      <c r="J188" s="275"/>
      <c r="K188" s="275"/>
      <c r="L188" s="275"/>
      <c r="M188" s="275"/>
      <c r="N188" s="275"/>
      <c r="O188" s="275"/>
      <c r="P188" s="275"/>
      <c r="Q188" s="275"/>
      <c r="R188" s="275"/>
      <c r="S188" s="275"/>
      <c r="T188" s="275"/>
    </row>
    <row r="189" spans="3:20">
      <c r="C189" s="275"/>
      <c r="D189" s="275"/>
      <c r="E189" s="275"/>
      <c r="F189" s="275"/>
      <c r="G189" s="275"/>
      <c r="H189" s="275"/>
      <c r="I189" s="275"/>
      <c r="J189" s="275"/>
      <c r="K189" s="275"/>
      <c r="L189" s="275"/>
      <c r="M189" s="275"/>
      <c r="N189" s="275"/>
      <c r="O189" s="275"/>
      <c r="P189" s="275"/>
      <c r="Q189" s="275"/>
      <c r="R189" s="275"/>
      <c r="S189" s="275"/>
      <c r="T189" s="275"/>
    </row>
    <row r="190" spans="3:20">
      <c r="C190" s="275"/>
      <c r="D190" s="275"/>
      <c r="E190" s="275"/>
      <c r="F190" s="275"/>
      <c r="G190" s="275"/>
      <c r="H190" s="275"/>
      <c r="I190" s="275"/>
      <c r="J190" s="275"/>
      <c r="K190" s="275"/>
      <c r="L190" s="275"/>
      <c r="M190" s="275"/>
      <c r="N190" s="275"/>
      <c r="O190" s="275"/>
      <c r="P190" s="275"/>
      <c r="Q190" s="275"/>
      <c r="R190" s="275"/>
      <c r="S190" s="275"/>
      <c r="T190" s="275"/>
    </row>
    <row r="191" spans="3:20">
      <c r="C191" s="275"/>
      <c r="D191" s="275"/>
      <c r="E191" s="275"/>
      <c r="F191" s="275"/>
      <c r="G191" s="275"/>
      <c r="H191" s="275"/>
      <c r="I191" s="275"/>
      <c r="J191" s="275"/>
      <c r="K191" s="275"/>
      <c r="L191" s="275"/>
      <c r="M191" s="275"/>
      <c r="N191" s="275"/>
      <c r="O191" s="275"/>
      <c r="P191" s="275"/>
      <c r="Q191" s="275"/>
      <c r="R191" s="275"/>
      <c r="S191" s="275"/>
      <c r="T191" s="275"/>
    </row>
    <row r="192" spans="3:20">
      <c r="C192" s="275"/>
      <c r="D192" s="275"/>
      <c r="E192" s="275"/>
      <c r="F192" s="275"/>
      <c r="G192" s="275"/>
      <c r="H192" s="275"/>
      <c r="I192" s="275"/>
      <c r="J192" s="275"/>
      <c r="K192" s="275"/>
      <c r="L192" s="275"/>
      <c r="M192" s="275"/>
      <c r="N192" s="275"/>
      <c r="O192" s="275"/>
      <c r="P192" s="275"/>
      <c r="Q192" s="275"/>
      <c r="R192" s="275"/>
      <c r="S192" s="275"/>
      <c r="T192" s="275"/>
    </row>
    <row r="193" spans="3:20">
      <c r="C193" s="275"/>
      <c r="D193" s="275"/>
      <c r="E193" s="275"/>
      <c r="F193" s="275"/>
      <c r="G193" s="275"/>
      <c r="H193" s="275"/>
      <c r="I193" s="275"/>
      <c r="J193" s="275"/>
      <c r="K193" s="275"/>
      <c r="L193" s="275"/>
      <c r="M193" s="275"/>
      <c r="N193" s="275"/>
      <c r="O193" s="275"/>
      <c r="P193" s="275"/>
      <c r="Q193" s="275"/>
      <c r="R193" s="275"/>
      <c r="S193" s="275"/>
      <c r="T193" s="275"/>
    </row>
    <row r="194" spans="3:20">
      <c r="C194" s="275"/>
      <c r="D194" s="275"/>
      <c r="E194" s="275"/>
      <c r="F194" s="275"/>
      <c r="G194" s="275"/>
      <c r="H194" s="275"/>
      <c r="I194" s="275"/>
      <c r="J194" s="275"/>
      <c r="K194" s="275"/>
      <c r="L194" s="275"/>
      <c r="M194" s="275"/>
      <c r="N194" s="275"/>
      <c r="O194" s="275"/>
      <c r="P194" s="275"/>
      <c r="Q194" s="275"/>
      <c r="R194" s="275"/>
      <c r="S194" s="275"/>
      <c r="T194" s="275"/>
    </row>
    <row r="195" spans="3:20">
      <c r="C195" s="275"/>
      <c r="D195" s="275"/>
      <c r="E195" s="275"/>
      <c r="F195" s="275"/>
      <c r="G195" s="275"/>
      <c r="H195" s="275"/>
      <c r="I195" s="275"/>
      <c r="J195" s="275"/>
      <c r="K195" s="275"/>
      <c r="L195" s="275"/>
      <c r="M195" s="275"/>
      <c r="N195" s="275"/>
      <c r="O195" s="275"/>
      <c r="P195" s="275"/>
      <c r="Q195" s="275"/>
      <c r="R195" s="275"/>
      <c r="S195" s="275"/>
      <c r="T195" s="275"/>
    </row>
    <row r="196" spans="3:20">
      <c r="C196" s="275"/>
      <c r="D196" s="275"/>
      <c r="E196" s="275"/>
      <c r="F196" s="275"/>
      <c r="G196" s="275"/>
      <c r="H196" s="275"/>
      <c r="I196" s="275"/>
      <c r="J196" s="275"/>
      <c r="K196" s="275"/>
      <c r="L196" s="275"/>
      <c r="M196" s="275"/>
      <c r="N196" s="275"/>
      <c r="O196" s="275"/>
      <c r="P196" s="275"/>
      <c r="Q196" s="275"/>
      <c r="R196" s="275"/>
      <c r="S196" s="275"/>
      <c r="T196" s="275"/>
    </row>
    <row r="197" spans="3:20">
      <c r="C197" s="275"/>
      <c r="D197" s="275"/>
      <c r="E197" s="275"/>
      <c r="F197" s="275"/>
      <c r="G197" s="275"/>
      <c r="H197" s="275"/>
      <c r="I197" s="275"/>
      <c r="J197" s="275"/>
      <c r="K197" s="275"/>
      <c r="L197" s="275"/>
      <c r="M197" s="275"/>
      <c r="N197" s="275"/>
      <c r="O197" s="275"/>
      <c r="P197" s="275"/>
      <c r="Q197" s="275"/>
      <c r="R197" s="275"/>
      <c r="S197" s="275"/>
      <c r="T197" s="275"/>
    </row>
    <row r="198" spans="3:20">
      <c r="C198" s="275"/>
      <c r="D198" s="275"/>
      <c r="E198" s="275"/>
      <c r="F198" s="275"/>
      <c r="G198" s="275"/>
      <c r="H198" s="275"/>
      <c r="I198" s="275"/>
      <c r="J198" s="275"/>
      <c r="K198" s="275"/>
      <c r="L198" s="275"/>
      <c r="M198" s="275"/>
      <c r="N198" s="275"/>
      <c r="O198" s="275"/>
      <c r="P198" s="275"/>
      <c r="Q198" s="275"/>
      <c r="R198" s="275"/>
      <c r="S198" s="275"/>
      <c r="T198" s="275"/>
    </row>
    <row r="199" spans="3:20">
      <c r="C199" s="275"/>
      <c r="D199" s="275"/>
      <c r="E199" s="275"/>
      <c r="F199" s="275"/>
      <c r="G199" s="275"/>
      <c r="H199" s="275"/>
      <c r="I199" s="275"/>
      <c r="J199" s="275"/>
      <c r="K199" s="275"/>
      <c r="L199" s="275"/>
      <c r="M199" s="275"/>
      <c r="N199" s="275"/>
      <c r="O199" s="275"/>
      <c r="P199" s="275"/>
      <c r="Q199" s="275"/>
      <c r="R199" s="275"/>
      <c r="S199" s="275"/>
      <c r="T199" s="275"/>
    </row>
    <row r="200" spans="3:20">
      <c r="C200" s="275"/>
      <c r="D200" s="275"/>
      <c r="E200" s="275"/>
      <c r="F200" s="275"/>
      <c r="G200" s="275"/>
      <c r="H200" s="275"/>
      <c r="I200" s="275"/>
      <c r="J200" s="275"/>
      <c r="K200" s="275"/>
      <c r="L200" s="275"/>
      <c r="M200" s="275"/>
      <c r="N200" s="275"/>
      <c r="O200" s="275"/>
      <c r="P200" s="275"/>
      <c r="Q200" s="275"/>
      <c r="R200" s="275"/>
      <c r="S200" s="275"/>
      <c r="T200" s="275"/>
    </row>
    <row r="201" spans="3:20">
      <c r="C201" s="275"/>
      <c r="D201" s="275"/>
      <c r="E201" s="275"/>
      <c r="F201" s="275"/>
      <c r="G201" s="275"/>
      <c r="H201" s="275"/>
      <c r="I201" s="275"/>
      <c r="J201" s="275"/>
      <c r="K201" s="275"/>
      <c r="L201" s="275"/>
      <c r="M201" s="275"/>
      <c r="N201" s="275"/>
      <c r="O201" s="275"/>
      <c r="P201" s="275"/>
      <c r="Q201" s="275"/>
      <c r="R201" s="275"/>
      <c r="S201" s="275"/>
      <c r="T201" s="275"/>
    </row>
    <row r="202" spans="3:20">
      <c r="C202" s="275"/>
      <c r="D202" s="275"/>
      <c r="E202" s="275"/>
      <c r="F202" s="275"/>
      <c r="G202" s="275"/>
      <c r="H202" s="275"/>
      <c r="I202" s="275"/>
      <c r="J202" s="275"/>
      <c r="K202" s="275"/>
      <c r="L202" s="275"/>
      <c r="M202" s="275"/>
      <c r="N202" s="275"/>
      <c r="O202" s="275"/>
      <c r="P202" s="275"/>
      <c r="Q202" s="275"/>
      <c r="R202" s="275"/>
      <c r="S202" s="275"/>
      <c r="T202" s="275"/>
    </row>
    <row r="203" spans="3:20">
      <c r="C203" s="275"/>
      <c r="D203" s="275"/>
      <c r="E203" s="275"/>
      <c r="F203" s="275"/>
      <c r="G203" s="275"/>
      <c r="H203" s="275"/>
      <c r="I203" s="275"/>
      <c r="J203" s="275"/>
      <c r="K203" s="275"/>
      <c r="L203" s="275"/>
      <c r="M203" s="275"/>
      <c r="N203" s="275"/>
      <c r="O203" s="275"/>
      <c r="P203" s="275"/>
      <c r="Q203" s="275"/>
      <c r="R203" s="275"/>
      <c r="S203" s="275"/>
      <c r="T203" s="275"/>
    </row>
    <row r="204" spans="3:20">
      <c r="C204" s="275"/>
      <c r="D204" s="275"/>
      <c r="E204" s="275"/>
      <c r="F204" s="275"/>
      <c r="G204" s="275"/>
      <c r="H204" s="275"/>
      <c r="I204" s="275"/>
      <c r="J204" s="275"/>
      <c r="K204" s="275"/>
      <c r="L204" s="275"/>
      <c r="M204" s="275"/>
      <c r="N204" s="275"/>
      <c r="O204" s="275"/>
      <c r="P204" s="275"/>
      <c r="Q204" s="275"/>
      <c r="R204" s="275"/>
      <c r="S204" s="275"/>
      <c r="T204" s="275"/>
    </row>
    <row r="205" spans="3:20">
      <c r="C205" s="275"/>
      <c r="D205" s="275"/>
      <c r="E205" s="275"/>
      <c r="F205" s="275"/>
      <c r="G205" s="275"/>
      <c r="H205" s="275"/>
      <c r="I205" s="275"/>
      <c r="J205" s="275"/>
      <c r="K205" s="275"/>
      <c r="L205" s="275"/>
      <c r="M205" s="275"/>
      <c r="N205" s="275"/>
      <c r="O205" s="275"/>
      <c r="P205" s="275"/>
      <c r="Q205" s="275"/>
      <c r="R205" s="275"/>
      <c r="S205" s="275"/>
      <c r="T205" s="275"/>
    </row>
    <row r="206" spans="3:20">
      <c r="C206" s="275"/>
      <c r="D206" s="275"/>
      <c r="E206" s="275"/>
      <c r="F206" s="275"/>
      <c r="G206" s="275"/>
      <c r="H206" s="275"/>
      <c r="I206" s="275"/>
      <c r="J206" s="275"/>
      <c r="K206" s="275"/>
      <c r="L206" s="275"/>
      <c r="M206" s="275"/>
      <c r="N206" s="275"/>
      <c r="O206" s="275"/>
      <c r="P206" s="275"/>
      <c r="Q206" s="275"/>
      <c r="R206" s="275"/>
      <c r="S206" s="275"/>
      <c r="T206" s="275"/>
    </row>
    <row r="207" spans="3:20">
      <c r="C207" s="275"/>
      <c r="D207" s="275"/>
      <c r="E207" s="275"/>
      <c r="F207" s="275"/>
      <c r="G207" s="275"/>
      <c r="H207" s="275"/>
      <c r="I207" s="275"/>
      <c r="J207" s="275"/>
      <c r="K207" s="275"/>
      <c r="L207" s="275"/>
      <c r="M207" s="275"/>
      <c r="N207" s="275"/>
      <c r="O207" s="275"/>
      <c r="P207" s="275"/>
      <c r="Q207" s="275"/>
      <c r="R207" s="275"/>
      <c r="S207" s="275"/>
      <c r="T207" s="275"/>
    </row>
    <row r="208" spans="3:20">
      <c r="C208" s="275"/>
      <c r="D208" s="275"/>
      <c r="E208" s="275"/>
      <c r="F208" s="275"/>
      <c r="G208" s="275"/>
      <c r="H208" s="275"/>
      <c r="I208" s="275"/>
      <c r="J208" s="275"/>
      <c r="K208" s="275"/>
      <c r="L208" s="275"/>
      <c r="M208" s="275"/>
      <c r="N208" s="275"/>
      <c r="O208" s="275"/>
      <c r="P208" s="275"/>
      <c r="Q208" s="275"/>
      <c r="R208" s="275"/>
      <c r="S208" s="275"/>
      <c r="T208" s="275"/>
    </row>
    <row r="209" spans="3:20">
      <c r="C209" s="275"/>
      <c r="D209" s="275"/>
      <c r="E209" s="275"/>
      <c r="F209" s="275"/>
      <c r="G209" s="275"/>
      <c r="H209" s="275"/>
      <c r="I209" s="275"/>
      <c r="J209" s="275"/>
      <c r="K209" s="275"/>
      <c r="L209" s="275"/>
      <c r="M209" s="275"/>
      <c r="N209" s="275"/>
      <c r="O209" s="275"/>
      <c r="P209" s="275"/>
      <c r="Q209" s="275"/>
      <c r="R209" s="275"/>
      <c r="S209" s="275"/>
      <c r="T209" s="275"/>
    </row>
    <row r="210" spans="3:20">
      <c r="C210" s="275"/>
      <c r="D210" s="275"/>
      <c r="E210" s="275"/>
      <c r="F210" s="275"/>
      <c r="G210" s="275"/>
      <c r="H210" s="275"/>
      <c r="I210" s="275"/>
      <c r="J210" s="275"/>
      <c r="K210" s="275"/>
      <c r="L210" s="275"/>
      <c r="M210" s="275"/>
      <c r="N210" s="275"/>
      <c r="O210" s="275"/>
      <c r="P210" s="275"/>
      <c r="Q210" s="275"/>
      <c r="R210" s="275"/>
      <c r="S210" s="275"/>
      <c r="T210" s="275"/>
    </row>
    <row r="211" spans="3:20">
      <c r="C211" s="275"/>
      <c r="D211" s="275"/>
      <c r="E211" s="275"/>
      <c r="F211" s="275"/>
      <c r="G211" s="275"/>
      <c r="H211" s="275"/>
      <c r="I211" s="275"/>
      <c r="J211" s="275"/>
      <c r="K211" s="275"/>
      <c r="L211" s="275"/>
      <c r="M211" s="275"/>
      <c r="N211" s="275"/>
      <c r="O211" s="275"/>
      <c r="P211" s="275"/>
      <c r="Q211" s="275"/>
      <c r="R211" s="275"/>
      <c r="S211" s="275"/>
      <c r="T211" s="275"/>
    </row>
    <row r="212" spans="3:20">
      <c r="C212" s="275"/>
      <c r="D212" s="275"/>
      <c r="E212" s="275"/>
      <c r="F212" s="275"/>
      <c r="G212" s="275"/>
      <c r="H212" s="275"/>
      <c r="I212" s="275"/>
      <c r="J212" s="275"/>
      <c r="K212" s="275"/>
      <c r="L212" s="275"/>
      <c r="M212" s="275"/>
      <c r="N212" s="275"/>
      <c r="O212" s="275"/>
      <c r="P212" s="275"/>
      <c r="Q212" s="275"/>
      <c r="R212" s="275"/>
      <c r="S212" s="275"/>
      <c r="T212" s="275"/>
    </row>
    <row r="213" spans="3:20">
      <c r="C213" s="275"/>
      <c r="D213" s="275"/>
      <c r="E213" s="275"/>
      <c r="F213" s="275"/>
      <c r="G213" s="275"/>
      <c r="H213" s="275"/>
      <c r="I213" s="275"/>
      <c r="J213" s="275"/>
      <c r="K213" s="275"/>
      <c r="L213" s="275"/>
      <c r="M213" s="275"/>
      <c r="N213" s="275"/>
      <c r="O213" s="275"/>
      <c r="P213" s="275"/>
      <c r="Q213" s="275"/>
      <c r="R213" s="275"/>
      <c r="S213" s="275"/>
      <c r="T213" s="275"/>
    </row>
    <row r="214" spans="3:20">
      <c r="C214" s="275"/>
      <c r="D214" s="275"/>
      <c r="E214" s="275"/>
      <c r="F214" s="275"/>
      <c r="G214" s="275"/>
      <c r="H214" s="275"/>
      <c r="I214" s="275"/>
      <c r="J214" s="275"/>
      <c r="K214" s="275"/>
      <c r="L214" s="275"/>
      <c r="M214" s="275"/>
      <c r="N214" s="275"/>
      <c r="O214" s="275"/>
      <c r="P214" s="275"/>
      <c r="Q214" s="275"/>
      <c r="R214" s="275"/>
      <c r="S214" s="275"/>
      <c r="T214" s="275"/>
    </row>
    <row r="215" spans="3:20">
      <c r="C215" s="275"/>
      <c r="D215" s="275"/>
      <c r="E215" s="275"/>
      <c r="F215" s="275"/>
      <c r="G215" s="275"/>
      <c r="H215" s="275"/>
      <c r="I215" s="275"/>
      <c r="J215" s="275"/>
      <c r="K215" s="275"/>
      <c r="L215" s="275"/>
      <c r="M215" s="275"/>
      <c r="N215" s="275"/>
      <c r="O215" s="275"/>
      <c r="P215" s="275"/>
      <c r="Q215" s="275"/>
      <c r="R215" s="275"/>
      <c r="S215" s="275"/>
      <c r="T215" s="275"/>
    </row>
    <row r="216" spans="3:20">
      <c r="C216" s="275"/>
      <c r="D216" s="275"/>
      <c r="E216" s="275"/>
      <c r="F216" s="275"/>
      <c r="G216" s="275"/>
      <c r="H216" s="275"/>
      <c r="I216" s="275"/>
      <c r="J216" s="275"/>
      <c r="K216" s="275"/>
      <c r="L216" s="275"/>
      <c r="M216" s="275"/>
      <c r="N216" s="275"/>
      <c r="O216" s="275"/>
      <c r="P216" s="275"/>
      <c r="Q216" s="275"/>
      <c r="R216" s="275"/>
      <c r="S216" s="275"/>
      <c r="T216" s="275"/>
    </row>
    <row r="217" spans="3:20">
      <c r="C217" s="275"/>
      <c r="D217" s="275"/>
      <c r="E217" s="275"/>
      <c r="F217" s="275"/>
      <c r="G217" s="275"/>
      <c r="H217" s="275"/>
      <c r="I217" s="275"/>
      <c r="J217" s="275"/>
      <c r="K217" s="275"/>
      <c r="L217" s="275"/>
      <c r="M217" s="275"/>
      <c r="N217" s="275"/>
      <c r="O217" s="275"/>
      <c r="P217" s="275"/>
      <c r="Q217" s="275"/>
      <c r="R217" s="275"/>
      <c r="S217" s="275"/>
      <c r="T217" s="275"/>
    </row>
    <row r="218" spans="3:20">
      <c r="C218" s="275"/>
      <c r="D218" s="275"/>
      <c r="E218" s="275"/>
      <c r="F218" s="275"/>
      <c r="G218" s="275"/>
      <c r="H218" s="275"/>
      <c r="I218" s="275"/>
      <c r="J218" s="275"/>
      <c r="K218" s="275"/>
      <c r="L218" s="275"/>
      <c r="M218" s="275"/>
      <c r="N218" s="275"/>
      <c r="O218" s="275"/>
      <c r="P218" s="275"/>
      <c r="Q218" s="275"/>
      <c r="R218" s="275"/>
      <c r="S218" s="275"/>
      <c r="T218" s="275"/>
    </row>
    <row r="219" spans="3:20">
      <c r="C219" s="275"/>
      <c r="D219" s="275"/>
      <c r="E219" s="275"/>
      <c r="F219" s="275"/>
      <c r="G219" s="275"/>
      <c r="H219" s="275"/>
      <c r="I219" s="275"/>
      <c r="J219" s="275"/>
      <c r="K219" s="275"/>
      <c r="L219" s="275"/>
      <c r="M219" s="275"/>
      <c r="N219" s="275"/>
      <c r="O219" s="275"/>
      <c r="P219" s="275"/>
      <c r="Q219" s="275"/>
      <c r="R219" s="275"/>
      <c r="S219" s="275"/>
      <c r="T219" s="275"/>
    </row>
    <row r="220" spans="3:20">
      <c r="C220" s="275"/>
      <c r="D220" s="275"/>
      <c r="E220" s="275"/>
      <c r="F220" s="275"/>
      <c r="G220" s="275"/>
      <c r="H220" s="275"/>
      <c r="I220" s="275"/>
      <c r="J220" s="275"/>
      <c r="K220" s="275"/>
      <c r="L220" s="275"/>
      <c r="M220" s="275"/>
      <c r="N220" s="275"/>
      <c r="O220" s="275"/>
      <c r="P220" s="275"/>
      <c r="Q220" s="275"/>
      <c r="R220" s="275"/>
      <c r="S220" s="275"/>
      <c r="T220" s="275"/>
    </row>
    <row r="221" spans="3:20">
      <c r="C221" s="275"/>
      <c r="D221" s="275"/>
      <c r="E221" s="275"/>
      <c r="F221" s="275"/>
      <c r="G221" s="275"/>
      <c r="H221" s="275"/>
      <c r="I221" s="275"/>
      <c r="J221" s="275"/>
      <c r="K221" s="275"/>
      <c r="L221" s="275"/>
      <c r="M221" s="275"/>
      <c r="N221" s="275"/>
      <c r="O221" s="275"/>
      <c r="P221" s="275"/>
      <c r="Q221" s="275"/>
      <c r="R221" s="275"/>
      <c r="S221" s="275"/>
      <c r="T221" s="275"/>
    </row>
    <row r="222" spans="3:20">
      <c r="C222" s="275"/>
      <c r="D222" s="275"/>
      <c r="E222" s="275"/>
      <c r="F222" s="275"/>
      <c r="G222" s="275"/>
      <c r="H222" s="275"/>
      <c r="I222" s="275"/>
      <c r="J222" s="275"/>
      <c r="K222" s="275"/>
      <c r="L222" s="275"/>
      <c r="M222" s="275"/>
      <c r="N222" s="275"/>
      <c r="O222" s="275"/>
      <c r="P222" s="275"/>
      <c r="Q222" s="275"/>
      <c r="R222" s="275"/>
      <c r="S222" s="275"/>
      <c r="T222" s="275"/>
    </row>
    <row r="223" spans="3:20">
      <c r="C223" s="275"/>
      <c r="D223" s="275"/>
      <c r="E223" s="275"/>
      <c r="F223" s="275"/>
      <c r="G223" s="275"/>
      <c r="H223" s="275"/>
      <c r="I223" s="275"/>
      <c r="J223" s="275"/>
      <c r="K223" s="275"/>
      <c r="L223" s="275"/>
      <c r="M223" s="275"/>
      <c r="N223" s="275"/>
      <c r="O223" s="275"/>
      <c r="P223" s="275"/>
      <c r="Q223" s="275"/>
      <c r="R223" s="275"/>
      <c r="S223" s="275"/>
      <c r="T223" s="275"/>
    </row>
    <row r="224" spans="3:20">
      <c r="C224" s="275"/>
      <c r="D224" s="275"/>
      <c r="E224" s="275"/>
      <c r="F224" s="275"/>
      <c r="G224" s="275"/>
      <c r="H224" s="275"/>
      <c r="I224" s="275"/>
      <c r="J224" s="275"/>
      <c r="K224" s="275"/>
      <c r="L224" s="275"/>
      <c r="M224" s="275"/>
      <c r="N224" s="275"/>
      <c r="O224" s="275"/>
      <c r="P224" s="275"/>
      <c r="Q224" s="275"/>
      <c r="R224" s="275"/>
      <c r="S224" s="275"/>
      <c r="T224" s="275"/>
    </row>
    <row r="225" spans="3:20">
      <c r="C225" s="275"/>
      <c r="D225" s="275"/>
      <c r="E225" s="275"/>
      <c r="F225" s="275"/>
      <c r="G225" s="275"/>
      <c r="H225" s="275"/>
      <c r="I225" s="275"/>
      <c r="J225" s="275"/>
      <c r="K225" s="275"/>
      <c r="L225" s="275"/>
      <c r="M225" s="275"/>
      <c r="N225" s="275"/>
      <c r="O225" s="275"/>
      <c r="P225" s="275"/>
      <c r="Q225" s="275"/>
      <c r="R225" s="275"/>
      <c r="S225" s="275"/>
      <c r="T225" s="275"/>
    </row>
    <row r="226" spans="3:20">
      <c r="C226" s="275"/>
      <c r="D226" s="275"/>
      <c r="E226" s="275"/>
      <c r="F226" s="275"/>
      <c r="G226" s="275"/>
      <c r="H226" s="275"/>
      <c r="I226" s="275"/>
      <c r="J226" s="275"/>
      <c r="K226" s="275"/>
      <c r="L226" s="275"/>
      <c r="M226" s="275"/>
      <c r="N226" s="275"/>
      <c r="O226" s="275"/>
      <c r="P226" s="275"/>
      <c r="Q226" s="275"/>
      <c r="R226" s="275"/>
      <c r="S226" s="275"/>
      <c r="T226" s="275"/>
    </row>
    <row r="227" spans="3:20">
      <c r="C227" s="275"/>
      <c r="D227" s="275"/>
      <c r="E227" s="275"/>
      <c r="F227" s="275"/>
      <c r="G227" s="275"/>
      <c r="H227" s="275"/>
      <c r="I227" s="275"/>
      <c r="J227" s="275"/>
      <c r="K227" s="275"/>
      <c r="L227" s="275"/>
      <c r="M227" s="275"/>
      <c r="N227" s="275"/>
      <c r="O227" s="275"/>
      <c r="P227" s="275"/>
      <c r="Q227" s="275"/>
      <c r="R227" s="275"/>
      <c r="S227" s="275"/>
      <c r="T227" s="275"/>
    </row>
    <row r="228" spans="3:20">
      <c r="C228" s="275"/>
      <c r="D228" s="275"/>
      <c r="E228" s="275"/>
      <c r="F228" s="275"/>
      <c r="G228" s="275"/>
      <c r="H228" s="275"/>
      <c r="I228" s="275"/>
      <c r="J228" s="275"/>
      <c r="K228" s="275"/>
      <c r="L228" s="275"/>
      <c r="M228" s="275"/>
      <c r="N228" s="275"/>
      <c r="O228" s="275"/>
      <c r="P228" s="275"/>
      <c r="Q228" s="275"/>
      <c r="R228" s="275"/>
      <c r="S228" s="275"/>
      <c r="T228" s="275"/>
    </row>
    <row r="229" spans="3:20">
      <c r="C229" s="275"/>
      <c r="D229" s="275"/>
      <c r="E229" s="275"/>
      <c r="F229" s="275"/>
      <c r="G229" s="275"/>
      <c r="H229" s="275"/>
      <c r="I229" s="275"/>
      <c r="J229" s="275"/>
      <c r="K229" s="275"/>
      <c r="L229" s="275"/>
      <c r="M229" s="275"/>
      <c r="N229" s="275"/>
      <c r="O229" s="275"/>
      <c r="P229" s="275"/>
      <c r="Q229" s="275"/>
      <c r="R229" s="275"/>
      <c r="S229" s="275"/>
      <c r="T229" s="275"/>
    </row>
    <row r="230" spans="3:20">
      <c r="C230" s="275"/>
      <c r="D230" s="275"/>
      <c r="E230" s="275"/>
      <c r="F230" s="275"/>
      <c r="G230" s="275"/>
      <c r="H230" s="275"/>
      <c r="I230" s="275"/>
      <c r="J230" s="275"/>
      <c r="K230" s="275"/>
      <c r="L230" s="275"/>
      <c r="M230" s="275"/>
      <c r="N230" s="275"/>
      <c r="O230" s="275"/>
      <c r="P230" s="275"/>
      <c r="Q230" s="275"/>
      <c r="R230" s="275"/>
      <c r="S230" s="275"/>
      <c r="T230" s="275"/>
    </row>
    <row r="231" spans="3:20">
      <c r="C231" s="275"/>
      <c r="D231" s="275"/>
      <c r="E231" s="275"/>
      <c r="F231" s="275"/>
      <c r="G231" s="275"/>
      <c r="H231" s="275"/>
      <c r="I231" s="275"/>
      <c r="J231" s="275"/>
      <c r="K231" s="275"/>
      <c r="L231" s="275"/>
      <c r="M231" s="275"/>
      <c r="N231" s="275"/>
      <c r="O231" s="275"/>
      <c r="P231" s="275"/>
      <c r="Q231" s="275"/>
      <c r="R231" s="275"/>
      <c r="S231" s="275"/>
      <c r="T231" s="275"/>
    </row>
    <row r="232" spans="3:20">
      <c r="C232" s="275"/>
      <c r="D232" s="275"/>
      <c r="E232" s="275"/>
      <c r="F232" s="275"/>
      <c r="G232" s="275"/>
      <c r="H232" s="275"/>
      <c r="I232" s="275"/>
      <c r="J232" s="275"/>
      <c r="K232" s="275"/>
      <c r="L232" s="275"/>
      <c r="M232" s="275"/>
      <c r="N232" s="275"/>
      <c r="O232" s="275"/>
      <c r="P232" s="275"/>
      <c r="Q232" s="275"/>
      <c r="R232" s="275"/>
      <c r="S232" s="275"/>
      <c r="T232" s="275"/>
    </row>
    <row r="233" spans="3:20">
      <c r="C233" s="275"/>
      <c r="D233" s="275"/>
      <c r="E233" s="275"/>
      <c r="F233" s="275"/>
      <c r="G233" s="275"/>
      <c r="H233" s="275"/>
      <c r="I233" s="275"/>
      <c r="J233" s="275"/>
      <c r="K233" s="275"/>
      <c r="L233" s="275"/>
      <c r="M233" s="275"/>
      <c r="N233" s="275"/>
      <c r="O233" s="275"/>
      <c r="P233" s="275"/>
      <c r="Q233" s="275"/>
      <c r="R233" s="275"/>
      <c r="S233" s="275"/>
      <c r="T233" s="275"/>
    </row>
    <row r="234" spans="3:20">
      <c r="C234" s="275"/>
      <c r="D234" s="275"/>
      <c r="E234" s="275"/>
      <c r="F234" s="275"/>
      <c r="G234" s="275"/>
      <c r="H234" s="275"/>
      <c r="I234" s="275"/>
      <c r="J234" s="275"/>
      <c r="K234" s="275"/>
      <c r="L234" s="275"/>
      <c r="M234" s="275"/>
      <c r="N234" s="275"/>
      <c r="O234" s="275"/>
      <c r="P234" s="275"/>
      <c r="Q234" s="275"/>
      <c r="R234" s="275"/>
      <c r="S234" s="275"/>
      <c r="T234" s="275"/>
    </row>
    <row r="235" spans="3:20">
      <c r="C235" s="275"/>
      <c r="D235" s="275"/>
      <c r="E235" s="275"/>
      <c r="F235" s="275"/>
      <c r="G235" s="275"/>
      <c r="H235" s="275"/>
      <c r="I235" s="275"/>
      <c r="J235" s="275"/>
      <c r="K235" s="275"/>
      <c r="L235" s="275"/>
      <c r="M235" s="275"/>
      <c r="N235" s="275"/>
      <c r="O235" s="275"/>
      <c r="P235" s="275"/>
      <c r="Q235" s="275"/>
      <c r="R235" s="275"/>
      <c r="S235" s="275"/>
      <c r="T235" s="275"/>
    </row>
    <row r="236" spans="3:20">
      <c r="C236" s="275"/>
      <c r="D236" s="275"/>
      <c r="E236" s="275"/>
      <c r="F236" s="275"/>
      <c r="G236" s="275"/>
      <c r="H236" s="275"/>
      <c r="I236" s="275"/>
      <c r="J236" s="275"/>
      <c r="K236" s="275"/>
      <c r="L236" s="275"/>
      <c r="M236" s="275"/>
      <c r="N236" s="275"/>
      <c r="O236" s="275"/>
      <c r="P236" s="275"/>
      <c r="Q236" s="275"/>
      <c r="R236" s="275"/>
      <c r="S236" s="275"/>
      <c r="T236" s="275"/>
    </row>
    <row r="237" spans="3:20">
      <c r="C237" s="275"/>
      <c r="D237" s="275"/>
      <c r="E237" s="275"/>
      <c r="F237" s="275"/>
      <c r="G237" s="275"/>
      <c r="H237" s="275"/>
      <c r="I237" s="275"/>
      <c r="J237" s="275"/>
      <c r="K237" s="275"/>
      <c r="L237" s="275"/>
      <c r="M237" s="275"/>
      <c r="N237" s="275"/>
      <c r="O237" s="275"/>
      <c r="P237" s="275"/>
      <c r="Q237" s="275"/>
      <c r="R237" s="275"/>
      <c r="S237" s="275"/>
      <c r="T237" s="275"/>
    </row>
    <row r="238" spans="3:20">
      <c r="C238" s="275"/>
      <c r="D238" s="275"/>
      <c r="E238" s="275"/>
      <c r="F238" s="275"/>
      <c r="G238" s="275"/>
      <c r="H238" s="275"/>
      <c r="I238" s="275"/>
      <c r="J238" s="275"/>
      <c r="K238" s="275"/>
      <c r="L238" s="275"/>
      <c r="M238" s="275"/>
      <c r="N238" s="275"/>
      <c r="O238" s="275"/>
      <c r="P238" s="275"/>
      <c r="Q238" s="275"/>
      <c r="R238" s="275"/>
      <c r="S238" s="275"/>
      <c r="T238" s="275"/>
    </row>
    <row r="239" spans="3:20">
      <c r="C239" s="275"/>
      <c r="D239" s="275"/>
      <c r="E239" s="275"/>
      <c r="F239" s="275"/>
      <c r="G239" s="275"/>
      <c r="H239" s="275"/>
      <c r="I239" s="275"/>
      <c r="J239" s="275"/>
      <c r="K239" s="275"/>
      <c r="L239" s="275"/>
      <c r="M239" s="275"/>
      <c r="N239" s="275"/>
      <c r="O239" s="275"/>
      <c r="P239" s="275"/>
      <c r="Q239" s="275"/>
      <c r="R239" s="275"/>
      <c r="S239" s="275"/>
      <c r="T239" s="275"/>
    </row>
    <row r="240" spans="3:20">
      <c r="C240" s="275"/>
      <c r="D240" s="275"/>
      <c r="E240" s="275"/>
      <c r="F240" s="275"/>
      <c r="G240" s="275"/>
      <c r="H240" s="275"/>
      <c r="I240" s="275"/>
      <c r="J240" s="275"/>
      <c r="K240" s="275"/>
      <c r="L240" s="275"/>
      <c r="M240" s="275"/>
      <c r="N240" s="275"/>
      <c r="O240" s="275"/>
      <c r="P240" s="275"/>
      <c r="Q240" s="275"/>
      <c r="R240" s="275"/>
      <c r="S240" s="275"/>
      <c r="T240" s="275"/>
    </row>
    <row r="241" spans="3:20">
      <c r="C241" s="275"/>
      <c r="D241" s="275"/>
      <c r="E241" s="275"/>
      <c r="F241" s="275"/>
      <c r="G241" s="275"/>
      <c r="H241" s="275"/>
      <c r="I241" s="275"/>
      <c r="J241" s="275"/>
      <c r="K241" s="275"/>
      <c r="L241" s="275"/>
      <c r="M241" s="275"/>
      <c r="N241" s="275"/>
      <c r="O241" s="275"/>
      <c r="P241" s="275"/>
      <c r="Q241" s="275"/>
      <c r="R241" s="275"/>
      <c r="S241" s="275"/>
      <c r="T241" s="275"/>
    </row>
    <row r="242" spans="3:20">
      <c r="C242" s="275"/>
      <c r="D242" s="275"/>
      <c r="E242" s="275"/>
      <c r="F242" s="275"/>
      <c r="G242" s="275"/>
      <c r="H242" s="275"/>
      <c r="I242" s="275"/>
      <c r="J242" s="275"/>
      <c r="K242" s="275"/>
      <c r="L242" s="275"/>
      <c r="M242" s="275"/>
      <c r="N242" s="275"/>
      <c r="O242" s="275"/>
      <c r="P242" s="275"/>
      <c r="Q242" s="275"/>
      <c r="R242" s="275"/>
      <c r="S242" s="275"/>
      <c r="T242" s="275"/>
    </row>
    <row r="243" spans="3:20">
      <c r="C243" s="275"/>
      <c r="D243" s="275"/>
      <c r="E243" s="275"/>
      <c r="F243" s="275"/>
      <c r="G243" s="275"/>
      <c r="H243" s="275"/>
      <c r="I243" s="275"/>
      <c r="J243" s="275"/>
      <c r="K243" s="275"/>
      <c r="L243" s="275"/>
      <c r="M243" s="275"/>
      <c r="N243" s="275"/>
      <c r="O243" s="275"/>
      <c r="P243" s="275"/>
      <c r="Q243" s="275"/>
      <c r="R243" s="275"/>
      <c r="S243" s="275"/>
      <c r="T243" s="275"/>
    </row>
    <row r="244" spans="3:20">
      <c r="C244" s="275"/>
      <c r="D244" s="275"/>
      <c r="E244" s="275"/>
      <c r="F244" s="275"/>
      <c r="G244" s="275"/>
      <c r="H244" s="275"/>
      <c r="I244" s="275"/>
      <c r="J244" s="275"/>
      <c r="K244" s="275"/>
      <c r="L244" s="275"/>
      <c r="M244" s="275"/>
      <c r="N244" s="275"/>
      <c r="O244" s="275"/>
      <c r="P244" s="275"/>
      <c r="Q244" s="275"/>
      <c r="R244" s="275"/>
      <c r="S244" s="275"/>
      <c r="T244" s="275"/>
    </row>
    <row r="245" spans="3:20">
      <c r="C245" s="275"/>
      <c r="D245" s="275"/>
      <c r="E245" s="275"/>
      <c r="F245" s="275"/>
      <c r="G245" s="275"/>
      <c r="H245" s="275"/>
      <c r="I245" s="275"/>
      <c r="J245" s="275"/>
      <c r="K245" s="275"/>
      <c r="L245" s="275"/>
      <c r="M245" s="275"/>
      <c r="N245" s="275"/>
      <c r="O245" s="275"/>
      <c r="P245" s="275"/>
      <c r="Q245" s="275"/>
      <c r="R245" s="275"/>
      <c r="S245" s="275"/>
      <c r="T245" s="275"/>
    </row>
    <row r="246" spans="3:20">
      <c r="C246" s="275"/>
      <c r="D246" s="275"/>
      <c r="E246" s="275"/>
      <c r="F246" s="275"/>
      <c r="G246" s="275"/>
      <c r="H246" s="275"/>
      <c r="I246" s="275"/>
      <c r="J246" s="275"/>
      <c r="K246" s="275"/>
      <c r="L246" s="275"/>
      <c r="M246" s="275"/>
      <c r="N246" s="275"/>
      <c r="O246" s="275"/>
      <c r="P246" s="275"/>
      <c r="Q246" s="275"/>
      <c r="R246" s="275"/>
      <c r="S246" s="275"/>
      <c r="T246" s="275"/>
    </row>
    <row r="247" spans="3:20">
      <c r="C247" s="275"/>
      <c r="D247" s="275"/>
      <c r="E247" s="275"/>
      <c r="F247" s="275"/>
      <c r="G247" s="275"/>
      <c r="H247" s="275"/>
      <c r="I247" s="275"/>
      <c r="J247" s="275"/>
      <c r="K247" s="275"/>
      <c r="L247" s="275"/>
      <c r="M247" s="275"/>
      <c r="N247" s="275"/>
      <c r="O247" s="275"/>
      <c r="P247" s="275"/>
      <c r="Q247" s="275"/>
      <c r="R247" s="275"/>
      <c r="S247" s="275"/>
      <c r="T247" s="275"/>
    </row>
    <row r="248" spans="3:20">
      <c r="C248" s="275"/>
      <c r="D248" s="275"/>
      <c r="E248" s="275"/>
      <c r="F248" s="275"/>
      <c r="G248" s="275"/>
      <c r="H248" s="275"/>
      <c r="I248" s="275"/>
      <c r="J248" s="275"/>
      <c r="K248" s="275"/>
      <c r="L248" s="275"/>
      <c r="M248" s="275"/>
      <c r="N248" s="275"/>
      <c r="O248" s="275"/>
      <c r="P248" s="275"/>
      <c r="Q248" s="275"/>
      <c r="R248" s="275"/>
      <c r="S248" s="275"/>
      <c r="T248" s="275"/>
    </row>
    <row r="249" spans="3:20">
      <c r="C249" s="275"/>
      <c r="D249" s="275"/>
      <c r="E249" s="275"/>
      <c r="F249" s="275"/>
      <c r="G249" s="275"/>
      <c r="H249" s="275"/>
      <c r="I249" s="275"/>
      <c r="J249" s="275"/>
      <c r="K249" s="275"/>
      <c r="L249" s="275"/>
      <c r="M249" s="275"/>
      <c r="N249" s="275"/>
      <c r="O249" s="275"/>
      <c r="P249" s="275"/>
      <c r="Q249" s="275"/>
      <c r="R249" s="275"/>
      <c r="S249" s="275"/>
      <c r="T249" s="275"/>
    </row>
    <row r="250" spans="3:20">
      <c r="C250" s="275"/>
      <c r="D250" s="275"/>
      <c r="E250" s="275"/>
      <c r="F250" s="275"/>
      <c r="G250" s="275"/>
      <c r="H250" s="275"/>
      <c r="I250" s="275"/>
      <c r="J250" s="275"/>
      <c r="K250" s="275"/>
      <c r="L250" s="275"/>
      <c r="M250" s="275"/>
      <c r="N250" s="275"/>
      <c r="O250" s="275"/>
      <c r="P250" s="275"/>
      <c r="Q250" s="275"/>
      <c r="R250" s="275"/>
      <c r="S250" s="275"/>
      <c r="T250" s="275"/>
    </row>
    <row r="251" spans="3:20">
      <c r="C251" s="275"/>
      <c r="D251" s="275"/>
      <c r="E251" s="275"/>
      <c r="F251" s="275"/>
      <c r="G251" s="275"/>
      <c r="H251" s="275"/>
      <c r="I251" s="275"/>
      <c r="J251" s="275"/>
      <c r="K251" s="275"/>
      <c r="L251" s="275"/>
      <c r="M251" s="275"/>
      <c r="N251" s="275"/>
      <c r="O251" s="275"/>
      <c r="P251" s="275"/>
      <c r="Q251" s="275"/>
      <c r="R251" s="275"/>
      <c r="S251" s="275"/>
      <c r="T251" s="275"/>
    </row>
    <row r="252" spans="3:20">
      <c r="C252" s="275"/>
      <c r="D252" s="275"/>
      <c r="E252" s="275"/>
      <c r="F252" s="275"/>
      <c r="G252" s="275"/>
      <c r="H252" s="275"/>
      <c r="I252" s="275"/>
      <c r="J252" s="275"/>
      <c r="K252" s="275"/>
      <c r="L252" s="275"/>
      <c r="M252" s="275"/>
      <c r="N252" s="275"/>
      <c r="O252" s="275"/>
      <c r="P252" s="275"/>
      <c r="Q252" s="275"/>
      <c r="R252" s="275"/>
      <c r="S252" s="275"/>
      <c r="T252" s="275"/>
    </row>
    <row r="253" spans="3:20">
      <c r="C253" s="275"/>
      <c r="D253" s="275"/>
      <c r="E253" s="275"/>
      <c r="F253" s="275"/>
      <c r="G253" s="275"/>
      <c r="H253" s="275"/>
      <c r="I253" s="275"/>
      <c r="J253" s="275"/>
      <c r="K253" s="275"/>
      <c r="L253" s="275"/>
      <c r="M253" s="275"/>
      <c r="N253" s="275"/>
      <c r="O253" s="275"/>
      <c r="P253" s="275"/>
      <c r="Q253" s="275"/>
      <c r="R253" s="275"/>
      <c r="S253" s="275"/>
      <c r="T253" s="275"/>
    </row>
    <row r="254" spans="3:20">
      <c r="C254" s="275"/>
      <c r="D254" s="275"/>
      <c r="E254" s="275"/>
      <c r="F254" s="275"/>
      <c r="G254" s="275"/>
      <c r="H254" s="275"/>
      <c r="I254" s="275"/>
      <c r="J254" s="275"/>
      <c r="K254" s="275"/>
      <c r="L254" s="275"/>
      <c r="M254" s="275"/>
      <c r="N254" s="275"/>
      <c r="O254" s="275"/>
      <c r="P254" s="275"/>
      <c r="Q254" s="275"/>
      <c r="R254" s="275"/>
      <c r="S254" s="275"/>
      <c r="T254" s="275"/>
    </row>
    <row r="255" spans="3:20">
      <c r="C255" s="275"/>
      <c r="D255" s="275"/>
      <c r="E255" s="275"/>
      <c r="F255" s="275"/>
      <c r="G255" s="275"/>
      <c r="H255" s="275"/>
      <c r="I255" s="275"/>
      <c r="J255" s="275"/>
      <c r="K255" s="275"/>
      <c r="L255" s="275"/>
      <c r="M255" s="275"/>
      <c r="N255" s="275"/>
      <c r="O255" s="275"/>
      <c r="P255" s="275"/>
      <c r="Q255" s="275"/>
      <c r="R255" s="275"/>
      <c r="S255" s="275"/>
      <c r="T255" s="275"/>
    </row>
    <row r="256" spans="3:20">
      <c r="C256" s="275"/>
      <c r="D256" s="275"/>
      <c r="E256" s="275"/>
      <c r="F256" s="275"/>
      <c r="G256" s="275"/>
      <c r="H256" s="275"/>
      <c r="I256" s="275"/>
      <c r="J256" s="275"/>
      <c r="K256" s="275"/>
      <c r="L256" s="275"/>
      <c r="M256" s="275"/>
      <c r="N256" s="275"/>
      <c r="O256" s="275"/>
      <c r="P256" s="275"/>
      <c r="Q256" s="275"/>
      <c r="R256" s="275"/>
      <c r="S256" s="275"/>
      <c r="T256" s="275"/>
    </row>
    <row r="257" spans="3:20">
      <c r="C257" s="275"/>
      <c r="D257" s="275"/>
      <c r="E257" s="275"/>
      <c r="F257" s="275"/>
      <c r="G257" s="275"/>
      <c r="H257" s="275"/>
      <c r="I257" s="275"/>
      <c r="J257" s="275"/>
      <c r="K257" s="275"/>
      <c r="L257" s="275"/>
      <c r="M257" s="275"/>
      <c r="N257" s="275"/>
      <c r="O257" s="275"/>
      <c r="P257" s="275"/>
      <c r="Q257" s="275"/>
      <c r="R257" s="275"/>
      <c r="S257" s="275"/>
      <c r="T257" s="275"/>
    </row>
    <row r="258" spans="3:20">
      <c r="C258" s="275"/>
      <c r="D258" s="275"/>
      <c r="E258" s="275"/>
      <c r="F258" s="275"/>
      <c r="G258" s="275"/>
      <c r="H258" s="275"/>
      <c r="I258" s="275"/>
      <c r="J258" s="275"/>
      <c r="K258" s="275"/>
      <c r="L258" s="275"/>
      <c r="M258" s="275"/>
      <c r="N258" s="275"/>
      <c r="O258" s="275"/>
      <c r="P258" s="275"/>
      <c r="Q258" s="275"/>
      <c r="R258" s="275"/>
      <c r="S258" s="275"/>
      <c r="T258" s="275"/>
    </row>
    <row r="259" spans="3:20">
      <c r="C259" s="275"/>
      <c r="D259" s="275"/>
      <c r="E259" s="275"/>
      <c r="F259" s="275"/>
      <c r="G259" s="275"/>
      <c r="H259" s="275"/>
      <c r="I259" s="275"/>
      <c r="J259" s="275"/>
      <c r="K259" s="275"/>
      <c r="L259" s="275"/>
      <c r="M259" s="275"/>
      <c r="N259" s="275"/>
      <c r="O259" s="275"/>
      <c r="P259" s="275"/>
      <c r="Q259" s="275"/>
      <c r="R259" s="275"/>
      <c r="S259" s="275"/>
      <c r="T259" s="275"/>
    </row>
    <row r="260" spans="3:20">
      <c r="C260" s="275"/>
      <c r="D260" s="275"/>
      <c r="E260" s="275"/>
      <c r="F260" s="275"/>
      <c r="G260" s="275"/>
      <c r="H260" s="275"/>
      <c r="I260" s="275"/>
      <c r="J260" s="275"/>
      <c r="K260" s="275"/>
      <c r="L260" s="275"/>
      <c r="M260" s="275"/>
      <c r="N260" s="275"/>
      <c r="O260" s="275"/>
      <c r="P260" s="275"/>
      <c r="Q260" s="275"/>
      <c r="R260" s="275"/>
      <c r="S260" s="275"/>
      <c r="T260" s="275"/>
    </row>
    <row r="261" spans="3:20">
      <c r="C261" s="275"/>
      <c r="D261" s="275"/>
      <c r="E261" s="275"/>
      <c r="F261" s="275"/>
      <c r="G261" s="275"/>
      <c r="H261" s="275"/>
      <c r="I261" s="275"/>
      <c r="J261" s="275"/>
      <c r="K261" s="275"/>
      <c r="L261" s="275"/>
      <c r="M261" s="275"/>
      <c r="N261" s="275"/>
      <c r="O261" s="275"/>
      <c r="P261" s="275"/>
      <c r="Q261" s="275"/>
      <c r="R261" s="275"/>
      <c r="S261" s="275"/>
      <c r="T261" s="275"/>
    </row>
    <row r="262" spans="3:20">
      <c r="C262" s="275"/>
      <c r="D262" s="275"/>
      <c r="E262" s="275"/>
      <c r="F262" s="275"/>
      <c r="G262" s="275"/>
      <c r="H262" s="275"/>
      <c r="I262" s="275"/>
      <c r="J262" s="275"/>
      <c r="K262" s="275"/>
      <c r="L262" s="275"/>
      <c r="M262" s="275"/>
      <c r="N262" s="275"/>
      <c r="O262" s="275"/>
      <c r="P262" s="275"/>
      <c r="Q262" s="275"/>
      <c r="R262" s="275"/>
      <c r="S262" s="275"/>
      <c r="T262" s="275"/>
    </row>
    <row r="263" spans="3:20">
      <c r="C263" s="275"/>
      <c r="D263" s="275"/>
      <c r="E263" s="275"/>
      <c r="F263" s="275"/>
      <c r="G263" s="275"/>
      <c r="H263" s="275"/>
      <c r="I263" s="275"/>
      <c r="J263" s="275"/>
      <c r="K263" s="275"/>
      <c r="L263" s="275"/>
      <c r="M263" s="275"/>
      <c r="N263" s="275"/>
      <c r="O263" s="275"/>
      <c r="P263" s="275"/>
      <c r="Q263" s="275"/>
      <c r="R263" s="275"/>
      <c r="S263" s="275"/>
      <c r="T263" s="275"/>
    </row>
    <row r="264" spans="3:20">
      <c r="C264" s="275"/>
      <c r="D264" s="275"/>
      <c r="E264" s="275"/>
      <c r="F264" s="275"/>
      <c r="G264" s="275"/>
      <c r="H264" s="275"/>
      <c r="I264" s="275"/>
      <c r="J264" s="275"/>
      <c r="K264" s="275"/>
      <c r="L264" s="275"/>
      <c r="M264" s="275"/>
      <c r="N264" s="275"/>
      <c r="O264" s="275"/>
      <c r="P264" s="275"/>
      <c r="Q264" s="275"/>
      <c r="R264" s="275"/>
      <c r="S264" s="275"/>
      <c r="T264" s="275"/>
    </row>
    <row r="265" spans="3:20">
      <c r="C265" s="275"/>
      <c r="D265" s="275"/>
      <c r="E265" s="275"/>
      <c r="F265" s="275"/>
      <c r="G265" s="275"/>
      <c r="H265" s="275"/>
      <c r="I265" s="275"/>
      <c r="J265" s="275"/>
      <c r="K265" s="275"/>
      <c r="L265" s="275"/>
      <c r="M265" s="275"/>
      <c r="N265" s="275"/>
      <c r="O265" s="275"/>
      <c r="P265" s="275"/>
      <c r="Q265" s="275"/>
      <c r="R265" s="275"/>
      <c r="S265" s="275"/>
      <c r="T265" s="275"/>
    </row>
    <row r="266" spans="3:20">
      <c r="C266" s="275"/>
      <c r="D266" s="275"/>
      <c r="E266" s="275"/>
      <c r="F266" s="275"/>
      <c r="G266" s="275"/>
      <c r="H266" s="275"/>
      <c r="I266" s="275"/>
      <c r="J266" s="275"/>
      <c r="K266" s="275"/>
      <c r="L266" s="275"/>
      <c r="M266" s="275"/>
      <c r="N266" s="275"/>
      <c r="O266" s="275"/>
      <c r="P266" s="275"/>
      <c r="Q266" s="275"/>
      <c r="R266" s="275"/>
      <c r="S266" s="275"/>
      <c r="T266" s="275"/>
    </row>
    <row r="267" spans="3:20">
      <c r="C267" s="275"/>
      <c r="D267" s="275"/>
      <c r="E267" s="275"/>
      <c r="F267" s="275"/>
      <c r="G267" s="275"/>
      <c r="H267" s="275"/>
      <c r="I267" s="275"/>
      <c r="J267" s="275"/>
      <c r="K267" s="275"/>
      <c r="L267" s="275"/>
      <c r="M267" s="275"/>
      <c r="N267" s="275"/>
      <c r="O267" s="275"/>
      <c r="P267" s="275"/>
      <c r="Q267" s="275"/>
      <c r="R267" s="275"/>
      <c r="S267" s="275"/>
      <c r="T267" s="275"/>
    </row>
    <row r="268" spans="3:20">
      <c r="C268" s="275"/>
      <c r="D268" s="275"/>
      <c r="E268" s="275"/>
      <c r="F268" s="275"/>
      <c r="G268" s="275"/>
      <c r="H268" s="275"/>
      <c r="I268" s="275"/>
      <c r="J268" s="275"/>
      <c r="K268" s="275"/>
      <c r="L268" s="275"/>
      <c r="M268" s="275"/>
      <c r="N268" s="275"/>
      <c r="O268" s="275"/>
      <c r="P268" s="275"/>
      <c r="Q268" s="275"/>
      <c r="R268" s="275"/>
      <c r="S268" s="275"/>
      <c r="T268" s="275"/>
    </row>
    <row r="269" spans="3:20">
      <c r="C269" s="275"/>
      <c r="D269" s="275"/>
      <c r="E269" s="275"/>
      <c r="F269" s="275"/>
      <c r="G269" s="275"/>
      <c r="H269" s="275"/>
      <c r="I269" s="275"/>
      <c r="J269" s="275"/>
      <c r="K269" s="275"/>
      <c r="L269" s="275"/>
      <c r="M269" s="275"/>
      <c r="N269" s="275"/>
      <c r="O269" s="275"/>
      <c r="P269" s="275"/>
      <c r="Q269" s="275"/>
      <c r="R269" s="275"/>
      <c r="S269" s="275"/>
      <c r="T269" s="275"/>
    </row>
    <row r="270" spans="3:20">
      <c r="C270" s="275"/>
      <c r="D270" s="275"/>
      <c r="E270" s="275"/>
      <c r="F270" s="275"/>
      <c r="G270" s="275"/>
      <c r="H270" s="275"/>
      <c r="I270" s="275"/>
      <c r="J270" s="275"/>
      <c r="K270" s="275"/>
      <c r="L270" s="275"/>
      <c r="M270" s="275"/>
      <c r="N270" s="275"/>
      <c r="O270" s="275"/>
      <c r="P270" s="275"/>
      <c r="Q270" s="275"/>
      <c r="R270" s="275"/>
      <c r="S270" s="275"/>
      <c r="T270" s="275"/>
    </row>
    <row r="271" spans="3:20">
      <c r="C271" s="275"/>
      <c r="D271" s="275"/>
      <c r="E271" s="275"/>
      <c r="F271" s="275"/>
      <c r="G271" s="275"/>
      <c r="H271" s="275"/>
      <c r="I271" s="275"/>
      <c r="J271" s="275"/>
      <c r="K271" s="275"/>
      <c r="L271" s="275"/>
      <c r="M271" s="275"/>
      <c r="N271" s="275"/>
      <c r="O271" s="275"/>
      <c r="P271" s="275"/>
      <c r="Q271" s="275"/>
      <c r="R271" s="275"/>
      <c r="S271" s="275"/>
      <c r="T271" s="275"/>
    </row>
    <row r="272" spans="3:20">
      <c r="C272" s="275"/>
      <c r="D272" s="275"/>
      <c r="E272" s="275"/>
      <c r="F272" s="275"/>
      <c r="G272" s="275"/>
      <c r="H272" s="275"/>
      <c r="I272" s="275"/>
      <c r="J272" s="275"/>
      <c r="K272" s="275"/>
      <c r="L272" s="275"/>
      <c r="M272" s="275"/>
      <c r="N272" s="275"/>
      <c r="O272" s="275"/>
      <c r="P272" s="275"/>
      <c r="Q272" s="275"/>
      <c r="R272" s="275"/>
      <c r="S272" s="275"/>
      <c r="T272" s="275"/>
    </row>
    <row r="273" spans="3:20">
      <c r="C273" s="275"/>
      <c r="D273" s="275"/>
      <c r="E273" s="275"/>
      <c r="F273" s="275"/>
      <c r="G273" s="275"/>
      <c r="H273" s="275"/>
      <c r="I273" s="275"/>
      <c r="J273" s="275"/>
      <c r="K273" s="275"/>
      <c r="L273" s="275"/>
      <c r="M273" s="275"/>
      <c r="N273" s="275"/>
      <c r="O273" s="275"/>
      <c r="P273" s="275"/>
      <c r="Q273" s="275"/>
      <c r="R273" s="275"/>
      <c r="S273" s="275"/>
      <c r="T273" s="275"/>
    </row>
    <row r="274" spans="3:20">
      <c r="C274" s="275"/>
      <c r="D274" s="275"/>
      <c r="E274" s="275"/>
      <c r="F274" s="275"/>
      <c r="G274" s="275"/>
      <c r="H274" s="275"/>
      <c r="I274" s="275"/>
      <c r="J274" s="275"/>
      <c r="K274" s="275"/>
      <c r="L274" s="275"/>
      <c r="M274" s="275"/>
      <c r="N274" s="275"/>
      <c r="O274" s="275"/>
      <c r="P274" s="275"/>
      <c r="Q274" s="275"/>
      <c r="R274" s="275"/>
      <c r="S274" s="275"/>
      <c r="T274" s="275"/>
    </row>
    <row r="275" spans="3:20">
      <c r="C275" s="275"/>
      <c r="D275" s="275"/>
      <c r="E275" s="275"/>
      <c r="F275" s="275"/>
      <c r="G275" s="275"/>
      <c r="H275" s="275"/>
      <c r="I275" s="275"/>
      <c r="J275" s="275"/>
      <c r="K275" s="275"/>
      <c r="L275" s="275"/>
      <c r="M275" s="275"/>
      <c r="N275" s="275"/>
      <c r="O275" s="275"/>
      <c r="P275" s="275"/>
      <c r="Q275" s="275"/>
      <c r="R275" s="275"/>
      <c r="S275" s="275"/>
      <c r="T275" s="275"/>
    </row>
    <row r="276" spans="3:20">
      <c r="C276" s="275"/>
      <c r="D276" s="275"/>
      <c r="E276" s="275"/>
      <c r="F276" s="275"/>
      <c r="G276" s="275"/>
      <c r="H276" s="275"/>
      <c r="I276" s="275"/>
      <c r="J276" s="275"/>
      <c r="K276" s="275"/>
      <c r="L276" s="275"/>
      <c r="M276" s="275"/>
      <c r="N276" s="275"/>
      <c r="O276" s="275"/>
      <c r="P276" s="275"/>
      <c r="Q276" s="275"/>
      <c r="R276" s="275"/>
      <c r="S276" s="275"/>
      <c r="T276" s="275"/>
    </row>
    <row r="277" spans="3:20">
      <c r="C277" s="275"/>
      <c r="D277" s="275"/>
      <c r="E277" s="275"/>
      <c r="F277" s="275"/>
      <c r="G277" s="275"/>
      <c r="H277" s="275"/>
      <c r="I277" s="275"/>
      <c r="J277" s="275"/>
      <c r="K277" s="275"/>
      <c r="L277" s="275"/>
      <c r="M277" s="275"/>
      <c r="N277" s="275"/>
      <c r="O277" s="275"/>
      <c r="P277" s="275"/>
      <c r="Q277" s="275"/>
      <c r="R277" s="275"/>
      <c r="S277" s="275"/>
      <c r="T277" s="275"/>
    </row>
    <row r="278" spans="3:20">
      <c r="C278" s="275"/>
      <c r="D278" s="275"/>
      <c r="E278" s="275"/>
      <c r="F278" s="275"/>
      <c r="G278" s="275"/>
      <c r="H278" s="275"/>
      <c r="I278" s="275"/>
      <c r="J278" s="275"/>
      <c r="K278" s="275"/>
      <c r="L278" s="275"/>
      <c r="M278" s="275"/>
      <c r="N278" s="275"/>
      <c r="O278" s="275"/>
      <c r="P278" s="275"/>
      <c r="Q278" s="275"/>
      <c r="R278" s="275"/>
      <c r="S278" s="275"/>
      <c r="T278" s="275"/>
    </row>
    <row r="279" spans="3:20">
      <c r="C279" s="275"/>
      <c r="D279" s="275"/>
      <c r="E279" s="275"/>
      <c r="F279" s="275"/>
      <c r="G279" s="275"/>
      <c r="H279" s="275"/>
      <c r="I279" s="275"/>
      <c r="J279" s="275"/>
      <c r="K279" s="275"/>
      <c r="L279" s="275"/>
      <c r="M279" s="275"/>
      <c r="N279" s="275"/>
      <c r="O279" s="275"/>
      <c r="P279" s="275"/>
      <c r="Q279" s="275"/>
      <c r="R279" s="275"/>
      <c r="S279" s="275"/>
      <c r="T279" s="275"/>
    </row>
    <row r="280" spans="3:20">
      <c r="C280" s="275"/>
      <c r="D280" s="275"/>
      <c r="E280" s="275"/>
      <c r="F280" s="275"/>
      <c r="G280" s="275"/>
      <c r="H280" s="275"/>
      <c r="I280" s="275"/>
      <c r="J280" s="275"/>
      <c r="K280" s="275"/>
      <c r="L280" s="275"/>
      <c r="M280" s="275"/>
      <c r="N280" s="275"/>
      <c r="O280" s="275"/>
      <c r="P280" s="275"/>
      <c r="Q280" s="275"/>
      <c r="R280" s="275"/>
      <c r="S280" s="275"/>
      <c r="T280" s="275"/>
    </row>
    <row r="281" spans="3:20">
      <c r="C281" s="275"/>
      <c r="D281" s="275"/>
      <c r="E281" s="275"/>
      <c r="F281" s="275"/>
      <c r="G281" s="275"/>
      <c r="H281" s="275"/>
      <c r="I281" s="275"/>
      <c r="J281" s="275"/>
      <c r="K281" s="275"/>
      <c r="L281" s="275"/>
      <c r="M281" s="275"/>
      <c r="N281" s="275"/>
      <c r="O281" s="275"/>
      <c r="P281" s="275"/>
      <c r="Q281" s="275"/>
      <c r="R281" s="275"/>
      <c r="S281" s="275"/>
      <c r="T281" s="275"/>
    </row>
    <row r="282" spans="3:20">
      <c r="C282" s="275"/>
      <c r="D282" s="275"/>
      <c r="E282" s="275"/>
      <c r="F282" s="275"/>
      <c r="G282" s="275"/>
      <c r="H282" s="275"/>
      <c r="I282" s="275"/>
      <c r="J282" s="275"/>
      <c r="K282" s="275"/>
      <c r="L282" s="275"/>
      <c r="M282" s="275"/>
      <c r="N282" s="275"/>
      <c r="O282" s="275"/>
      <c r="P282" s="275"/>
      <c r="Q282" s="275"/>
      <c r="R282" s="275"/>
      <c r="S282" s="275"/>
      <c r="T282" s="275"/>
    </row>
    <row r="283" spans="3:20">
      <c r="C283" s="275"/>
      <c r="D283" s="275"/>
      <c r="E283" s="275"/>
      <c r="F283" s="275"/>
      <c r="G283" s="275"/>
      <c r="H283" s="275"/>
      <c r="I283" s="275"/>
      <c r="J283" s="275"/>
      <c r="K283" s="275"/>
      <c r="L283" s="275"/>
      <c r="M283" s="275"/>
      <c r="N283" s="275"/>
      <c r="O283" s="275"/>
      <c r="P283" s="275"/>
      <c r="Q283" s="275"/>
      <c r="R283" s="275"/>
      <c r="S283" s="275"/>
      <c r="T283" s="275"/>
    </row>
    <row r="284" spans="3:20">
      <c r="C284" s="275"/>
      <c r="D284" s="275"/>
      <c r="E284" s="275"/>
      <c r="F284" s="275"/>
      <c r="G284" s="275"/>
      <c r="H284" s="275"/>
      <c r="I284" s="275"/>
      <c r="J284" s="275"/>
      <c r="K284" s="275"/>
      <c r="L284" s="275"/>
      <c r="M284" s="275"/>
      <c r="N284" s="275"/>
      <c r="O284" s="275"/>
      <c r="P284" s="275"/>
      <c r="Q284" s="275"/>
      <c r="R284" s="275"/>
      <c r="S284" s="275"/>
      <c r="T284" s="275"/>
    </row>
    <row r="285" spans="3:20">
      <c r="C285" s="275"/>
      <c r="D285" s="275"/>
      <c r="E285" s="275"/>
      <c r="F285" s="275"/>
      <c r="G285" s="275"/>
      <c r="H285" s="275"/>
      <c r="I285" s="275"/>
      <c r="J285" s="275"/>
      <c r="K285" s="275"/>
      <c r="L285" s="275"/>
      <c r="M285" s="275"/>
      <c r="N285" s="275"/>
      <c r="O285" s="275"/>
      <c r="P285" s="275"/>
      <c r="Q285" s="275"/>
      <c r="R285" s="275"/>
      <c r="S285" s="275"/>
      <c r="T285" s="275"/>
    </row>
    <row r="286" spans="3:20">
      <c r="C286" s="275"/>
      <c r="D286" s="275"/>
      <c r="E286" s="275"/>
      <c r="F286" s="275"/>
      <c r="G286" s="275"/>
      <c r="H286" s="275"/>
      <c r="I286" s="275"/>
      <c r="J286" s="275"/>
      <c r="K286" s="275"/>
      <c r="L286" s="275"/>
      <c r="M286" s="275"/>
      <c r="N286" s="275"/>
      <c r="O286" s="275"/>
      <c r="P286" s="275"/>
      <c r="Q286" s="275"/>
      <c r="R286" s="275"/>
      <c r="S286" s="275"/>
      <c r="T286" s="275"/>
    </row>
    <row r="287" spans="3:20">
      <c r="C287" s="275"/>
      <c r="D287" s="275"/>
      <c r="E287" s="275"/>
      <c r="F287" s="275"/>
      <c r="G287" s="275"/>
      <c r="H287" s="275"/>
      <c r="I287" s="275"/>
      <c r="J287" s="275"/>
      <c r="K287" s="275"/>
      <c r="L287" s="275"/>
      <c r="M287" s="275"/>
      <c r="N287" s="275"/>
      <c r="O287" s="275"/>
      <c r="P287" s="275"/>
      <c r="Q287" s="275"/>
      <c r="R287" s="275"/>
      <c r="S287" s="275"/>
      <c r="T287" s="275"/>
    </row>
    <row r="288" spans="3:20">
      <c r="C288" s="275"/>
      <c r="D288" s="275"/>
      <c r="E288" s="275"/>
      <c r="F288" s="275"/>
      <c r="G288" s="275"/>
      <c r="H288" s="275"/>
      <c r="I288" s="275"/>
      <c r="J288" s="275"/>
      <c r="K288" s="275"/>
      <c r="L288" s="275"/>
      <c r="M288" s="275"/>
      <c r="N288" s="275"/>
      <c r="O288" s="275"/>
      <c r="P288" s="275"/>
      <c r="Q288" s="275"/>
      <c r="R288" s="275"/>
      <c r="S288" s="275"/>
      <c r="T288" s="275"/>
    </row>
    <row r="289" spans="3:20">
      <c r="C289" s="275"/>
      <c r="D289" s="275"/>
      <c r="E289" s="275"/>
      <c r="F289" s="275"/>
      <c r="G289" s="275"/>
      <c r="H289" s="275"/>
      <c r="I289" s="275"/>
      <c r="J289" s="275"/>
      <c r="K289" s="275"/>
      <c r="L289" s="275"/>
      <c r="M289" s="275"/>
      <c r="N289" s="275"/>
      <c r="O289" s="275"/>
      <c r="P289" s="275"/>
      <c r="Q289" s="275"/>
      <c r="R289" s="275"/>
      <c r="S289" s="275"/>
      <c r="T289" s="275"/>
    </row>
    <row r="290" spans="3:20">
      <c r="C290" s="275"/>
      <c r="D290" s="275"/>
      <c r="E290" s="275"/>
      <c r="F290" s="275"/>
      <c r="G290" s="275"/>
      <c r="H290" s="275"/>
      <c r="I290" s="275"/>
      <c r="J290" s="275"/>
      <c r="K290" s="275"/>
      <c r="L290" s="275"/>
      <c r="M290" s="275"/>
      <c r="N290" s="275"/>
      <c r="O290" s="275"/>
      <c r="P290" s="275"/>
      <c r="Q290" s="275"/>
      <c r="R290" s="275"/>
      <c r="S290" s="275"/>
      <c r="T290" s="275"/>
    </row>
    <row r="291" spans="3:20">
      <c r="C291" s="275"/>
      <c r="D291" s="275"/>
      <c r="E291" s="275"/>
      <c r="F291" s="275"/>
      <c r="G291" s="275"/>
      <c r="H291" s="275"/>
      <c r="I291" s="275"/>
      <c r="J291" s="275"/>
      <c r="K291" s="275"/>
      <c r="L291" s="275"/>
      <c r="M291" s="275"/>
      <c r="N291" s="275"/>
      <c r="O291" s="275"/>
      <c r="P291" s="275"/>
      <c r="Q291" s="275"/>
      <c r="R291" s="275"/>
      <c r="S291" s="275"/>
      <c r="T291" s="275"/>
    </row>
    <row r="292" spans="3:20">
      <c r="C292" s="275"/>
      <c r="D292" s="275"/>
      <c r="E292" s="275"/>
      <c r="F292" s="275"/>
      <c r="G292" s="275"/>
      <c r="H292" s="275"/>
      <c r="I292" s="275"/>
      <c r="J292" s="275"/>
      <c r="K292" s="275"/>
      <c r="L292" s="275"/>
      <c r="M292" s="275"/>
      <c r="N292" s="275"/>
      <c r="O292" s="275"/>
      <c r="P292" s="275"/>
      <c r="Q292" s="275"/>
      <c r="R292" s="275"/>
      <c r="S292" s="275"/>
      <c r="T292" s="275"/>
    </row>
    <row r="293" spans="3:20">
      <c r="C293" s="275"/>
      <c r="D293" s="275"/>
      <c r="E293" s="275"/>
      <c r="F293" s="275"/>
      <c r="G293" s="275"/>
      <c r="H293" s="275"/>
      <c r="I293" s="275"/>
      <c r="J293" s="275"/>
      <c r="K293" s="275"/>
      <c r="L293" s="275"/>
      <c r="M293" s="275"/>
      <c r="N293" s="275"/>
      <c r="O293" s="275"/>
      <c r="P293" s="275"/>
      <c r="Q293" s="275"/>
      <c r="R293" s="275"/>
      <c r="S293" s="275"/>
      <c r="T293" s="275"/>
    </row>
    <row r="294" spans="3:20">
      <c r="C294" s="275"/>
      <c r="D294" s="275"/>
      <c r="E294" s="275"/>
      <c r="F294" s="275"/>
      <c r="G294" s="275"/>
      <c r="H294" s="275"/>
      <c r="I294" s="275"/>
      <c r="J294" s="275"/>
      <c r="K294" s="275"/>
      <c r="L294" s="275"/>
      <c r="M294" s="275"/>
      <c r="N294" s="275"/>
      <c r="O294" s="275"/>
      <c r="P294" s="275"/>
      <c r="Q294" s="275"/>
      <c r="R294" s="275"/>
      <c r="S294" s="275"/>
      <c r="T294" s="275"/>
    </row>
    <row r="295" spans="3:20">
      <c r="C295" s="275"/>
      <c r="D295" s="275"/>
      <c r="E295" s="275"/>
      <c r="F295" s="275"/>
      <c r="G295" s="275"/>
      <c r="H295" s="275"/>
      <c r="I295" s="275"/>
      <c r="J295" s="275"/>
      <c r="K295" s="275"/>
      <c r="L295" s="275"/>
      <c r="M295" s="275"/>
      <c r="N295" s="275"/>
      <c r="O295" s="275"/>
      <c r="P295" s="275"/>
      <c r="Q295" s="275"/>
      <c r="R295" s="275"/>
      <c r="S295" s="275"/>
      <c r="T295" s="275"/>
    </row>
    <row r="296" spans="3:20">
      <c r="C296" s="275"/>
      <c r="D296" s="275"/>
      <c r="E296" s="275"/>
      <c r="F296" s="275"/>
      <c r="G296" s="275"/>
      <c r="H296" s="275"/>
      <c r="I296" s="275"/>
      <c r="J296" s="275"/>
      <c r="K296" s="275"/>
      <c r="L296" s="275"/>
      <c r="M296" s="275"/>
      <c r="N296" s="275"/>
      <c r="O296" s="275"/>
      <c r="P296" s="275"/>
      <c r="Q296" s="275"/>
      <c r="R296" s="275"/>
      <c r="S296" s="275"/>
      <c r="T296" s="275"/>
    </row>
    <row r="297" spans="3:20">
      <c r="C297" s="275"/>
      <c r="D297" s="275"/>
      <c r="E297" s="275"/>
      <c r="F297" s="275"/>
      <c r="G297" s="275"/>
      <c r="H297" s="275"/>
      <c r="I297" s="275"/>
      <c r="J297" s="275"/>
      <c r="K297" s="275"/>
      <c r="L297" s="275"/>
      <c r="M297" s="275"/>
      <c r="N297" s="275"/>
      <c r="O297" s="275"/>
      <c r="P297" s="275"/>
      <c r="Q297" s="275"/>
      <c r="R297" s="275"/>
      <c r="S297" s="275"/>
      <c r="T297" s="275"/>
    </row>
    <row r="298" spans="3:20">
      <c r="C298" s="275"/>
      <c r="D298" s="275"/>
      <c r="E298" s="275"/>
      <c r="F298" s="275"/>
      <c r="G298" s="275"/>
      <c r="H298" s="275"/>
      <c r="I298" s="275"/>
      <c r="J298" s="275"/>
      <c r="K298" s="275"/>
      <c r="L298" s="275"/>
      <c r="M298" s="275"/>
      <c r="N298" s="275"/>
      <c r="O298" s="275"/>
      <c r="P298" s="275"/>
      <c r="Q298" s="275"/>
      <c r="R298" s="275"/>
      <c r="S298" s="275"/>
      <c r="T298" s="275"/>
    </row>
    <row r="299" spans="3:20">
      <c r="C299" s="275"/>
      <c r="D299" s="275"/>
      <c r="E299" s="275"/>
      <c r="F299" s="275"/>
      <c r="G299" s="275"/>
      <c r="H299" s="275"/>
      <c r="I299" s="275"/>
      <c r="J299" s="275"/>
      <c r="K299" s="275"/>
      <c r="L299" s="275"/>
      <c r="M299" s="275"/>
      <c r="N299" s="275"/>
      <c r="O299" s="275"/>
      <c r="P299" s="275"/>
      <c r="Q299" s="275"/>
      <c r="R299" s="275"/>
      <c r="S299" s="275"/>
      <c r="T299" s="275"/>
    </row>
    <row r="300" spans="3:20">
      <c r="C300" s="275"/>
      <c r="D300" s="275"/>
      <c r="E300" s="275"/>
      <c r="F300" s="275"/>
      <c r="G300" s="275"/>
      <c r="H300" s="275"/>
      <c r="I300" s="275"/>
      <c r="J300" s="275"/>
      <c r="K300" s="275"/>
      <c r="L300" s="275"/>
      <c r="M300" s="275"/>
      <c r="N300" s="275"/>
      <c r="O300" s="275"/>
      <c r="P300" s="275"/>
      <c r="Q300" s="275"/>
      <c r="R300" s="275"/>
      <c r="S300" s="275"/>
      <c r="T300" s="275"/>
    </row>
    <row r="301" spans="3:20">
      <c r="C301" s="275"/>
      <c r="D301" s="275"/>
      <c r="E301" s="275"/>
      <c r="F301" s="275"/>
      <c r="G301" s="275"/>
      <c r="H301" s="275"/>
      <c r="I301" s="275"/>
      <c r="J301" s="275"/>
      <c r="K301" s="275"/>
      <c r="L301" s="275"/>
      <c r="M301" s="275"/>
      <c r="N301" s="275"/>
      <c r="O301" s="275"/>
      <c r="P301" s="275"/>
      <c r="Q301" s="275"/>
      <c r="R301" s="275"/>
      <c r="S301" s="275"/>
      <c r="T301" s="275"/>
    </row>
    <row r="302" spans="3:20">
      <c r="C302" s="275"/>
      <c r="D302" s="275"/>
      <c r="E302" s="275"/>
      <c r="F302" s="275"/>
      <c r="G302" s="275"/>
      <c r="H302" s="275"/>
      <c r="I302" s="275"/>
      <c r="J302" s="275"/>
      <c r="K302" s="275"/>
      <c r="L302" s="275"/>
      <c r="M302" s="275"/>
      <c r="N302" s="275"/>
      <c r="O302" s="275"/>
      <c r="P302" s="275"/>
      <c r="Q302" s="275"/>
      <c r="R302" s="275"/>
      <c r="S302" s="275"/>
      <c r="T302" s="275"/>
    </row>
    <row r="303" spans="3:20">
      <c r="C303" s="275"/>
      <c r="D303" s="275"/>
      <c r="E303" s="275"/>
      <c r="F303" s="275"/>
      <c r="G303" s="275"/>
      <c r="H303" s="275"/>
      <c r="I303" s="275"/>
      <c r="J303" s="275"/>
      <c r="K303" s="275"/>
      <c r="L303" s="275"/>
      <c r="M303" s="275"/>
      <c r="N303" s="275"/>
      <c r="O303" s="275"/>
      <c r="P303" s="275"/>
      <c r="Q303" s="275"/>
      <c r="R303" s="275"/>
      <c r="S303" s="275"/>
      <c r="T303" s="275"/>
    </row>
    <row r="304" spans="3:20">
      <c r="C304" s="275"/>
      <c r="D304" s="275"/>
      <c r="E304" s="275"/>
      <c r="F304" s="275"/>
      <c r="G304" s="275"/>
      <c r="H304" s="275"/>
      <c r="I304" s="275"/>
      <c r="J304" s="275"/>
      <c r="K304" s="275"/>
      <c r="L304" s="275"/>
      <c r="M304" s="275"/>
      <c r="N304" s="275"/>
      <c r="O304" s="275"/>
      <c r="P304" s="275"/>
      <c r="Q304" s="275"/>
      <c r="R304" s="275"/>
      <c r="S304" s="275"/>
      <c r="T304" s="275"/>
    </row>
    <row r="305" spans="3:20">
      <c r="C305" s="275"/>
      <c r="D305" s="275"/>
      <c r="E305" s="275"/>
      <c r="F305" s="275"/>
      <c r="G305" s="275"/>
      <c r="H305" s="275"/>
      <c r="I305" s="275"/>
      <c r="J305" s="275"/>
      <c r="K305" s="275"/>
      <c r="L305" s="275"/>
      <c r="M305" s="275"/>
      <c r="N305" s="275"/>
      <c r="O305" s="275"/>
      <c r="P305" s="275"/>
      <c r="Q305" s="275"/>
      <c r="R305" s="275"/>
      <c r="S305" s="275"/>
      <c r="T305" s="275"/>
    </row>
    <row r="306" spans="3:20">
      <c r="C306" s="275"/>
      <c r="D306" s="275"/>
      <c r="E306" s="275"/>
      <c r="F306" s="275"/>
      <c r="G306" s="275"/>
      <c r="H306" s="275"/>
      <c r="I306" s="275"/>
      <c r="J306" s="275"/>
      <c r="K306" s="275"/>
      <c r="L306" s="275"/>
      <c r="M306" s="275"/>
      <c r="N306" s="275"/>
      <c r="O306" s="275"/>
      <c r="P306" s="275"/>
      <c r="Q306" s="275"/>
      <c r="R306" s="275"/>
      <c r="S306" s="275"/>
      <c r="T306" s="275"/>
    </row>
    <row r="307" spans="3:20">
      <c r="C307" s="275"/>
      <c r="D307" s="275"/>
      <c r="E307" s="275"/>
      <c r="F307" s="275"/>
      <c r="G307" s="275"/>
      <c r="H307" s="275"/>
      <c r="I307" s="275"/>
      <c r="J307" s="275"/>
      <c r="K307" s="275"/>
      <c r="L307" s="275"/>
      <c r="M307" s="275"/>
      <c r="N307" s="275"/>
      <c r="O307" s="275"/>
    </row>
    <row r="308" spans="3:20">
      <c r="C308" s="275"/>
      <c r="D308" s="275"/>
      <c r="E308" s="275"/>
      <c r="F308" s="275"/>
      <c r="G308" s="275"/>
      <c r="H308" s="275"/>
      <c r="I308" s="275"/>
      <c r="J308" s="275"/>
      <c r="K308" s="275"/>
      <c r="L308" s="275"/>
      <c r="M308" s="275"/>
      <c r="N308" s="275"/>
      <c r="O308" s="275"/>
    </row>
    <row r="309" spans="3:20">
      <c r="C309" s="275"/>
      <c r="D309" s="275"/>
      <c r="E309" s="275"/>
      <c r="F309" s="275"/>
      <c r="G309" s="275"/>
      <c r="H309" s="275"/>
      <c r="I309" s="275"/>
      <c r="J309" s="275"/>
      <c r="K309" s="275"/>
      <c r="L309" s="275"/>
      <c r="M309" s="275"/>
      <c r="N309" s="275"/>
      <c r="O309" s="275"/>
    </row>
    <row r="310" spans="3:20">
      <c r="C310" s="275"/>
      <c r="D310" s="275"/>
      <c r="E310" s="275"/>
      <c r="F310" s="275"/>
      <c r="G310" s="275"/>
      <c r="H310" s="275"/>
      <c r="I310" s="275"/>
      <c r="J310" s="275"/>
      <c r="K310" s="275"/>
      <c r="L310" s="275"/>
      <c r="M310" s="275"/>
      <c r="N310" s="275"/>
      <c r="O310" s="275"/>
    </row>
    <row r="311" spans="3:20">
      <c r="C311" s="275"/>
      <c r="D311" s="275"/>
      <c r="E311" s="275"/>
      <c r="F311" s="275"/>
      <c r="G311" s="275"/>
      <c r="H311" s="275"/>
      <c r="I311" s="275"/>
      <c r="J311" s="275"/>
      <c r="K311" s="275"/>
      <c r="L311" s="275"/>
      <c r="M311" s="275"/>
      <c r="N311" s="275"/>
      <c r="O311" s="275"/>
    </row>
    <row r="312" spans="3:20">
      <c r="C312" s="275"/>
      <c r="D312" s="275"/>
      <c r="E312" s="275"/>
      <c r="F312" s="275"/>
      <c r="G312" s="275"/>
      <c r="H312" s="275"/>
      <c r="I312" s="275"/>
      <c r="J312" s="275"/>
      <c r="K312" s="275"/>
      <c r="L312" s="275"/>
      <c r="M312" s="275"/>
      <c r="N312" s="275"/>
      <c r="O312" s="275"/>
    </row>
    <row r="313" spans="3:20">
      <c r="C313" s="275"/>
      <c r="D313" s="275"/>
      <c r="E313" s="275"/>
      <c r="F313" s="275"/>
      <c r="G313" s="275"/>
      <c r="H313" s="275"/>
      <c r="I313" s="275"/>
      <c r="J313" s="275"/>
      <c r="K313" s="275"/>
      <c r="L313" s="275"/>
      <c r="M313" s="275"/>
      <c r="N313" s="275"/>
      <c r="O313" s="275"/>
    </row>
    <row r="314" spans="3:20">
      <c r="C314" s="275"/>
      <c r="D314" s="275"/>
      <c r="E314" s="275"/>
      <c r="F314" s="275"/>
      <c r="G314" s="275"/>
      <c r="H314" s="275"/>
      <c r="I314" s="275"/>
      <c r="J314" s="275"/>
      <c r="K314" s="275"/>
      <c r="L314" s="275"/>
      <c r="M314" s="275"/>
      <c r="N314" s="275"/>
      <c r="O314" s="275"/>
    </row>
  </sheetData>
  <mergeCells count="10">
    <mergeCell ref="C114:O114"/>
    <mergeCell ref="C115:O115"/>
    <mergeCell ref="C116:O116"/>
    <mergeCell ref="C117:O117"/>
    <mergeCell ref="C108:O108"/>
    <mergeCell ref="C109:O109"/>
    <mergeCell ref="C110:O110"/>
    <mergeCell ref="C111:O111"/>
    <mergeCell ref="C112:O112"/>
    <mergeCell ref="C113:O113"/>
  </mergeCells>
  <printOptions horizontalCentered="1"/>
  <pageMargins left="0.32" right="0.3" top="0.77" bottom="0.75" header="0.5" footer="0.5"/>
  <pageSetup scale="44" fitToHeight="0" orientation="landscape" r:id="rId1"/>
  <headerFooter alignWithMargins="0">
    <oddFooter>&amp;RV31
EFF 10.18.14</oddFooter>
  </headerFooter>
  <rowBreaks count="1" manualBreakCount="1">
    <brk id="5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
  <sheetViews>
    <sheetView zoomScale="80" zoomScaleNormal="80" zoomScaleSheetLayoutView="85" workbookViewId="0">
      <pane xSplit="2" ySplit="10" topLeftCell="C11" activePane="bottomRight" state="frozen"/>
      <selection activeCell="B15" sqref="B15"/>
      <selection pane="topRight" activeCell="B15" sqref="B15"/>
      <selection pane="bottomLeft" activeCell="B15" sqref="B15"/>
      <selection pane="bottomRight" activeCell="C11" sqref="C11"/>
    </sheetView>
  </sheetViews>
  <sheetFormatPr defaultColWidth="9.140625" defaultRowHeight="12.75"/>
  <cols>
    <col min="1" max="1" width="21.28515625" style="360" customWidth="1"/>
    <col min="2" max="2" width="32.85546875" style="360" customWidth="1"/>
    <col min="3" max="10" width="13.85546875" style="361" customWidth="1"/>
    <col min="11" max="11" width="13.85546875" style="362" customWidth="1"/>
    <col min="12" max="13" width="13.85546875" style="360" customWidth="1"/>
    <col min="14" max="14" width="13.85546875" style="361" customWidth="1"/>
    <col min="15" max="15" width="13.85546875" style="362" customWidth="1"/>
    <col min="16" max="16" width="13.85546875" style="361" customWidth="1"/>
    <col min="17" max="17" width="13.85546875" style="362" customWidth="1"/>
    <col min="18" max="23" width="13.85546875" style="360" customWidth="1"/>
    <col min="24" max="16384" width="9.140625" style="360"/>
  </cols>
  <sheetData>
    <row r="1" spans="1:23">
      <c r="C1" s="433">
        <v>1</v>
      </c>
      <c r="D1" s="433">
        <f t="shared" ref="D1:P1" si="0">+C1+1</f>
        <v>2</v>
      </c>
      <c r="E1" s="433">
        <f t="shared" si="0"/>
        <v>3</v>
      </c>
      <c r="F1" s="433">
        <f t="shared" si="0"/>
        <v>4</v>
      </c>
      <c r="G1" s="433">
        <f t="shared" si="0"/>
        <v>5</v>
      </c>
      <c r="H1" s="433">
        <f t="shared" si="0"/>
        <v>6</v>
      </c>
      <c r="I1" s="433">
        <f t="shared" si="0"/>
        <v>7</v>
      </c>
      <c r="J1" s="433">
        <f t="shared" si="0"/>
        <v>8</v>
      </c>
      <c r="K1" s="433">
        <f t="shared" si="0"/>
        <v>9</v>
      </c>
      <c r="L1" s="433">
        <f t="shared" si="0"/>
        <v>10</v>
      </c>
      <c r="M1" s="433">
        <f t="shared" si="0"/>
        <v>11</v>
      </c>
      <c r="N1" s="433">
        <f t="shared" si="0"/>
        <v>12</v>
      </c>
      <c r="O1" s="433">
        <f t="shared" si="0"/>
        <v>13</v>
      </c>
      <c r="P1" s="433">
        <f t="shared" si="0"/>
        <v>14</v>
      </c>
      <c r="Q1" s="433">
        <f t="shared" ref="Q1" si="1">+P1+1</f>
        <v>15</v>
      </c>
    </row>
    <row r="2" spans="1:23" s="430" customFormat="1" ht="18">
      <c r="A2" s="432" t="s">
        <v>623</v>
      </c>
      <c r="B2" s="431"/>
      <c r="C2" s="431"/>
      <c r="D2" s="431"/>
      <c r="E2" s="431"/>
      <c r="F2" s="431"/>
      <c r="G2" s="431"/>
      <c r="H2" s="431"/>
      <c r="I2" s="431"/>
      <c r="J2" s="431"/>
      <c r="K2" s="431"/>
      <c r="L2" s="431"/>
      <c r="M2" s="431"/>
      <c r="N2" s="431"/>
      <c r="O2" s="431"/>
      <c r="P2" s="431"/>
      <c r="Q2" s="431"/>
    </row>
    <row r="3" spans="1:23">
      <c r="A3" s="370"/>
      <c r="B3" s="391"/>
      <c r="C3" s="391"/>
      <c r="D3" s="391"/>
      <c r="E3" s="391"/>
      <c r="F3" s="391"/>
      <c r="G3" s="391"/>
      <c r="H3" s="391"/>
      <c r="I3" s="391"/>
      <c r="J3" s="391"/>
      <c r="K3" s="391"/>
      <c r="L3" s="391"/>
      <c r="M3" s="391"/>
      <c r="N3" s="391"/>
      <c r="O3" s="391"/>
      <c r="P3" s="391"/>
      <c r="Q3" s="391"/>
    </row>
    <row r="4" spans="1:23">
      <c r="A4" s="428" t="s">
        <v>622</v>
      </c>
      <c r="B4" s="429">
        <v>2016</v>
      </c>
      <c r="C4" s="426"/>
      <c r="D4" s="426"/>
      <c r="E4" s="426"/>
      <c r="F4" s="391"/>
      <c r="G4" s="426"/>
      <c r="H4" s="426"/>
      <c r="I4" s="426"/>
      <c r="J4" s="391"/>
      <c r="K4" s="391"/>
      <c r="L4" s="391"/>
      <c r="M4" s="391"/>
      <c r="N4" s="391"/>
      <c r="O4" s="391"/>
      <c r="P4" s="391"/>
      <c r="Q4" s="391"/>
    </row>
    <row r="5" spans="1:23">
      <c r="A5" s="370"/>
      <c r="B5" s="426"/>
      <c r="C5" s="426"/>
      <c r="D5" s="425"/>
      <c r="E5" s="425"/>
      <c r="F5" s="425"/>
      <c r="G5" s="425"/>
      <c r="H5" s="425"/>
      <c r="I5" s="425"/>
      <c r="J5" s="425"/>
      <c r="K5" s="425"/>
      <c r="L5" s="425"/>
      <c r="M5" s="425"/>
      <c r="N5" s="425"/>
      <c r="O5" s="425"/>
      <c r="P5" s="425"/>
      <c r="Q5" s="425"/>
    </row>
    <row r="6" spans="1:23">
      <c r="A6" s="428" t="s">
        <v>621</v>
      </c>
      <c r="B6" s="427" t="s">
        <v>620</v>
      </c>
      <c r="C6" s="426"/>
      <c r="D6" s="426"/>
      <c r="E6" s="426"/>
      <c r="F6" s="391"/>
      <c r="G6" s="426"/>
      <c r="H6" s="426"/>
      <c r="I6" s="426"/>
      <c r="J6" s="391"/>
      <c r="K6" s="391"/>
      <c r="L6" s="391"/>
      <c r="M6" s="391"/>
      <c r="N6" s="391"/>
      <c r="O6" s="391"/>
      <c r="P6" s="391"/>
      <c r="Q6" s="391"/>
    </row>
    <row r="7" spans="1:23">
      <c r="A7" s="370"/>
      <c r="B7" s="426"/>
      <c r="C7" s="425"/>
      <c r="D7" s="425"/>
      <c r="E7" s="425"/>
      <c r="F7" s="425"/>
      <c r="G7" s="425"/>
      <c r="H7" s="425"/>
      <c r="I7" s="425"/>
      <c r="J7" s="425"/>
      <c r="K7" s="425"/>
      <c r="L7" s="425"/>
      <c r="M7" s="425"/>
      <c r="N7" s="425"/>
      <c r="O7" s="425"/>
      <c r="P7" s="425"/>
      <c r="Q7" s="425"/>
      <c r="R7" s="363"/>
      <c r="S7" s="363"/>
      <c r="T7" s="363"/>
      <c r="U7" s="363"/>
      <c r="V7" s="363"/>
      <c r="W7" s="363"/>
    </row>
    <row r="8" spans="1:23">
      <c r="A8" s="424"/>
      <c r="B8" s="423" t="s">
        <v>619</v>
      </c>
      <c r="C8" s="624">
        <v>345</v>
      </c>
      <c r="D8" s="624">
        <v>1453</v>
      </c>
      <c r="E8" s="624">
        <v>352</v>
      </c>
      <c r="F8" s="624">
        <v>356</v>
      </c>
      <c r="G8" s="624">
        <v>1616</v>
      </c>
      <c r="H8" s="624" t="s">
        <v>780</v>
      </c>
      <c r="I8" s="624">
        <v>2837</v>
      </c>
      <c r="J8" s="624">
        <v>2793</v>
      </c>
      <c r="K8" s="624">
        <v>1950</v>
      </c>
      <c r="L8" s="624">
        <v>3206</v>
      </c>
      <c r="M8" s="624">
        <v>2846</v>
      </c>
      <c r="N8" s="624">
        <v>1270</v>
      </c>
      <c r="O8" s="624">
        <v>3125</v>
      </c>
      <c r="P8" s="624">
        <v>3679</v>
      </c>
      <c r="Q8" s="889">
        <v>12284</v>
      </c>
      <c r="R8" s="363"/>
      <c r="S8" s="363"/>
      <c r="T8" s="363"/>
      <c r="U8" s="363"/>
      <c r="V8" s="363"/>
      <c r="W8" s="363"/>
    </row>
    <row r="9" spans="1:23">
      <c r="A9" s="424"/>
      <c r="B9" s="423" t="s">
        <v>609</v>
      </c>
      <c r="C9" s="625" t="s">
        <v>620</v>
      </c>
      <c r="D9" s="625" t="s">
        <v>620</v>
      </c>
      <c r="E9" s="625" t="s">
        <v>620</v>
      </c>
      <c r="F9" s="625" t="s">
        <v>620</v>
      </c>
      <c r="G9" s="625" t="s">
        <v>620</v>
      </c>
      <c r="H9" s="625" t="s">
        <v>620</v>
      </c>
      <c r="I9" s="625" t="s">
        <v>620</v>
      </c>
      <c r="J9" s="625" t="s">
        <v>620</v>
      </c>
      <c r="K9" s="625" t="s">
        <v>620</v>
      </c>
      <c r="L9" s="625" t="s">
        <v>620</v>
      </c>
      <c r="M9" s="625" t="s">
        <v>620</v>
      </c>
      <c r="N9" s="625" t="s">
        <v>620</v>
      </c>
      <c r="O9" s="625" t="s">
        <v>620</v>
      </c>
      <c r="P9" s="625" t="s">
        <v>620</v>
      </c>
      <c r="Q9" s="890" t="s">
        <v>620</v>
      </c>
      <c r="R9" s="363"/>
      <c r="S9" s="363"/>
      <c r="T9" s="363"/>
      <c r="U9" s="363"/>
      <c r="V9" s="363"/>
      <c r="W9" s="363"/>
    </row>
    <row r="10" spans="1:23" ht="15" customHeight="1">
      <c r="A10" s="424"/>
      <c r="B10" s="423" t="s">
        <v>607</v>
      </c>
      <c r="C10" s="422" t="s">
        <v>606</v>
      </c>
      <c r="D10" s="422" t="s">
        <v>606</v>
      </c>
      <c r="E10" s="422" t="s">
        <v>606</v>
      </c>
      <c r="F10" s="422" t="s">
        <v>606</v>
      </c>
      <c r="G10" s="422" t="s">
        <v>606</v>
      </c>
      <c r="H10" s="422" t="s">
        <v>606</v>
      </c>
      <c r="I10" s="422" t="s">
        <v>606</v>
      </c>
      <c r="J10" s="422" t="s">
        <v>606</v>
      </c>
      <c r="K10" s="422" t="s">
        <v>606</v>
      </c>
      <c r="L10" s="422" t="s">
        <v>606</v>
      </c>
      <c r="M10" s="422" t="s">
        <v>606</v>
      </c>
      <c r="N10" s="422" t="s">
        <v>606</v>
      </c>
      <c r="O10" s="422" t="s">
        <v>606</v>
      </c>
      <c r="P10" s="422" t="s">
        <v>606</v>
      </c>
      <c r="Q10" s="891" t="s">
        <v>606</v>
      </c>
      <c r="R10" s="363"/>
      <c r="S10" s="363"/>
      <c r="T10" s="363"/>
      <c r="U10" s="363"/>
      <c r="V10" s="363"/>
      <c r="W10" s="363"/>
    </row>
    <row r="11" spans="1:23">
      <c r="A11" s="416" t="s">
        <v>605</v>
      </c>
      <c r="B11" s="415" t="str">
        <f>"December "&amp;B4-1</f>
        <v>December 2015</v>
      </c>
      <c r="C11" s="372">
        <v>148505802.68000001</v>
      </c>
      <c r="D11" s="373">
        <v>8751971.6799999997</v>
      </c>
      <c r="E11" s="372">
        <v>88220916.11999999</v>
      </c>
      <c r="F11" s="373">
        <v>141173979.72999996</v>
      </c>
      <c r="G11" s="372">
        <v>1379725.86</v>
      </c>
      <c r="H11" s="373">
        <v>2141426.6300000004</v>
      </c>
      <c r="I11" s="372">
        <v>626602.79500000004</v>
      </c>
      <c r="J11" s="373">
        <v>405929.96500000003</v>
      </c>
      <c r="K11" s="372">
        <v>15402302.789999999</v>
      </c>
      <c r="L11" s="373">
        <v>442070.47000000003</v>
      </c>
      <c r="M11" s="374">
        <v>124265484.94999999</v>
      </c>
      <c r="N11" s="373">
        <v>0</v>
      </c>
      <c r="O11" s="372">
        <v>26180311.440000005</v>
      </c>
      <c r="P11" s="371">
        <v>69062224.79524</v>
      </c>
      <c r="Q11" s="374">
        <v>0</v>
      </c>
      <c r="R11" s="363"/>
      <c r="S11" s="363"/>
      <c r="T11" s="363"/>
      <c r="U11" s="363"/>
      <c r="V11" s="363"/>
      <c r="W11" s="363"/>
    </row>
    <row r="12" spans="1:23">
      <c r="A12" s="401" t="s">
        <v>604</v>
      </c>
      <c r="B12" s="414" t="str">
        <f>"January "&amp;B4</f>
        <v>January 2016</v>
      </c>
      <c r="C12" s="372">
        <v>148505802.68000001</v>
      </c>
      <c r="D12" s="373">
        <v>8751971.6799999997</v>
      </c>
      <c r="E12" s="372">
        <v>88220916.12000002</v>
      </c>
      <c r="F12" s="373">
        <v>141173979.72999996</v>
      </c>
      <c r="G12" s="372">
        <v>1379725.86</v>
      </c>
      <c r="H12" s="373">
        <v>2141426.6300000004</v>
      </c>
      <c r="I12" s="372">
        <v>626602.79500000004</v>
      </c>
      <c r="J12" s="373">
        <v>405929.96500000003</v>
      </c>
      <c r="K12" s="372">
        <v>15402302.789999999</v>
      </c>
      <c r="L12" s="373">
        <v>579769.45000000007</v>
      </c>
      <c r="M12" s="374">
        <v>124271189.05999999</v>
      </c>
      <c r="N12" s="373">
        <v>0</v>
      </c>
      <c r="O12" s="372">
        <v>26184887.649999999</v>
      </c>
      <c r="P12" s="371">
        <v>73264503.010000005</v>
      </c>
      <c r="Q12" s="374">
        <v>0</v>
      </c>
      <c r="R12" s="363"/>
      <c r="S12" s="363"/>
      <c r="T12" s="363"/>
      <c r="U12" s="363"/>
      <c r="V12" s="363"/>
      <c r="W12" s="363"/>
    </row>
    <row r="13" spans="1:23">
      <c r="A13" s="401"/>
      <c r="B13" s="421" t="s">
        <v>603</v>
      </c>
      <c r="C13" s="372">
        <v>148505802.68000001</v>
      </c>
      <c r="D13" s="373">
        <v>8751971.6799999997</v>
      </c>
      <c r="E13" s="372">
        <v>88220916.12000002</v>
      </c>
      <c r="F13" s="373">
        <v>141173979.72999996</v>
      </c>
      <c r="G13" s="372">
        <v>1379725.86</v>
      </c>
      <c r="H13" s="373">
        <v>2141426.6300000004</v>
      </c>
      <c r="I13" s="372">
        <v>626602.79500000004</v>
      </c>
      <c r="J13" s="373">
        <v>405929.96500000003</v>
      </c>
      <c r="K13" s="372">
        <v>15402302.789999999</v>
      </c>
      <c r="L13" s="373">
        <v>698384.25</v>
      </c>
      <c r="M13" s="374">
        <v>124277597.92</v>
      </c>
      <c r="N13" s="373">
        <v>0</v>
      </c>
      <c r="O13" s="372">
        <v>26185631.859999999</v>
      </c>
      <c r="P13" s="371">
        <v>77101558.020000011</v>
      </c>
      <c r="Q13" s="374">
        <v>0</v>
      </c>
      <c r="R13" s="363"/>
      <c r="S13" s="363"/>
      <c r="T13" s="363"/>
      <c r="U13" s="363"/>
      <c r="V13" s="363"/>
      <c r="W13" s="363"/>
    </row>
    <row r="14" spans="1:23">
      <c r="A14" s="401"/>
      <c r="B14" s="421" t="s">
        <v>602</v>
      </c>
      <c r="C14" s="372">
        <v>148505802.68000001</v>
      </c>
      <c r="D14" s="373">
        <v>8751971.6799999997</v>
      </c>
      <c r="E14" s="372">
        <v>88220916.12000002</v>
      </c>
      <c r="F14" s="373">
        <v>141173979.72999996</v>
      </c>
      <c r="G14" s="372">
        <v>1379725.86</v>
      </c>
      <c r="H14" s="373">
        <v>2141426.6300000004</v>
      </c>
      <c r="I14" s="372">
        <v>626602.79500000004</v>
      </c>
      <c r="J14" s="373">
        <v>405929.96500000003</v>
      </c>
      <c r="K14" s="372">
        <v>15373420.439999999</v>
      </c>
      <c r="L14" s="373">
        <v>838437.07000000007</v>
      </c>
      <c r="M14" s="374">
        <v>124280423.77999999</v>
      </c>
      <c r="N14" s="373">
        <v>0</v>
      </c>
      <c r="O14" s="372">
        <v>26198159.910000004</v>
      </c>
      <c r="P14" s="371">
        <v>83901791.120000005</v>
      </c>
      <c r="Q14" s="374">
        <v>0</v>
      </c>
      <c r="R14" s="363"/>
      <c r="S14" s="363"/>
      <c r="T14" s="363"/>
      <c r="U14" s="363"/>
      <c r="V14" s="363"/>
      <c r="W14" s="363"/>
    </row>
    <row r="15" spans="1:23">
      <c r="A15" s="401"/>
      <c r="B15" s="421" t="s">
        <v>601</v>
      </c>
      <c r="C15" s="372">
        <v>148505802.68000001</v>
      </c>
      <c r="D15" s="373">
        <v>8751971.6799999997</v>
      </c>
      <c r="E15" s="372">
        <v>88220916.12000002</v>
      </c>
      <c r="F15" s="373">
        <v>141173979.72999996</v>
      </c>
      <c r="G15" s="372">
        <v>1379725.86</v>
      </c>
      <c r="H15" s="373">
        <v>2141426.6300000004</v>
      </c>
      <c r="I15" s="372">
        <v>626602.79500000004</v>
      </c>
      <c r="J15" s="373">
        <v>405929.96500000003</v>
      </c>
      <c r="K15" s="372">
        <v>15373420.439999999</v>
      </c>
      <c r="L15" s="373">
        <v>912314.03</v>
      </c>
      <c r="M15" s="374">
        <v>124282096.22999999</v>
      </c>
      <c r="N15" s="373">
        <v>0</v>
      </c>
      <c r="O15" s="372">
        <v>26191691.309999999</v>
      </c>
      <c r="P15" s="371">
        <v>87444086.25</v>
      </c>
      <c r="Q15" s="374">
        <v>0</v>
      </c>
      <c r="R15" s="363"/>
      <c r="S15" s="363"/>
      <c r="T15" s="363"/>
      <c r="U15" s="363"/>
      <c r="V15" s="363"/>
      <c r="W15" s="363"/>
    </row>
    <row r="16" spans="1:23">
      <c r="A16" s="401"/>
      <c r="B16" s="421" t="s">
        <v>600</v>
      </c>
      <c r="C16" s="372">
        <v>148505802.68000001</v>
      </c>
      <c r="D16" s="373">
        <v>8751971.6799999997</v>
      </c>
      <c r="E16" s="372">
        <v>88220916.12000002</v>
      </c>
      <c r="F16" s="373">
        <v>141173979.72999996</v>
      </c>
      <c r="G16" s="372">
        <v>1379725.86</v>
      </c>
      <c r="H16" s="373">
        <v>2141426.6300000004</v>
      </c>
      <c r="I16" s="372">
        <v>626602.79500000004</v>
      </c>
      <c r="J16" s="373">
        <v>405929.96500000003</v>
      </c>
      <c r="K16" s="372">
        <v>15069171.32</v>
      </c>
      <c r="L16" s="373">
        <v>1032822.6200000001</v>
      </c>
      <c r="M16" s="374">
        <v>124281777.03999999</v>
      </c>
      <c r="N16" s="373">
        <v>0</v>
      </c>
      <c r="O16" s="372">
        <v>26192007.510000005</v>
      </c>
      <c r="P16" s="371">
        <v>91327947.159999996</v>
      </c>
      <c r="Q16" s="374">
        <v>0</v>
      </c>
      <c r="R16" s="363"/>
      <c r="S16" s="363"/>
      <c r="T16" s="363"/>
      <c r="U16" s="363"/>
      <c r="V16" s="363"/>
      <c r="W16" s="363"/>
    </row>
    <row r="17" spans="1:23">
      <c r="A17" s="401"/>
      <c r="B17" s="421" t="s">
        <v>599</v>
      </c>
      <c r="C17" s="372">
        <v>148505802.68000001</v>
      </c>
      <c r="D17" s="373">
        <v>8751971.6799999997</v>
      </c>
      <c r="E17" s="372">
        <v>88220916.12000002</v>
      </c>
      <c r="F17" s="373">
        <v>141173979.72999996</v>
      </c>
      <c r="G17" s="372">
        <v>1379725.86</v>
      </c>
      <c r="H17" s="373">
        <v>2141426.6300000004</v>
      </c>
      <c r="I17" s="372">
        <v>626602.79500000004</v>
      </c>
      <c r="J17" s="373">
        <v>405929.96500000003</v>
      </c>
      <c r="K17" s="372">
        <v>15069171.32</v>
      </c>
      <c r="L17" s="373">
        <v>1183998.79</v>
      </c>
      <c r="M17" s="374">
        <v>124284332.03999999</v>
      </c>
      <c r="N17" s="373">
        <v>0</v>
      </c>
      <c r="O17" s="372">
        <v>26194247.530000009</v>
      </c>
      <c r="P17" s="371">
        <v>96430580.719999999</v>
      </c>
      <c r="Q17" s="374">
        <v>0</v>
      </c>
      <c r="R17" s="363"/>
      <c r="S17" s="363"/>
      <c r="T17" s="363"/>
      <c r="U17" s="363"/>
      <c r="V17" s="363"/>
      <c r="W17" s="363"/>
    </row>
    <row r="18" spans="1:23">
      <c r="A18" s="401"/>
      <c r="B18" s="421" t="s">
        <v>598</v>
      </c>
      <c r="C18" s="372">
        <v>148505802.68000001</v>
      </c>
      <c r="D18" s="373">
        <v>8751971.6799999997</v>
      </c>
      <c r="E18" s="372">
        <v>88220916.12000002</v>
      </c>
      <c r="F18" s="373">
        <v>141173979.72999996</v>
      </c>
      <c r="G18" s="372">
        <v>1379725.86</v>
      </c>
      <c r="H18" s="373">
        <v>2141426.6300000004</v>
      </c>
      <c r="I18" s="372">
        <v>626602.79500000004</v>
      </c>
      <c r="J18" s="373">
        <v>405929.96500000003</v>
      </c>
      <c r="K18" s="372">
        <v>15069171.32</v>
      </c>
      <c r="L18" s="373">
        <v>1422477.05</v>
      </c>
      <c r="M18" s="374">
        <v>124284332.04000001</v>
      </c>
      <c r="N18" s="373">
        <v>0</v>
      </c>
      <c r="O18" s="372">
        <v>26215791.349999998</v>
      </c>
      <c r="P18" s="371">
        <v>102439750.89</v>
      </c>
      <c r="Q18" s="374">
        <v>0</v>
      </c>
      <c r="R18" s="363"/>
      <c r="S18" s="363"/>
      <c r="T18" s="363"/>
      <c r="U18" s="363"/>
      <c r="V18" s="363"/>
      <c r="W18" s="363"/>
    </row>
    <row r="19" spans="1:23">
      <c r="A19" s="401"/>
      <c r="B19" s="421" t="s">
        <v>597</v>
      </c>
      <c r="C19" s="372">
        <v>148505802.68000001</v>
      </c>
      <c r="D19" s="373">
        <v>8751971.6799999997</v>
      </c>
      <c r="E19" s="372">
        <v>88220916.12000002</v>
      </c>
      <c r="F19" s="373">
        <v>141173979.72999996</v>
      </c>
      <c r="G19" s="372">
        <v>1379725.86</v>
      </c>
      <c r="H19" s="373">
        <v>2141426.6300000004</v>
      </c>
      <c r="I19" s="372">
        <v>626602.79500000004</v>
      </c>
      <c r="J19" s="373">
        <v>405929.96500000003</v>
      </c>
      <c r="K19" s="372">
        <v>15069171.32</v>
      </c>
      <c r="L19" s="373">
        <v>1598148.32</v>
      </c>
      <c r="M19" s="374">
        <v>124284332.04000001</v>
      </c>
      <c r="N19" s="373">
        <v>0</v>
      </c>
      <c r="O19" s="372">
        <v>26325144.48</v>
      </c>
      <c r="P19" s="371">
        <v>108379367.05</v>
      </c>
      <c r="Q19" s="374">
        <v>0</v>
      </c>
      <c r="R19" s="363"/>
      <c r="S19" s="363"/>
      <c r="T19" s="363"/>
      <c r="U19" s="363"/>
      <c r="V19" s="363"/>
      <c r="W19" s="363"/>
    </row>
    <row r="20" spans="1:23">
      <c r="A20" s="401"/>
      <c r="B20" s="421" t="s">
        <v>596</v>
      </c>
      <c r="C20" s="372">
        <v>148505802.68000001</v>
      </c>
      <c r="D20" s="373">
        <v>8751971.6799999997</v>
      </c>
      <c r="E20" s="372">
        <v>88220916.12000002</v>
      </c>
      <c r="F20" s="373">
        <v>141173979.72999996</v>
      </c>
      <c r="G20" s="372">
        <v>1379725.86</v>
      </c>
      <c r="H20" s="373">
        <v>2141426.6300000004</v>
      </c>
      <c r="I20" s="372">
        <v>626602.79500000004</v>
      </c>
      <c r="J20" s="373">
        <v>405929.96500000003</v>
      </c>
      <c r="K20" s="372">
        <v>15069171.32</v>
      </c>
      <c r="L20" s="373">
        <v>1831109.87</v>
      </c>
      <c r="M20" s="374">
        <v>124284332.04000001</v>
      </c>
      <c r="N20" s="373">
        <v>0</v>
      </c>
      <c r="O20" s="372">
        <v>26581951.959999997</v>
      </c>
      <c r="P20" s="371">
        <v>115998063.53</v>
      </c>
      <c r="Q20" s="374">
        <v>0</v>
      </c>
      <c r="R20" s="363"/>
      <c r="S20" s="363"/>
      <c r="T20" s="363"/>
      <c r="U20" s="363"/>
      <c r="V20" s="363"/>
      <c r="W20" s="363"/>
    </row>
    <row r="21" spans="1:23">
      <c r="A21" s="401"/>
      <c r="B21" s="421" t="s">
        <v>595</v>
      </c>
      <c r="C21" s="372">
        <v>148505802.68000001</v>
      </c>
      <c r="D21" s="373">
        <v>8751971.6799999997</v>
      </c>
      <c r="E21" s="372">
        <v>88220916.11999999</v>
      </c>
      <c r="F21" s="373">
        <v>141173979.72999996</v>
      </c>
      <c r="G21" s="372">
        <v>1379725.86</v>
      </c>
      <c r="H21" s="373">
        <v>2141426.6300000004</v>
      </c>
      <c r="I21" s="372">
        <v>626602.79500000004</v>
      </c>
      <c r="J21" s="373">
        <v>405929.96500000003</v>
      </c>
      <c r="K21" s="372">
        <v>15069171.32</v>
      </c>
      <c r="L21" s="373">
        <v>1995248.54</v>
      </c>
      <c r="M21" s="374">
        <v>124269466.08</v>
      </c>
      <c r="N21" s="373">
        <v>0</v>
      </c>
      <c r="O21" s="372">
        <v>26694135.570000004</v>
      </c>
      <c r="P21" s="371">
        <v>122390031.46733001</v>
      </c>
      <c r="Q21" s="374">
        <v>0</v>
      </c>
      <c r="R21" s="363"/>
      <c r="S21" s="363"/>
      <c r="T21" s="363"/>
      <c r="U21" s="363"/>
      <c r="V21" s="363"/>
      <c r="W21" s="363"/>
    </row>
    <row r="22" spans="1:23">
      <c r="A22" s="401"/>
      <c r="B22" s="421" t="s">
        <v>594</v>
      </c>
      <c r="C22" s="372">
        <v>148505802.68000001</v>
      </c>
      <c r="D22" s="373">
        <v>8751971.6799999997</v>
      </c>
      <c r="E22" s="372">
        <v>88220916.11999999</v>
      </c>
      <c r="F22" s="373">
        <v>141173979.72999996</v>
      </c>
      <c r="G22" s="372">
        <v>1379725.86</v>
      </c>
      <c r="H22" s="373">
        <v>2141426.6300000004</v>
      </c>
      <c r="I22" s="372">
        <v>626602.79500000004</v>
      </c>
      <c r="J22" s="373">
        <v>298602.39500000002</v>
      </c>
      <c r="K22" s="372">
        <v>15069171.32</v>
      </c>
      <c r="L22" s="373">
        <v>2429468.5300000003</v>
      </c>
      <c r="M22" s="374">
        <v>124269466.08</v>
      </c>
      <c r="N22" s="373">
        <v>0</v>
      </c>
      <c r="O22" s="372">
        <v>26703326.909999996</v>
      </c>
      <c r="P22" s="371">
        <v>132946110.15999997</v>
      </c>
      <c r="Q22" s="374">
        <v>0</v>
      </c>
      <c r="R22" s="363"/>
      <c r="S22" s="363"/>
      <c r="T22" s="363"/>
      <c r="U22" s="363"/>
      <c r="V22" s="363"/>
      <c r="W22" s="363"/>
    </row>
    <row r="23" spans="1:23">
      <c r="A23" s="376"/>
      <c r="B23" s="420" t="str">
        <f>"December "&amp;B4</f>
        <v>December 2016</v>
      </c>
      <c r="C23" s="372">
        <v>148482839.39000002</v>
      </c>
      <c r="D23" s="373">
        <v>8751971.6799999997</v>
      </c>
      <c r="E23" s="372">
        <v>88220916.120000005</v>
      </c>
      <c r="F23" s="373">
        <v>141173979.72999996</v>
      </c>
      <c r="G23" s="372">
        <v>1379725.86</v>
      </c>
      <c r="H23" s="373">
        <v>2141426.6300000004</v>
      </c>
      <c r="I23" s="372">
        <v>626602.79500000004</v>
      </c>
      <c r="J23" s="373">
        <v>298602.39500000002</v>
      </c>
      <c r="K23" s="372">
        <v>15069171.32</v>
      </c>
      <c r="L23" s="373">
        <v>2524557.16</v>
      </c>
      <c r="M23" s="374">
        <v>124246428.07000001</v>
      </c>
      <c r="N23" s="373">
        <v>0</v>
      </c>
      <c r="O23" s="372">
        <v>26751772.650000002</v>
      </c>
      <c r="P23" s="371">
        <v>136610742.25</v>
      </c>
      <c r="Q23" s="374">
        <v>0</v>
      </c>
      <c r="R23" s="363"/>
      <c r="S23" s="363"/>
      <c r="T23" s="363"/>
      <c r="U23" s="363"/>
      <c r="V23" s="363"/>
      <c r="W23" s="363"/>
    </row>
    <row r="24" spans="1:23">
      <c r="A24" s="387"/>
      <c r="B24" s="419" t="s">
        <v>589</v>
      </c>
      <c r="C24" s="396">
        <f t="shared" ref="C24:Q24" si="2">AVERAGE(C11:C23)</f>
        <v>148504036.27307698</v>
      </c>
      <c r="D24" s="396">
        <f t="shared" si="2"/>
        <v>8751971.6800000034</v>
      </c>
      <c r="E24" s="396">
        <f t="shared" si="2"/>
        <v>88220916.11999999</v>
      </c>
      <c r="F24" s="396">
        <f t="shared" si="2"/>
        <v>141173979.72999999</v>
      </c>
      <c r="G24" s="396">
        <f t="shared" si="2"/>
        <v>1379725.8599999999</v>
      </c>
      <c r="H24" s="396">
        <f t="shared" si="2"/>
        <v>2141426.63</v>
      </c>
      <c r="I24" s="396">
        <f t="shared" si="2"/>
        <v>626602.79500000004</v>
      </c>
      <c r="J24" s="396">
        <f t="shared" si="2"/>
        <v>389418.03115384612</v>
      </c>
      <c r="K24" s="396">
        <f t="shared" si="2"/>
        <v>15192855.369999995</v>
      </c>
      <c r="L24" s="396">
        <f t="shared" si="2"/>
        <v>1345292.780769231</v>
      </c>
      <c r="M24" s="397">
        <f t="shared" si="2"/>
        <v>124275481.33615382</v>
      </c>
      <c r="N24" s="396">
        <f t="shared" si="2"/>
        <v>0</v>
      </c>
      <c r="O24" s="396">
        <f t="shared" si="2"/>
        <v>26353773.856153846</v>
      </c>
      <c r="P24" s="396">
        <v>99792058.186351538</v>
      </c>
      <c r="Q24" s="397">
        <f t="shared" si="2"/>
        <v>0</v>
      </c>
      <c r="R24" s="363"/>
      <c r="S24" s="363"/>
      <c r="T24" s="363"/>
      <c r="U24" s="363"/>
      <c r="V24" s="363"/>
      <c r="W24" s="363"/>
    </row>
    <row r="25" spans="1:23">
      <c r="A25" s="387"/>
      <c r="B25" s="417"/>
      <c r="C25" s="417"/>
      <c r="D25" s="417"/>
      <c r="E25" s="417"/>
      <c r="F25" s="417"/>
      <c r="G25" s="417"/>
      <c r="H25" s="417"/>
      <c r="I25" s="417"/>
      <c r="J25" s="417"/>
      <c r="K25" s="417"/>
      <c r="L25" s="417"/>
      <c r="M25" s="418"/>
      <c r="N25" s="417"/>
      <c r="O25" s="417"/>
      <c r="P25" s="417"/>
      <c r="Q25" s="417"/>
      <c r="R25" s="363"/>
      <c r="S25" s="363"/>
      <c r="T25" s="363"/>
      <c r="U25" s="363"/>
      <c r="V25" s="363"/>
      <c r="W25" s="363"/>
    </row>
    <row r="26" spans="1:23">
      <c r="A26" s="387"/>
      <c r="B26" s="417"/>
      <c r="C26" s="417"/>
      <c r="D26" s="417"/>
      <c r="E26" s="417"/>
      <c r="F26" s="417"/>
      <c r="G26" s="417"/>
      <c r="H26" s="417"/>
      <c r="I26" s="417"/>
      <c r="J26" s="417"/>
      <c r="K26" s="417"/>
      <c r="L26" s="417"/>
      <c r="M26" s="418"/>
      <c r="N26" s="417"/>
      <c r="O26" s="417"/>
      <c r="P26" s="417"/>
      <c r="Q26" s="417"/>
      <c r="R26" s="363"/>
      <c r="S26" s="363"/>
      <c r="T26" s="363"/>
      <c r="U26" s="363"/>
      <c r="V26" s="363"/>
      <c r="W26" s="363"/>
    </row>
    <row r="27" spans="1:23">
      <c r="A27" s="416" t="s">
        <v>593</v>
      </c>
      <c r="B27" s="415" t="str">
        <f t="shared" ref="B27:B39" si="3">+B11</f>
        <v>December 2015</v>
      </c>
      <c r="C27" s="378">
        <f t="shared" ref="C27:P27" si="4">+C11-C44</f>
        <v>26401461.019999996</v>
      </c>
      <c r="D27" s="379">
        <f t="shared" si="4"/>
        <v>1817222.4830000028</v>
      </c>
      <c r="E27" s="378">
        <f t="shared" si="4"/>
        <v>15107751.430000007</v>
      </c>
      <c r="F27" s="379">
        <f t="shared" si="4"/>
        <v>10301658.840000004</v>
      </c>
      <c r="G27" s="378">
        <f t="shared" si="4"/>
        <v>275629.92999999947</v>
      </c>
      <c r="H27" s="379">
        <f t="shared" si="4"/>
        <v>223215.21499999985</v>
      </c>
      <c r="I27" s="378">
        <f t="shared" si="4"/>
        <v>70166.020000000019</v>
      </c>
      <c r="J27" s="379">
        <f t="shared" si="4"/>
        <v>33314.829999999958</v>
      </c>
      <c r="K27" s="378">
        <f t="shared" si="4"/>
        <v>2027813.9499999993</v>
      </c>
      <c r="L27" s="379">
        <f t="shared" si="4"/>
        <v>0</v>
      </c>
      <c r="M27" s="380">
        <f t="shared" si="4"/>
        <v>5241513.2600000054</v>
      </c>
      <c r="N27" s="379">
        <f t="shared" si="4"/>
        <v>0</v>
      </c>
      <c r="O27" s="378">
        <f t="shared" si="4"/>
        <v>369322.46000000089</v>
      </c>
      <c r="P27" s="377">
        <f t="shared" si="4"/>
        <v>0</v>
      </c>
      <c r="Q27" s="380">
        <f t="shared" ref="Q27" si="5">+Q11-Q44</f>
        <v>0</v>
      </c>
      <c r="R27" s="363"/>
      <c r="S27" s="363"/>
      <c r="T27" s="363"/>
      <c r="U27" s="363"/>
      <c r="V27" s="363"/>
      <c r="W27" s="363"/>
    </row>
    <row r="28" spans="1:23">
      <c r="A28" s="401" t="s">
        <v>592</v>
      </c>
      <c r="B28" s="414" t="str">
        <f t="shared" si="3"/>
        <v>January 2016</v>
      </c>
      <c r="C28" s="372">
        <f t="shared" ref="C28:P28" si="6">+C12-C45</f>
        <v>26718119.439999998</v>
      </c>
      <c r="D28" s="373">
        <f t="shared" si="6"/>
        <v>1838188.8230000027</v>
      </c>
      <c r="E28" s="372">
        <f t="shared" si="6"/>
        <v>15296858.330000013</v>
      </c>
      <c r="F28" s="373">
        <f t="shared" si="6"/>
        <v>10583224.75</v>
      </c>
      <c r="G28" s="372">
        <f t="shared" si="6"/>
        <v>278808.78999999957</v>
      </c>
      <c r="H28" s="373">
        <f t="shared" si="6"/>
        <v>228162.29999999981</v>
      </c>
      <c r="I28" s="372">
        <f t="shared" si="6"/>
        <v>71557.210000000079</v>
      </c>
      <c r="J28" s="373">
        <f t="shared" si="6"/>
        <v>31150.499999999942</v>
      </c>
      <c r="K28" s="372">
        <f t="shared" si="6"/>
        <v>2065824.1599999983</v>
      </c>
      <c r="L28" s="373">
        <f t="shared" si="6"/>
        <v>0</v>
      </c>
      <c r="M28" s="374">
        <f t="shared" si="6"/>
        <v>5530802.5</v>
      </c>
      <c r="N28" s="373">
        <f t="shared" si="6"/>
        <v>0</v>
      </c>
      <c r="O28" s="372">
        <f t="shared" si="6"/>
        <v>433793.96999999881</v>
      </c>
      <c r="P28" s="371">
        <f t="shared" si="6"/>
        <v>0</v>
      </c>
      <c r="Q28" s="374">
        <f t="shared" ref="Q28" si="7">+Q12-Q45</f>
        <v>0</v>
      </c>
      <c r="R28" s="363"/>
      <c r="S28" s="363"/>
      <c r="T28" s="363"/>
      <c r="U28" s="363"/>
      <c r="V28" s="363"/>
      <c r="W28" s="363"/>
    </row>
    <row r="29" spans="1:23">
      <c r="A29" s="401"/>
      <c r="B29" s="414" t="str">
        <f t="shared" si="3"/>
        <v>February</v>
      </c>
      <c r="C29" s="372">
        <f t="shared" ref="C29:P29" si="8">+C13-C46</f>
        <v>27034588.839999989</v>
      </c>
      <c r="D29" s="373">
        <f t="shared" si="8"/>
        <v>1859155.1630000025</v>
      </c>
      <c r="E29" s="372">
        <f t="shared" si="8"/>
        <v>15485965.230000019</v>
      </c>
      <c r="F29" s="373">
        <f t="shared" si="8"/>
        <v>10864780.850000009</v>
      </c>
      <c r="G29" s="372">
        <f t="shared" si="8"/>
        <v>281987.64999999967</v>
      </c>
      <c r="H29" s="373">
        <f t="shared" si="8"/>
        <v>233109.38499999978</v>
      </c>
      <c r="I29" s="372">
        <f t="shared" si="8"/>
        <v>72959</v>
      </c>
      <c r="J29" s="373">
        <f t="shared" si="8"/>
        <v>29693.164999999921</v>
      </c>
      <c r="K29" s="372">
        <f t="shared" si="8"/>
        <v>2103834.3699999992</v>
      </c>
      <c r="L29" s="373">
        <f t="shared" si="8"/>
        <v>0</v>
      </c>
      <c r="M29" s="374">
        <f t="shared" si="8"/>
        <v>5820074.0300000012</v>
      </c>
      <c r="N29" s="373">
        <f t="shared" si="8"/>
        <v>0</v>
      </c>
      <c r="O29" s="372">
        <f t="shared" si="8"/>
        <v>498275.55000000075</v>
      </c>
      <c r="P29" s="371">
        <f t="shared" si="8"/>
        <v>0</v>
      </c>
      <c r="Q29" s="374">
        <f t="shared" ref="Q29" si="9">+Q13-Q46</f>
        <v>0</v>
      </c>
      <c r="R29" s="363"/>
      <c r="S29" s="363"/>
      <c r="T29" s="363"/>
      <c r="U29" s="363"/>
      <c r="V29" s="363"/>
      <c r="W29" s="363"/>
    </row>
    <row r="30" spans="1:23">
      <c r="A30" s="401"/>
      <c r="B30" s="414" t="str">
        <f t="shared" si="3"/>
        <v xml:space="preserve">March </v>
      </c>
      <c r="C30" s="372">
        <f t="shared" ref="C30:P30" si="10">+C14-C47</f>
        <v>27349870.799999997</v>
      </c>
      <c r="D30" s="373">
        <f t="shared" si="10"/>
        <v>1880121.5030000024</v>
      </c>
      <c r="E30" s="372">
        <f t="shared" si="10"/>
        <v>15675072.13000001</v>
      </c>
      <c r="F30" s="373">
        <f t="shared" si="10"/>
        <v>11146331.590000004</v>
      </c>
      <c r="G30" s="372">
        <f t="shared" si="10"/>
        <v>284680.49999999953</v>
      </c>
      <c r="H30" s="373">
        <f t="shared" si="10"/>
        <v>238056.46999999974</v>
      </c>
      <c r="I30" s="372">
        <f t="shared" si="10"/>
        <v>74355.724999999977</v>
      </c>
      <c r="J30" s="373">
        <f t="shared" si="10"/>
        <v>24727.194999999949</v>
      </c>
      <c r="K30" s="372">
        <f t="shared" si="10"/>
        <v>2112962.2299999986</v>
      </c>
      <c r="L30" s="373">
        <f t="shared" si="10"/>
        <v>0</v>
      </c>
      <c r="M30" s="374">
        <f t="shared" si="10"/>
        <v>6109392.9399999976</v>
      </c>
      <c r="N30" s="373">
        <f t="shared" si="10"/>
        <v>0</v>
      </c>
      <c r="O30" s="372">
        <f t="shared" si="10"/>
        <v>562758.87000000104</v>
      </c>
      <c r="P30" s="371">
        <f t="shared" si="10"/>
        <v>0</v>
      </c>
      <c r="Q30" s="374">
        <f t="shared" ref="Q30" si="11">+Q14-Q47</f>
        <v>0</v>
      </c>
      <c r="R30" s="363"/>
      <c r="S30" s="363"/>
      <c r="T30" s="363"/>
      <c r="U30" s="363"/>
      <c r="V30" s="363"/>
      <c r="W30" s="363"/>
    </row>
    <row r="31" spans="1:23">
      <c r="A31" s="401"/>
      <c r="B31" s="414" t="str">
        <f t="shared" si="3"/>
        <v>April</v>
      </c>
      <c r="C31" s="372">
        <f t="shared" ref="C31:P31" si="12">+C15-C48</f>
        <v>27666819.030000001</v>
      </c>
      <c r="D31" s="373">
        <f t="shared" si="12"/>
        <v>1901087.8430000031</v>
      </c>
      <c r="E31" s="372">
        <f t="shared" si="12"/>
        <v>15864179.030000016</v>
      </c>
      <c r="F31" s="373">
        <f t="shared" si="12"/>
        <v>11427883.540000007</v>
      </c>
      <c r="G31" s="372">
        <f t="shared" si="12"/>
        <v>287373.57499999949</v>
      </c>
      <c r="H31" s="373">
        <f t="shared" si="12"/>
        <v>243003.5549999997</v>
      </c>
      <c r="I31" s="372">
        <f t="shared" si="12"/>
        <v>75711.065000000061</v>
      </c>
      <c r="J31" s="373">
        <f t="shared" si="12"/>
        <v>31146.339999999967</v>
      </c>
      <c r="K31" s="372">
        <f t="shared" si="12"/>
        <v>2150736.0299999993</v>
      </c>
      <c r="L31" s="373">
        <f t="shared" si="12"/>
        <v>0</v>
      </c>
      <c r="M31" s="374">
        <f t="shared" si="12"/>
        <v>6399636.4600000083</v>
      </c>
      <c r="N31" s="373">
        <f t="shared" si="12"/>
        <v>0</v>
      </c>
      <c r="O31" s="372">
        <f t="shared" si="12"/>
        <v>627226.76000000164</v>
      </c>
      <c r="P31" s="371">
        <f t="shared" si="12"/>
        <v>0</v>
      </c>
      <c r="Q31" s="374">
        <f t="shared" ref="Q31" si="13">+Q15-Q48</f>
        <v>0</v>
      </c>
      <c r="R31" s="363"/>
      <c r="S31" s="363"/>
      <c r="T31" s="363"/>
      <c r="U31" s="363"/>
      <c r="V31" s="363"/>
      <c r="W31" s="363"/>
    </row>
    <row r="32" spans="1:23">
      <c r="A32" s="401"/>
      <c r="B32" s="414" t="str">
        <f t="shared" si="3"/>
        <v>May</v>
      </c>
      <c r="C32" s="372">
        <f t="shared" ref="C32:P32" si="14">+C16-C49</f>
        <v>27984700.089999989</v>
      </c>
      <c r="D32" s="373">
        <f t="shared" si="14"/>
        <v>1922054.183000003</v>
      </c>
      <c r="E32" s="372">
        <f t="shared" si="14"/>
        <v>16053285.930000022</v>
      </c>
      <c r="F32" s="373">
        <f t="shared" si="14"/>
        <v>11709429.850000009</v>
      </c>
      <c r="G32" s="372">
        <f t="shared" si="14"/>
        <v>290237.58999999962</v>
      </c>
      <c r="H32" s="373">
        <f t="shared" si="14"/>
        <v>247950.6399999999</v>
      </c>
      <c r="I32" s="372">
        <f t="shared" si="14"/>
        <v>77091.150000000023</v>
      </c>
      <c r="J32" s="373">
        <f t="shared" si="14"/>
        <v>30089.734999999928</v>
      </c>
      <c r="K32" s="372">
        <f t="shared" si="14"/>
        <v>1884347.9299999978</v>
      </c>
      <c r="L32" s="373">
        <f t="shared" si="14"/>
        <v>0</v>
      </c>
      <c r="M32" s="374">
        <f t="shared" si="14"/>
        <v>6688966.3900000006</v>
      </c>
      <c r="N32" s="373">
        <f t="shared" si="14"/>
        <v>0</v>
      </c>
      <c r="O32" s="372">
        <f t="shared" si="14"/>
        <v>691677.37999999896</v>
      </c>
      <c r="P32" s="371">
        <f t="shared" si="14"/>
        <v>0</v>
      </c>
      <c r="Q32" s="374">
        <f t="shared" ref="Q32" si="15">+Q16-Q49</f>
        <v>0</v>
      </c>
      <c r="R32" s="363"/>
      <c r="S32" s="363"/>
      <c r="T32" s="363"/>
      <c r="U32" s="363"/>
      <c r="V32" s="363"/>
      <c r="W32" s="363"/>
    </row>
    <row r="33" spans="1:23">
      <c r="A33" s="401"/>
      <c r="B33" s="414" t="str">
        <f t="shared" si="3"/>
        <v>June</v>
      </c>
      <c r="C33" s="372">
        <f t="shared" ref="C33:P33" si="16">+C17-C50</f>
        <v>28302931.149999991</v>
      </c>
      <c r="D33" s="373">
        <f t="shared" si="16"/>
        <v>1943020.5230000028</v>
      </c>
      <c r="E33" s="372">
        <f t="shared" si="16"/>
        <v>16242392.830000013</v>
      </c>
      <c r="F33" s="373">
        <f t="shared" si="16"/>
        <v>11990980.609999999</v>
      </c>
      <c r="G33" s="372">
        <f t="shared" si="16"/>
        <v>293261.86499999953</v>
      </c>
      <c r="H33" s="373">
        <f t="shared" si="16"/>
        <v>252897.72499999986</v>
      </c>
      <c r="I33" s="372">
        <f t="shared" si="16"/>
        <v>78383.765000000014</v>
      </c>
      <c r="J33" s="373">
        <f t="shared" si="16"/>
        <v>29919.77999999997</v>
      </c>
      <c r="K33" s="372">
        <f t="shared" si="16"/>
        <v>1921436.8499999978</v>
      </c>
      <c r="L33" s="373">
        <f t="shared" si="16"/>
        <v>0</v>
      </c>
      <c r="M33" s="374">
        <f t="shared" si="16"/>
        <v>6978295.5400000066</v>
      </c>
      <c r="N33" s="373">
        <f t="shared" si="16"/>
        <v>0</v>
      </c>
      <c r="O33" s="372">
        <f t="shared" si="16"/>
        <v>755479.67000000179</v>
      </c>
      <c r="P33" s="371">
        <f t="shared" si="16"/>
        <v>0</v>
      </c>
      <c r="Q33" s="374">
        <f t="shared" ref="Q33" si="17">+Q17-Q50</f>
        <v>0</v>
      </c>
      <c r="R33" s="363"/>
      <c r="S33" s="363"/>
      <c r="T33" s="363"/>
      <c r="U33" s="363"/>
      <c r="V33" s="363"/>
      <c r="W33" s="363"/>
    </row>
    <row r="34" spans="1:23">
      <c r="A34" s="401"/>
      <c r="B34" s="414" t="str">
        <f t="shared" si="3"/>
        <v>July</v>
      </c>
      <c r="C34" s="372">
        <f t="shared" ref="C34:P34" si="18">+C18-C51</f>
        <v>28618575.589999989</v>
      </c>
      <c r="D34" s="373">
        <f t="shared" si="18"/>
        <v>1963986.8630000036</v>
      </c>
      <c r="E34" s="372">
        <f t="shared" si="18"/>
        <v>16431499.730000019</v>
      </c>
      <c r="F34" s="373">
        <f t="shared" si="18"/>
        <v>12272534.520000011</v>
      </c>
      <c r="G34" s="372">
        <f t="shared" si="18"/>
        <v>296092.90499999956</v>
      </c>
      <c r="H34" s="373">
        <f t="shared" si="18"/>
        <v>257844.80999999982</v>
      </c>
      <c r="I34" s="372">
        <f t="shared" si="18"/>
        <v>79716.415000000037</v>
      </c>
      <c r="J34" s="373">
        <f t="shared" si="18"/>
        <v>30182.77999999997</v>
      </c>
      <c r="K34" s="372">
        <f t="shared" si="18"/>
        <v>1958570.6099999994</v>
      </c>
      <c r="L34" s="373">
        <f t="shared" si="18"/>
        <v>0</v>
      </c>
      <c r="M34" s="374">
        <f t="shared" si="18"/>
        <v>7267630.950000003</v>
      </c>
      <c r="N34" s="373">
        <f t="shared" si="18"/>
        <v>0</v>
      </c>
      <c r="O34" s="372">
        <f t="shared" si="18"/>
        <v>819286.08000000194</v>
      </c>
      <c r="P34" s="371">
        <f t="shared" si="18"/>
        <v>0</v>
      </c>
      <c r="Q34" s="374">
        <f t="shared" ref="Q34" si="19">+Q18-Q51</f>
        <v>0</v>
      </c>
      <c r="R34" s="363"/>
      <c r="S34" s="363"/>
      <c r="T34" s="363"/>
      <c r="U34" s="363"/>
      <c r="V34" s="363"/>
      <c r="W34" s="363"/>
    </row>
    <row r="35" spans="1:23">
      <c r="A35" s="401"/>
      <c r="B35" s="414" t="str">
        <f t="shared" si="3"/>
        <v xml:space="preserve">August </v>
      </c>
      <c r="C35" s="372">
        <f t="shared" ref="C35:P35" si="20">+C19-C52</f>
        <v>28918685.199999988</v>
      </c>
      <c r="D35" s="373">
        <f t="shared" si="20"/>
        <v>1984953.2030000035</v>
      </c>
      <c r="E35" s="372">
        <f t="shared" si="20"/>
        <v>16620606.63000001</v>
      </c>
      <c r="F35" s="373">
        <f t="shared" si="20"/>
        <v>12554099.870000005</v>
      </c>
      <c r="G35" s="372">
        <f t="shared" si="20"/>
        <v>298959.75499999942</v>
      </c>
      <c r="H35" s="373">
        <f t="shared" si="20"/>
        <v>262791.89499999979</v>
      </c>
      <c r="I35" s="372">
        <f t="shared" si="20"/>
        <v>82750.765000000014</v>
      </c>
      <c r="J35" s="373">
        <f t="shared" si="20"/>
        <v>31069.479999999923</v>
      </c>
      <c r="K35" s="372">
        <f t="shared" si="20"/>
        <v>1995718.5799999982</v>
      </c>
      <c r="L35" s="373">
        <f t="shared" si="20"/>
        <v>0</v>
      </c>
      <c r="M35" s="374">
        <f t="shared" si="20"/>
        <v>7556966.3599999994</v>
      </c>
      <c r="N35" s="373">
        <f t="shared" si="20"/>
        <v>0</v>
      </c>
      <c r="O35" s="372">
        <f t="shared" si="20"/>
        <v>883220.26999999955</v>
      </c>
      <c r="P35" s="371">
        <f t="shared" si="20"/>
        <v>0</v>
      </c>
      <c r="Q35" s="374">
        <f t="shared" ref="Q35" si="21">+Q19-Q52</f>
        <v>0</v>
      </c>
      <c r="R35" s="363"/>
      <c r="S35" s="363"/>
      <c r="T35" s="363"/>
      <c r="U35" s="363"/>
      <c r="V35" s="363"/>
      <c r="W35" s="363"/>
    </row>
    <row r="36" spans="1:23">
      <c r="A36" s="401"/>
      <c r="B36" s="414" t="str">
        <f t="shared" si="3"/>
        <v>September</v>
      </c>
      <c r="C36" s="372">
        <f t="shared" ref="C36:P36" si="22">+C20-C53</f>
        <v>29226307.449999988</v>
      </c>
      <c r="D36" s="373">
        <f t="shared" si="22"/>
        <v>2005919.5430000033</v>
      </c>
      <c r="E36" s="372">
        <f t="shared" si="22"/>
        <v>16809713.530000016</v>
      </c>
      <c r="F36" s="373">
        <f t="shared" si="22"/>
        <v>12835672.520000011</v>
      </c>
      <c r="G36" s="372">
        <f t="shared" si="22"/>
        <v>301733.05499999947</v>
      </c>
      <c r="H36" s="373">
        <f t="shared" si="22"/>
        <v>267738.97999999975</v>
      </c>
      <c r="I36" s="372">
        <f t="shared" si="22"/>
        <v>83894.655000000028</v>
      </c>
      <c r="J36" s="373">
        <f t="shared" si="22"/>
        <v>31548.40499999997</v>
      </c>
      <c r="K36" s="372">
        <f t="shared" si="22"/>
        <v>2032868.6699999981</v>
      </c>
      <c r="L36" s="373">
        <f t="shared" si="22"/>
        <v>0</v>
      </c>
      <c r="M36" s="374">
        <f t="shared" si="22"/>
        <v>7846301.7699999958</v>
      </c>
      <c r="N36" s="373">
        <f t="shared" si="22"/>
        <v>0</v>
      </c>
      <c r="O36" s="372">
        <f t="shared" si="22"/>
        <v>947159.94000000134</v>
      </c>
      <c r="P36" s="371">
        <f t="shared" si="22"/>
        <v>161997.68000000715</v>
      </c>
      <c r="Q36" s="374">
        <f t="shared" ref="Q36" si="23">+Q20-Q53</f>
        <v>0</v>
      </c>
      <c r="R36" s="363"/>
      <c r="S36" s="363"/>
      <c r="T36" s="363"/>
      <c r="U36" s="363"/>
      <c r="V36" s="363"/>
      <c r="W36" s="363"/>
    </row>
    <row r="37" spans="1:23">
      <c r="A37" s="401"/>
      <c r="B37" s="414" t="str">
        <f t="shared" si="3"/>
        <v>October</v>
      </c>
      <c r="C37" s="372">
        <f t="shared" ref="C37:P37" si="24">+C21-C54</f>
        <v>29536263.529999986</v>
      </c>
      <c r="D37" s="373">
        <f t="shared" si="24"/>
        <v>2026885.8830000032</v>
      </c>
      <c r="E37" s="372">
        <f t="shared" si="24"/>
        <v>16998820.430000022</v>
      </c>
      <c r="F37" s="373">
        <f t="shared" si="24"/>
        <v>13117222.960000008</v>
      </c>
      <c r="G37" s="372">
        <f t="shared" si="24"/>
        <v>304444.3349999995</v>
      </c>
      <c r="H37" s="373">
        <f t="shared" si="24"/>
        <v>272496.46999999974</v>
      </c>
      <c r="I37" s="372">
        <f t="shared" si="24"/>
        <v>84501.434999999939</v>
      </c>
      <c r="J37" s="373">
        <f t="shared" si="24"/>
        <v>31273.579999999958</v>
      </c>
      <c r="K37" s="372">
        <f t="shared" si="24"/>
        <v>2070028.4199999981</v>
      </c>
      <c r="L37" s="373">
        <f t="shared" si="24"/>
        <v>0</v>
      </c>
      <c r="M37" s="374">
        <f t="shared" si="24"/>
        <v>8123001.5700000077</v>
      </c>
      <c r="N37" s="373">
        <f t="shared" si="24"/>
        <v>0</v>
      </c>
      <c r="O37" s="372">
        <f t="shared" si="24"/>
        <v>1011110.8500000015</v>
      </c>
      <c r="P37" s="371">
        <f t="shared" si="24"/>
        <v>326829.94999998808</v>
      </c>
      <c r="Q37" s="374">
        <f t="shared" ref="Q37" si="25">+Q21-Q54</f>
        <v>0</v>
      </c>
      <c r="R37" s="363"/>
      <c r="S37" s="363"/>
      <c r="T37" s="363"/>
      <c r="U37" s="363"/>
      <c r="V37" s="363"/>
      <c r="W37" s="363"/>
    </row>
    <row r="38" spans="1:23">
      <c r="A38" s="401"/>
      <c r="B38" s="414" t="str">
        <f t="shared" si="3"/>
        <v>November</v>
      </c>
      <c r="C38" s="372">
        <f t="shared" ref="C38:P38" si="26">+C22-C55</f>
        <v>29850554.599999994</v>
      </c>
      <c r="D38" s="373">
        <f t="shared" si="26"/>
        <v>2047852.223000003</v>
      </c>
      <c r="E38" s="372">
        <f t="shared" si="26"/>
        <v>17187927.330000013</v>
      </c>
      <c r="F38" s="373">
        <f t="shared" si="26"/>
        <v>13398704.650000006</v>
      </c>
      <c r="G38" s="372">
        <f t="shared" si="26"/>
        <v>307496.01499999943</v>
      </c>
      <c r="H38" s="373">
        <f t="shared" si="26"/>
        <v>277298.45499999984</v>
      </c>
      <c r="I38" s="372">
        <f t="shared" si="26"/>
        <v>85519.939999999944</v>
      </c>
      <c r="J38" s="373">
        <f t="shared" si="26"/>
        <v>-75587.030000000028</v>
      </c>
      <c r="K38" s="372">
        <f t="shared" si="26"/>
        <v>2107188.2699999996</v>
      </c>
      <c r="L38" s="373">
        <f t="shared" si="26"/>
        <v>0</v>
      </c>
      <c r="M38" s="374">
        <f t="shared" si="26"/>
        <v>8414530.9099999964</v>
      </c>
      <c r="N38" s="373">
        <f t="shared" si="26"/>
        <v>0</v>
      </c>
      <c r="O38" s="372">
        <f t="shared" si="26"/>
        <v>1075063.5800000019</v>
      </c>
      <c r="P38" s="371">
        <f t="shared" si="26"/>
        <v>491774.06999999285</v>
      </c>
      <c r="Q38" s="374">
        <f t="shared" ref="Q38" si="27">+Q22-Q55</f>
        <v>0</v>
      </c>
      <c r="R38" s="363"/>
      <c r="S38" s="363"/>
      <c r="T38" s="363"/>
      <c r="U38" s="363"/>
      <c r="V38" s="363"/>
      <c r="W38" s="363"/>
    </row>
    <row r="39" spans="1:23">
      <c r="A39" s="376"/>
      <c r="B39" s="414" t="str">
        <f t="shared" si="3"/>
        <v>December 2016</v>
      </c>
      <c r="C39" s="411">
        <f t="shared" ref="C39:P39" si="28">+C23-C56</f>
        <v>30143324.269999981</v>
      </c>
      <c r="D39" s="412">
        <f t="shared" si="28"/>
        <v>2068818.5630000038</v>
      </c>
      <c r="E39" s="411">
        <f t="shared" si="28"/>
        <v>17377034.230000019</v>
      </c>
      <c r="F39" s="412">
        <f t="shared" si="28"/>
        <v>13680181.140000001</v>
      </c>
      <c r="G39" s="411">
        <f t="shared" si="28"/>
        <v>310535.90999999945</v>
      </c>
      <c r="H39" s="412">
        <f t="shared" si="28"/>
        <v>279875.33499999996</v>
      </c>
      <c r="I39" s="411">
        <f t="shared" si="28"/>
        <v>86692.984999999986</v>
      </c>
      <c r="J39" s="412">
        <f t="shared" si="28"/>
        <v>-69438.035000000033</v>
      </c>
      <c r="K39" s="411">
        <f t="shared" si="28"/>
        <v>2144348.1199999992</v>
      </c>
      <c r="L39" s="412">
        <f t="shared" si="28"/>
        <v>0</v>
      </c>
      <c r="M39" s="413">
        <f t="shared" si="28"/>
        <v>8683022.2399999946</v>
      </c>
      <c r="N39" s="412">
        <f t="shared" si="28"/>
        <v>0</v>
      </c>
      <c r="O39" s="411">
        <f t="shared" si="28"/>
        <v>1140512.9600000046</v>
      </c>
      <c r="P39" s="410">
        <f t="shared" si="28"/>
        <v>658569.36000001431</v>
      </c>
      <c r="Q39" s="413">
        <f t="shared" ref="Q39" si="29">+Q23-Q56</f>
        <v>0</v>
      </c>
      <c r="R39" s="363"/>
      <c r="S39" s="363"/>
      <c r="T39" s="363"/>
      <c r="U39" s="363"/>
      <c r="V39" s="363"/>
      <c r="W39" s="363"/>
    </row>
    <row r="40" spans="1:23">
      <c r="A40" s="387"/>
      <c r="B40" s="398" t="s">
        <v>589</v>
      </c>
      <c r="C40" s="396">
        <f t="shared" ref="C40:Q40" si="30">AVERAGE(C27:C39)</f>
        <v>28288630.846923068</v>
      </c>
      <c r="D40" s="396">
        <f t="shared" si="30"/>
        <v>1943020.5230000028</v>
      </c>
      <c r="E40" s="396">
        <f t="shared" si="30"/>
        <v>16242392.830000013</v>
      </c>
      <c r="F40" s="396">
        <f t="shared" si="30"/>
        <v>11990977.360769235</v>
      </c>
      <c r="G40" s="396">
        <f t="shared" si="30"/>
        <v>293172.45192307641</v>
      </c>
      <c r="H40" s="396">
        <f t="shared" si="30"/>
        <v>252649.32576923058</v>
      </c>
      <c r="I40" s="396">
        <f t="shared" si="30"/>
        <v>78715.394615384619</v>
      </c>
      <c r="J40" s="396">
        <f t="shared" si="30"/>
        <v>14545.440384615338</v>
      </c>
      <c r="K40" s="396">
        <f t="shared" si="30"/>
        <v>2044282.9376923065</v>
      </c>
      <c r="L40" s="396">
        <f t="shared" si="30"/>
        <v>0</v>
      </c>
      <c r="M40" s="397">
        <f t="shared" si="30"/>
        <v>6973856.5323076937</v>
      </c>
      <c r="N40" s="396">
        <f t="shared" si="30"/>
        <v>0</v>
      </c>
      <c r="O40" s="396">
        <f t="shared" si="30"/>
        <v>754991.41076923185</v>
      </c>
      <c r="P40" s="396">
        <f t="shared" si="30"/>
        <v>126090.08153846172</v>
      </c>
      <c r="Q40" s="397">
        <f t="shared" si="30"/>
        <v>0</v>
      </c>
      <c r="R40" s="363"/>
      <c r="S40" s="363"/>
      <c r="T40" s="363"/>
      <c r="U40" s="363"/>
      <c r="V40" s="363"/>
      <c r="W40" s="363"/>
    </row>
    <row r="41" spans="1:23" s="408" customFormat="1">
      <c r="A41" s="409"/>
      <c r="B41" s="369"/>
      <c r="C41" s="389"/>
      <c r="D41" s="389"/>
      <c r="E41" s="389"/>
      <c r="F41" s="389"/>
      <c r="G41" s="389"/>
      <c r="H41" s="390"/>
      <c r="I41" s="390"/>
      <c r="J41" s="390"/>
      <c r="K41" s="389"/>
      <c r="L41" s="391"/>
      <c r="M41" s="391"/>
      <c r="N41" s="390"/>
      <c r="O41" s="389"/>
      <c r="P41" s="390"/>
      <c r="Q41" s="389"/>
      <c r="R41" s="363"/>
      <c r="S41" s="363"/>
      <c r="T41" s="363"/>
      <c r="U41" s="363"/>
      <c r="V41" s="363"/>
      <c r="W41" s="363"/>
    </row>
    <row r="42" spans="1:23">
      <c r="A42" s="387"/>
      <c r="B42" s="407"/>
      <c r="C42" s="406"/>
      <c r="D42" s="406"/>
      <c r="E42" s="406"/>
      <c r="F42" s="406"/>
      <c r="G42" s="406"/>
      <c r="H42" s="406"/>
      <c r="I42" s="406"/>
      <c r="J42" s="406"/>
      <c r="K42" s="406"/>
      <c r="L42" s="391"/>
      <c r="M42" s="391"/>
      <c r="N42" s="406"/>
      <c r="O42" s="406"/>
      <c r="P42" s="406"/>
      <c r="Q42" s="406"/>
      <c r="R42" s="363"/>
      <c r="S42" s="363"/>
      <c r="T42" s="363"/>
      <c r="U42" s="363"/>
      <c r="V42" s="363"/>
      <c r="W42" s="363"/>
    </row>
    <row r="43" spans="1:23">
      <c r="A43" s="405"/>
      <c r="B43" s="404"/>
      <c r="C43" s="403"/>
      <c r="D43" s="402"/>
      <c r="E43" s="402"/>
      <c r="F43" s="402"/>
      <c r="G43" s="402"/>
      <c r="H43" s="402"/>
      <c r="I43" s="402"/>
      <c r="J43" s="402"/>
      <c r="K43" s="402"/>
      <c r="L43" s="385"/>
      <c r="M43" s="385"/>
      <c r="N43" s="402"/>
      <c r="O43" s="402"/>
      <c r="P43" s="402"/>
      <c r="Q43" s="402"/>
      <c r="R43" s="363"/>
      <c r="S43" s="363"/>
      <c r="T43" s="363"/>
      <c r="U43" s="363"/>
      <c r="V43" s="363"/>
      <c r="W43" s="363"/>
    </row>
    <row r="44" spans="1:23">
      <c r="A44" s="401" t="s">
        <v>591</v>
      </c>
      <c r="B44" s="400" t="str">
        <f t="shared" ref="B44:B56" si="31">+B11</f>
        <v>December 2015</v>
      </c>
      <c r="C44" s="372">
        <v>122104341.66000001</v>
      </c>
      <c r="D44" s="373">
        <v>6934749.1969999969</v>
      </c>
      <c r="E44" s="372">
        <v>73113164.689999983</v>
      </c>
      <c r="F44" s="373">
        <v>130872320.88999996</v>
      </c>
      <c r="G44" s="372">
        <v>1104095.9300000006</v>
      </c>
      <c r="H44" s="373">
        <v>1918211.4150000005</v>
      </c>
      <c r="I44" s="372">
        <v>556436.77500000002</v>
      </c>
      <c r="J44" s="373">
        <v>372615.13500000007</v>
      </c>
      <c r="K44" s="372">
        <v>13374488.84</v>
      </c>
      <c r="L44" s="373">
        <v>442070.47000000003</v>
      </c>
      <c r="M44" s="374">
        <v>119023971.68999998</v>
      </c>
      <c r="N44" s="373">
        <v>0</v>
      </c>
      <c r="O44" s="372">
        <v>25810988.980000004</v>
      </c>
      <c r="P44" s="371">
        <v>69062224.79524</v>
      </c>
      <c r="Q44" s="374">
        <v>0</v>
      </c>
      <c r="R44" s="363"/>
      <c r="S44" s="433"/>
      <c r="T44" s="363"/>
      <c r="U44" s="363"/>
      <c r="V44" s="363"/>
      <c r="W44" s="363"/>
    </row>
    <row r="45" spans="1:23">
      <c r="A45" s="401" t="s">
        <v>590</v>
      </c>
      <c r="B45" s="400" t="str">
        <f t="shared" si="31"/>
        <v>January 2016</v>
      </c>
      <c r="C45" s="372">
        <v>121787683.24000001</v>
      </c>
      <c r="D45" s="373">
        <v>6913782.856999997</v>
      </c>
      <c r="E45" s="372">
        <v>72924057.790000007</v>
      </c>
      <c r="F45" s="373">
        <v>130590754.97999996</v>
      </c>
      <c r="G45" s="372">
        <v>1100917.0700000005</v>
      </c>
      <c r="H45" s="373">
        <v>1913264.3300000005</v>
      </c>
      <c r="I45" s="372">
        <v>555045.58499999996</v>
      </c>
      <c r="J45" s="373">
        <v>374779.46500000008</v>
      </c>
      <c r="K45" s="372">
        <v>13336478.630000001</v>
      </c>
      <c r="L45" s="373">
        <v>579769.45000000007</v>
      </c>
      <c r="M45" s="374">
        <v>118740386.55999999</v>
      </c>
      <c r="N45" s="373">
        <v>0</v>
      </c>
      <c r="O45" s="372">
        <v>25751093.68</v>
      </c>
      <c r="P45" s="371">
        <v>73264503.010000005</v>
      </c>
      <c r="Q45" s="374">
        <v>0</v>
      </c>
      <c r="R45" s="363"/>
      <c r="S45" s="433"/>
      <c r="T45" s="363"/>
      <c r="U45" s="363"/>
      <c r="V45" s="363"/>
      <c r="W45" s="363"/>
    </row>
    <row r="46" spans="1:23">
      <c r="A46" s="401"/>
      <c r="B46" s="400" t="str">
        <f t="shared" si="31"/>
        <v>February</v>
      </c>
      <c r="C46" s="372">
        <v>121471213.84000002</v>
      </c>
      <c r="D46" s="373">
        <v>6892816.5169999972</v>
      </c>
      <c r="E46" s="372">
        <v>72734950.890000001</v>
      </c>
      <c r="F46" s="373">
        <v>130309198.87999995</v>
      </c>
      <c r="G46" s="372">
        <v>1097738.2100000004</v>
      </c>
      <c r="H46" s="373">
        <v>1908317.2450000006</v>
      </c>
      <c r="I46" s="372">
        <v>553643.79500000004</v>
      </c>
      <c r="J46" s="373">
        <v>376236.8000000001</v>
      </c>
      <c r="K46" s="372">
        <v>13298468.42</v>
      </c>
      <c r="L46" s="373">
        <v>698384.25</v>
      </c>
      <c r="M46" s="374">
        <v>118457523.89</v>
      </c>
      <c r="N46" s="373">
        <v>0</v>
      </c>
      <c r="O46" s="372">
        <v>25687356.309999999</v>
      </c>
      <c r="P46" s="371">
        <v>77101558.020000011</v>
      </c>
      <c r="Q46" s="374">
        <v>0</v>
      </c>
      <c r="R46" s="363"/>
      <c r="S46" s="433"/>
      <c r="T46" s="363"/>
      <c r="U46" s="363"/>
      <c r="V46" s="363"/>
      <c r="W46" s="363"/>
    </row>
    <row r="47" spans="1:23">
      <c r="A47" s="401"/>
      <c r="B47" s="400" t="str">
        <f t="shared" si="31"/>
        <v xml:space="preserve">March </v>
      </c>
      <c r="C47" s="372">
        <v>121155931.88000001</v>
      </c>
      <c r="D47" s="373">
        <v>6871850.1769999973</v>
      </c>
      <c r="E47" s="372">
        <v>72545843.99000001</v>
      </c>
      <c r="F47" s="373">
        <v>130027648.13999996</v>
      </c>
      <c r="G47" s="372">
        <v>1095045.3600000006</v>
      </c>
      <c r="H47" s="373">
        <v>1903370.1600000006</v>
      </c>
      <c r="I47" s="372">
        <v>552247.07000000007</v>
      </c>
      <c r="J47" s="373">
        <v>381202.77000000008</v>
      </c>
      <c r="K47" s="372">
        <v>13260458.210000001</v>
      </c>
      <c r="L47" s="373">
        <v>838437.07000000007</v>
      </c>
      <c r="M47" s="374">
        <v>118171030.83999999</v>
      </c>
      <c r="N47" s="373">
        <v>0</v>
      </c>
      <c r="O47" s="372">
        <v>25635401.040000003</v>
      </c>
      <c r="P47" s="371">
        <v>83901791.120000005</v>
      </c>
      <c r="Q47" s="374">
        <v>0</v>
      </c>
      <c r="R47" s="363"/>
      <c r="S47" s="433"/>
      <c r="T47" s="363"/>
      <c r="U47" s="363"/>
      <c r="V47" s="363"/>
      <c r="W47" s="363"/>
    </row>
    <row r="48" spans="1:23">
      <c r="A48" s="401"/>
      <c r="B48" s="400" t="str">
        <f t="shared" si="31"/>
        <v>April</v>
      </c>
      <c r="C48" s="372">
        <v>120838983.65000001</v>
      </c>
      <c r="D48" s="373">
        <v>6850883.8369999966</v>
      </c>
      <c r="E48" s="372">
        <v>72356737.090000004</v>
      </c>
      <c r="F48" s="373">
        <v>129746096.18999995</v>
      </c>
      <c r="G48" s="372">
        <v>1092352.2850000006</v>
      </c>
      <c r="H48" s="373">
        <v>1898423.0750000007</v>
      </c>
      <c r="I48" s="372">
        <v>550891.73</v>
      </c>
      <c r="J48" s="373">
        <v>374783.62500000006</v>
      </c>
      <c r="K48" s="372">
        <v>13222684.41</v>
      </c>
      <c r="L48" s="373">
        <v>912314.03</v>
      </c>
      <c r="M48" s="374">
        <v>117882459.76999998</v>
      </c>
      <c r="N48" s="373">
        <v>0</v>
      </c>
      <c r="O48" s="372">
        <v>25564464.549999997</v>
      </c>
      <c r="P48" s="371">
        <v>87444086.25</v>
      </c>
      <c r="Q48" s="374">
        <v>0</v>
      </c>
      <c r="R48" s="363"/>
      <c r="S48" s="433"/>
      <c r="T48" s="363"/>
      <c r="U48" s="363"/>
      <c r="V48" s="363"/>
      <c r="W48" s="363"/>
    </row>
    <row r="49" spans="1:23">
      <c r="A49" s="401"/>
      <c r="B49" s="400" t="str">
        <f t="shared" si="31"/>
        <v>May</v>
      </c>
      <c r="C49" s="372">
        <v>120521102.59000002</v>
      </c>
      <c r="D49" s="373">
        <v>6829917.4969999967</v>
      </c>
      <c r="E49" s="372">
        <v>72167630.189999998</v>
      </c>
      <c r="F49" s="373">
        <v>129464549.87999995</v>
      </c>
      <c r="G49" s="372">
        <v>1089488.2700000005</v>
      </c>
      <c r="H49" s="373">
        <v>1893475.9900000005</v>
      </c>
      <c r="I49" s="372">
        <v>549511.64500000002</v>
      </c>
      <c r="J49" s="373">
        <v>375840.2300000001</v>
      </c>
      <c r="K49" s="372">
        <v>13184823.390000002</v>
      </c>
      <c r="L49" s="373">
        <v>1032822.6200000001</v>
      </c>
      <c r="M49" s="374">
        <v>117592810.64999999</v>
      </c>
      <c r="N49" s="373">
        <v>0</v>
      </c>
      <c r="O49" s="372">
        <v>25500330.130000006</v>
      </c>
      <c r="P49" s="371">
        <v>91327947.159999996</v>
      </c>
      <c r="Q49" s="374">
        <v>0</v>
      </c>
      <c r="R49" s="363"/>
      <c r="S49" s="433"/>
      <c r="T49" s="363"/>
      <c r="U49" s="363"/>
      <c r="V49" s="363"/>
      <c r="W49" s="363"/>
    </row>
    <row r="50" spans="1:23">
      <c r="A50" s="401"/>
      <c r="B50" s="400" t="str">
        <f t="shared" si="31"/>
        <v>June</v>
      </c>
      <c r="C50" s="372">
        <v>120202871.53000002</v>
      </c>
      <c r="D50" s="373">
        <v>6808951.1569999969</v>
      </c>
      <c r="E50" s="372">
        <v>71978523.290000007</v>
      </c>
      <c r="F50" s="373">
        <v>129182999.11999996</v>
      </c>
      <c r="G50" s="372">
        <v>1086463.9950000006</v>
      </c>
      <c r="H50" s="373">
        <v>1888528.9050000005</v>
      </c>
      <c r="I50" s="372">
        <v>548219.03</v>
      </c>
      <c r="J50" s="373">
        <v>376010.18500000006</v>
      </c>
      <c r="K50" s="372">
        <v>13147734.470000003</v>
      </c>
      <c r="L50" s="373">
        <v>1183998.79</v>
      </c>
      <c r="M50" s="374">
        <v>117306036.49999999</v>
      </c>
      <c r="N50" s="373">
        <v>0</v>
      </c>
      <c r="O50" s="372">
        <v>25438767.860000007</v>
      </c>
      <c r="P50" s="371">
        <v>96430580.719999999</v>
      </c>
      <c r="Q50" s="374">
        <v>0</v>
      </c>
      <c r="R50" s="363"/>
      <c r="S50" s="433"/>
      <c r="T50" s="363"/>
      <c r="U50" s="363"/>
      <c r="V50" s="363"/>
      <c r="W50" s="363"/>
    </row>
    <row r="51" spans="1:23">
      <c r="A51" s="401"/>
      <c r="B51" s="400" t="str">
        <f t="shared" si="31"/>
        <v>July</v>
      </c>
      <c r="C51" s="372">
        <v>119887227.09000002</v>
      </c>
      <c r="D51" s="373">
        <v>6787984.8169999961</v>
      </c>
      <c r="E51" s="372">
        <v>71789416.390000001</v>
      </c>
      <c r="F51" s="373">
        <v>128901445.20999995</v>
      </c>
      <c r="G51" s="372">
        <v>1083632.9550000005</v>
      </c>
      <c r="H51" s="373">
        <v>1883581.8200000005</v>
      </c>
      <c r="I51" s="372">
        <v>546886.38</v>
      </c>
      <c r="J51" s="373">
        <v>375747.18500000006</v>
      </c>
      <c r="K51" s="372">
        <v>13110600.710000001</v>
      </c>
      <c r="L51" s="373">
        <v>1422477.05</v>
      </c>
      <c r="M51" s="374">
        <v>117016701.09</v>
      </c>
      <c r="N51" s="373">
        <v>0</v>
      </c>
      <c r="O51" s="372">
        <v>25396505.269999996</v>
      </c>
      <c r="P51" s="371">
        <v>102439750.89</v>
      </c>
      <c r="Q51" s="374">
        <v>0</v>
      </c>
      <c r="R51" s="363"/>
      <c r="S51" s="433"/>
      <c r="T51" s="363"/>
      <c r="U51" s="363"/>
      <c r="V51" s="363"/>
      <c r="W51" s="363"/>
    </row>
    <row r="52" spans="1:23">
      <c r="A52" s="401"/>
      <c r="B52" s="400" t="str">
        <f t="shared" si="31"/>
        <v xml:space="preserve">August </v>
      </c>
      <c r="C52" s="372">
        <v>119587117.48000002</v>
      </c>
      <c r="D52" s="373">
        <v>6767018.4769999962</v>
      </c>
      <c r="E52" s="372">
        <v>71600309.49000001</v>
      </c>
      <c r="F52" s="373">
        <v>128619879.85999995</v>
      </c>
      <c r="G52" s="372">
        <v>1080766.1050000007</v>
      </c>
      <c r="H52" s="373">
        <v>1878634.7350000006</v>
      </c>
      <c r="I52" s="372">
        <v>543852.03</v>
      </c>
      <c r="J52" s="373">
        <v>374860.4850000001</v>
      </c>
      <c r="K52" s="372">
        <v>13073452.740000002</v>
      </c>
      <c r="L52" s="373">
        <v>1598148.32</v>
      </c>
      <c r="M52" s="374">
        <v>116727365.68000001</v>
      </c>
      <c r="N52" s="373">
        <v>0</v>
      </c>
      <c r="O52" s="372">
        <v>25441924.210000001</v>
      </c>
      <c r="P52" s="371">
        <v>108379367.05</v>
      </c>
      <c r="Q52" s="374">
        <v>0</v>
      </c>
      <c r="R52" s="363"/>
      <c r="S52" s="433"/>
      <c r="T52" s="363"/>
      <c r="U52" s="363"/>
      <c r="V52" s="363"/>
      <c r="W52" s="363"/>
    </row>
    <row r="53" spans="1:23">
      <c r="A53" s="401"/>
      <c r="B53" s="400" t="str">
        <f t="shared" si="31"/>
        <v>September</v>
      </c>
      <c r="C53" s="372">
        <v>119279495.23000002</v>
      </c>
      <c r="D53" s="373">
        <v>6746052.1369999964</v>
      </c>
      <c r="E53" s="372">
        <v>71411202.590000004</v>
      </c>
      <c r="F53" s="373">
        <v>128338307.20999995</v>
      </c>
      <c r="G53" s="372">
        <v>1077992.8050000006</v>
      </c>
      <c r="H53" s="373">
        <v>1873687.6500000006</v>
      </c>
      <c r="I53" s="372">
        <v>542708.14</v>
      </c>
      <c r="J53" s="373">
        <v>374381.56000000006</v>
      </c>
      <c r="K53" s="372">
        <v>13036302.650000002</v>
      </c>
      <c r="L53" s="373">
        <v>1831109.87</v>
      </c>
      <c r="M53" s="374">
        <v>116438030.27000001</v>
      </c>
      <c r="N53" s="373">
        <v>0</v>
      </c>
      <c r="O53" s="372">
        <v>25634792.019999996</v>
      </c>
      <c r="P53" s="371">
        <v>115836065.84999999</v>
      </c>
      <c r="Q53" s="374">
        <v>0</v>
      </c>
      <c r="R53" s="363"/>
      <c r="S53" s="433"/>
      <c r="T53" s="363"/>
      <c r="U53" s="363"/>
      <c r="V53" s="363"/>
      <c r="W53" s="363"/>
    </row>
    <row r="54" spans="1:23">
      <c r="A54" s="401"/>
      <c r="B54" s="400" t="str">
        <f t="shared" si="31"/>
        <v>October</v>
      </c>
      <c r="C54" s="372">
        <v>118969539.15000002</v>
      </c>
      <c r="D54" s="373">
        <v>6725085.7969999965</v>
      </c>
      <c r="E54" s="372">
        <v>71222095.689999968</v>
      </c>
      <c r="F54" s="373">
        <v>128056756.76999995</v>
      </c>
      <c r="G54" s="372">
        <v>1075281.5250000006</v>
      </c>
      <c r="H54" s="373">
        <v>1868930.1600000006</v>
      </c>
      <c r="I54" s="372">
        <v>542101.3600000001</v>
      </c>
      <c r="J54" s="373">
        <v>374656.38500000007</v>
      </c>
      <c r="K54" s="372">
        <v>12999142.900000002</v>
      </c>
      <c r="L54" s="373">
        <v>1995248.54</v>
      </c>
      <c r="M54" s="374">
        <v>116146464.50999999</v>
      </c>
      <c r="N54" s="373">
        <v>0</v>
      </c>
      <c r="O54" s="372">
        <v>25683024.720000003</v>
      </c>
      <c r="P54" s="371">
        <v>122063201.51733002</v>
      </c>
      <c r="Q54" s="374">
        <v>0</v>
      </c>
      <c r="R54" s="363"/>
      <c r="S54" s="433"/>
      <c r="T54" s="363"/>
      <c r="U54" s="363"/>
      <c r="V54" s="363"/>
      <c r="W54" s="363"/>
    </row>
    <row r="55" spans="1:23">
      <c r="A55" s="401"/>
      <c r="B55" s="400" t="str">
        <f t="shared" si="31"/>
        <v>November</v>
      </c>
      <c r="C55" s="372">
        <v>118655248.08000001</v>
      </c>
      <c r="D55" s="373">
        <v>6704119.4569999967</v>
      </c>
      <c r="E55" s="372">
        <v>71032988.789999977</v>
      </c>
      <c r="F55" s="373">
        <v>127775275.07999995</v>
      </c>
      <c r="G55" s="372">
        <v>1072229.8450000007</v>
      </c>
      <c r="H55" s="373">
        <v>1864128.1750000005</v>
      </c>
      <c r="I55" s="372">
        <v>541082.8550000001</v>
      </c>
      <c r="J55" s="373">
        <v>374189.42500000005</v>
      </c>
      <c r="K55" s="372">
        <v>12961983.050000001</v>
      </c>
      <c r="L55" s="373">
        <v>2429468.5300000003</v>
      </c>
      <c r="M55" s="374">
        <v>115854935.17</v>
      </c>
      <c r="N55" s="373">
        <v>0</v>
      </c>
      <c r="O55" s="372">
        <v>25628263.329999994</v>
      </c>
      <c r="P55" s="371">
        <v>132454336.08999997</v>
      </c>
      <c r="Q55" s="374">
        <v>0</v>
      </c>
      <c r="R55" s="363"/>
      <c r="S55" s="433"/>
      <c r="T55" s="363"/>
      <c r="U55" s="363"/>
      <c r="V55" s="363"/>
      <c r="W55" s="363"/>
    </row>
    <row r="56" spans="1:23">
      <c r="A56" s="401"/>
      <c r="B56" s="400" t="str">
        <f t="shared" si="31"/>
        <v>December 2016</v>
      </c>
      <c r="C56" s="372">
        <v>118339515.12000003</v>
      </c>
      <c r="D56" s="373">
        <v>6683153.1169999959</v>
      </c>
      <c r="E56" s="372">
        <v>70843881.889999986</v>
      </c>
      <c r="F56" s="373">
        <v>127493798.58999996</v>
      </c>
      <c r="G56" s="372">
        <v>1069189.9500000007</v>
      </c>
      <c r="H56" s="373">
        <v>1861551.2950000004</v>
      </c>
      <c r="I56" s="372">
        <v>539909.81000000006</v>
      </c>
      <c r="J56" s="373">
        <v>368040.43000000005</v>
      </c>
      <c r="K56" s="372">
        <v>12924823.200000001</v>
      </c>
      <c r="L56" s="373">
        <v>2524557.16</v>
      </c>
      <c r="M56" s="374">
        <v>115563405.83000001</v>
      </c>
      <c r="N56" s="373">
        <v>0</v>
      </c>
      <c r="O56" s="372">
        <v>25611259.689999998</v>
      </c>
      <c r="P56" s="371">
        <v>135952172.88999999</v>
      </c>
      <c r="Q56" s="374">
        <v>0</v>
      </c>
      <c r="R56" s="363"/>
      <c r="S56" s="433"/>
      <c r="T56" s="363"/>
      <c r="U56" s="363"/>
      <c r="V56" s="363"/>
      <c r="W56" s="363"/>
    </row>
    <row r="57" spans="1:23">
      <c r="A57" s="399"/>
      <c r="B57" s="398" t="s">
        <v>589</v>
      </c>
      <c r="C57" s="396">
        <f t="shared" ref="C57:Q57" si="32">AVERAGE(C44:C56)</f>
        <v>120215405.42615387</v>
      </c>
      <c r="D57" s="396">
        <f t="shared" si="32"/>
        <v>6808951.1569999969</v>
      </c>
      <c r="E57" s="396">
        <f t="shared" si="32"/>
        <v>71978523.289999992</v>
      </c>
      <c r="F57" s="396">
        <f t="shared" si="32"/>
        <v>129183002.36923073</v>
      </c>
      <c r="G57" s="396">
        <f t="shared" si="32"/>
        <v>1086553.4080769236</v>
      </c>
      <c r="H57" s="396">
        <f t="shared" si="32"/>
        <v>1888777.3042307699</v>
      </c>
      <c r="I57" s="396">
        <f t="shared" si="32"/>
        <v>547887.40038461541</v>
      </c>
      <c r="J57" s="396">
        <f t="shared" si="32"/>
        <v>374872.5907692308</v>
      </c>
      <c r="K57" s="396">
        <f t="shared" si="32"/>
        <v>13148572.432307694</v>
      </c>
      <c r="L57" s="396">
        <f t="shared" si="32"/>
        <v>1345292.780769231</v>
      </c>
      <c r="M57" s="397">
        <f t="shared" si="32"/>
        <v>117301624.80384615</v>
      </c>
      <c r="N57" s="396">
        <f t="shared" si="32"/>
        <v>0</v>
      </c>
      <c r="O57" s="396">
        <f t="shared" si="32"/>
        <v>25598782.445384618</v>
      </c>
      <c r="P57" s="396">
        <f t="shared" si="32"/>
        <v>99665968.104813069</v>
      </c>
      <c r="Q57" s="397">
        <f t="shared" si="32"/>
        <v>0</v>
      </c>
      <c r="R57" s="363"/>
      <c r="S57" s="363"/>
      <c r="T57" s="363"/>
      <c r="U57" s="363"/>
      <c r="V57" s="363"/>
      <c r="W57" s="363"/>
    </row>
    <row r="58" spans="1:23">
      <c r="A58" s="387"/>
      <c r="B58" s="393"/>
      <c r="C58" s="392"/>
      <c r="D58" s="392"/>
      <c r="E58" s="392"/>
      <c r="F58" s="392"/>
      <c r="G58" s="392"/>
      <c r="H58" s="388"/>
      <c r="I58" s="388"/>
      <c r="J58" s="390"/>
      <c r="K58" s="389"/>
      <c r="L58" s="391"/>
      <c r="M58" s="391"/>
      <c r="N58" s="390"/>
      <c r="O58" s="389"/>
      <c r="P58" s="388"/>
      <c r="Q58" s="389"/>
      <c r="R58" s="363"/>
      <c r="S58" s="363"/>
      <c r="T58" s="363"/>
      <c r="U58" s="363"/>
      <c r="V58" s="363"/>
      <c r="W58" s="363"/>
    </row>
    <row r="59" spans="1:23">
      <c r="A59" s="387"/>
      <c r="B59" s="386"/>
      <c r="C59" s="383"/>
      <c r="D59" s="383"/>
      <c r="E59" s="383"/>
      <c r="F59" s="383"/>
      <c r="G59" s="383"/>
      <c r="H59" s="383"/>
      <c r="I59" s="383"/>
      <c r="J59" s="384"/>
      <c r="K59" s="384"/>
      <c r="L59" s="385"/>
      <c r="M59" s="385"/>
      <c r="N59" s="384"/>
      <c r="O59" s="384"/>
      <c r="P59" s="383"/>
      <c r="Q59" s="384"/>
      <c r="R59" s="363"/>
      <c r="S59" s="363"/>
      <c r="T59" s="363"/>
      <c r="U59" s="363"/>
      <c r="V59" s="363"/>
      <c r="W59" s="363"/>
    </row>
    <row r="60" spans="1:23">
      <c r="A60" s="382" t="s">
        <v>588</v>
      </c>
      <c r="B60" s="381" t="s">
        <v>417</v>
      </c>
      <c r="C60" s="378">
        <v>3844879.3199999989</v>
      </c>
      <c r="D60" s="379">
        <v>251596.08</v>
      </c>
      <c r="E60" s="378">
        <v>2269282.7999999993</v>
      </c>
      <c r="F60" s="379">
        <v>3379192.7999999993</v>
      </c>
      <c r="G60" s="378">
        <v>38146.32</v>
      </c>
      <c r="H60" s="379">
        <v>59365.02</v>
      </c>
      <c r="I60" s="378">
        <v>18278.939999999995</v>
      </c>
      <c r="J60" s="379">
        <v>17308.600000000006</v>
      </c>
      <c r="K60" s="378">
        <v>449960.11999999988</v>
      </c>
      <c r="L60" s="379">
        <v>0</v>
      </c>
      <c r="M60" s="380">
        <v>3479412.95</v>
      </c>
      <c r="N60" s="379">
        <v>0</v>
      </c>
      <c r="O60" s="378">
        <v>771190.5</v>
      </c>
      <c r="P60" s="377">
        <v>658569.36</v>
      </c>
      <c r="Q60" s="380">
        <v>0</v>
      </c>
      <c r="R60" s="363"/>
      <c r="S60" s="363"/>
      <c r="T60" s="363"/>
      <c r="U60" s="363"/>
      <c r="V60" s="363"/>
      <c r="W60" s="363"/>
    </row>
    <row r="61" spans="1:23">
      <c r="A61" s="376" t="s">
        <v>587</v>
      </c>
      <c r="B61" s="375" t="s">
        <v>586</v>
      </c>
      <c r="C61" s="372">
        <v>0</v>
      </c>
      <c r="D61" s="373">
        <v>0</v>
      </c>
      <c r="E61" s="372">
        <v>0</v>
      </c>
      <c r="F61" s="373">
        <v>0</v>
      </c>
      <c r="G61" s="372">
        <v>0</v>
      </c>
      <c r="H61" s="373">
        <v>0</v>
      </c>
      <c r="I61" s="372">
        <v>0</v>
      </c>
      <c r="J61" s="373">
        <v>0</v>
      </c>
      <c r="K61" s="372">
        <v>0</v>
      </c>
      <c r="L61" s="373">
        <v>0</v>
      </c>
      <c r="M61" s="374">
        <v>0</v>
      </c>
      <c r="N61" s="373">
        <v>0</v>
      </c>
      <c r="O61" s="372">
        <v>0</v>
      </c>
      <c r="P61" s="371">
        <v>0</v>
      </c>
      <c r="Q61" s="374">
        <v>0</v>
      </c>
      <c r="R61" s="363"/>
      <c r="S61" s="363"/>
      <c r="T61" s="363"/>
      <c r="U61" s="363"/>
      <c r="V61" s="363"/>
      <c r="W61" s="363"/>
    </row>
    <row r="62" spans="1:23">
      <c r="A62" s="395"/>
      <c r="B62" s="394" t="s">
        <v>585</v>
      </c>
      <c r="C62" s="368">
        <f t="shared" ref="C62:Q62" si="33">SUM(C60:C61)</f>
        <v>3844879.3199999989</v>
      </c>
      <c r="D62" s="368">
        <f t="shared" si="33"/>
        <v>251596.08</v>
      </c>
      <c r="E62" s="368">
        <f t="shared" si="33"/>
        <v>2269282.7999999993</v>
      </c>
      <c r="F62" s="368">
        <f t="shared" si="33"/>
        <v>3379192.7999999993</v>
      </c>
      <c r="G62" s="368">
        <f t="shared" si="33"/>
        <v>38146.32</v>
      </c>
      <c r="H62" s="368">
        <f t="shared" si="33"/>
        <v>59365.02</v>
      </c>
      <c r="I62" s="368">
        <f t="shared" si="33"/>
        <v>18278.939999999995</v>
      </c>
      <c r="J62" s="368">
        <f t="shared" si="33"/>
        <v>17308.600000000006</v>
      </c>
      <c r="K62" s="368">
        <f t="shared" si="33"/>
        <v>449960.11999999988</v>
      </c>
      <c r="L62" s="368">
        <f t="shared" si="33"/>
        <v>0</v>
      </c>
      <c r="M62" s="367">
        <f t="shared" si="33"/>
        <v>3479412.95</v>
      </c>
      <c r="N62" s="368">
        <f t="shared" si="33"/>
        <v>0</v>
      </c>
      <c r="O62" s="368">
        <f t="shared" si="33"/>
        <v>771190.5</v>
      </c>
      <c r="P62" s="367">
        <f t="shared" si="33"/>
        <v>658569.36</v>
      </c>
      <c r="Q62" s="367">
        <f t="shared" si="33"/>
        <v>0</v>
      </c>
      <c r="R62" s="363"/>
      <c r="S62" s="363"/>
      <c r="T62" s="363"/>
      <c r="U62" s="363"/>
      <c r="V62" s="363"/>
      <c r="W62" s="363"/>
    </row>
    <row r="63" spans="1:23">
      <c r="A63" s="387"/>
      <c r="B63" s="393"/>
      <c r="C63" s="392"/>
      <c r="D63" s="392"/>
      <c r="E63" s="392"/>
      <c r="F63" s="392"/>
      <c r="G63" s="392"/>
      <c r="H63" s="388"/>
      <c r="I63" s="388"/>
      <c r="J63" s="388"/>
      <c r="K63" s="389"/>
      <c r="L63" s="391"/>
      <c r="M63" s="391"/>
      <c r="N63" s="390"/>
      <c r="O63" s="389"/>
      <c r="P63" s="388"/>
      <c r="Q63" s="389"/>
      <c r="R63" s="363"/>
      <c r="S63" s="363"/>
      <c r="T63" s="363"/>
      <c r="U63" s="363"/>
      <c r="V63" s="363"/>
      <c r="W63" s="363"/>
    </row>
    <row r="64" spans="1:23">
      <c r="A64" s="387"/>
      <c r="B64" s="386"/>
      <c r="C64" s="383"/>
      <c r="D64" s="383"/>
      <c r="E64" s="383"/>
      <c r="F64" s="383"/>
      <c r="G64" s="383"/>
      <c r="H64" s="383"/>
      <c r="I64" s="383"/>
      <c r="J64" s="383"/>
      <c r="K64" s="384"/>
      <c r="L64" s="385"/>
      <c r="M64" s="385"/>
      <c r="N64" s="384"/>
      <c r="O64" s="384"/>
      <c r="P64" s="383"/>
      <c r="Q64" s="384"/>
      <c r="R64" s="363"/>
      <c r="S64" s="363"/>
      <c r="T64" s="363"/>
      <c r="U64" s="363"/>
      <c r="V64" s="363"/>
      <c r="W64" s="363"/>
    </row>
    <row r="65" spans="1:23">
      <c r="A65" s="382" t="s">
        <v>584</v>
      </c>
      <c r="B65" s="381" t="s">
        <v>583</v>
      </c>
      <c r="C65" s="378">
        <v>0</v>
      </c>
      <c r="D65" s="379">
        <v>0</v>
      </c>
      <c r="E65" s="378">
        <v>0</v>
      </c>
      <c r="F65" s="379">
        <v>0</v>
      </c>
      <c r="G65" s="378">
        <v>0</v>
      </c>
      <c r="H65" s="379">
        <v>0</v>
      </c>
      <c r="I65" s="378">
        <v>0</v>
      </c>
      <c r="J65" s="379">
        <v>0</v>
      </c>
      <c r="K65" s="378">
        <v>0</v>
      </c>
      <c r="L65" s="379">
        <v>0</v>
      </c>
      <c r="M65" s="380">
        <v>0</v>
      </c>
      <c r="N65" s="379">
        <v>0</v>
      </c>
      <c r="O65" s="378">
        <v>0</v>
      </c>
      <c r="P65" s="377">
        <v>3978.3602000000001</v>
      </c>
      <c r="Q65" s="380">
        <v>0</v>
      </c>
      <c r="R65" s="363"/>
      <c r="S65" s="363"/>
      <c r="T65" s="363"/>
      <c r="U65" s="363"/>
      <c r="V65" s="363"/>
      <c r="W65" s="363"/>
    </row>
    <row r="66" spans="1:23">
      <c r="A66" s="376" t="s">
        <v>582</v>
      </c>
      <c r="B66" s="375"/>
      <c r="C66" s="372">
        <v>0</v>
      </c>
      <c r="D66" s="373">
        <v>0</v>
      </c>
      <c r="E66" s="372">
        <v>0</v>
      </c>
      <c r="F66" s="373">
        <v>0</v>
      </c>
      <c r="G66" s="372">
        <v>0</v>
      </c>
      <c r="H66" s="373">
        <v>0</v>
      </c>
      <c r="I66" s="372">
        <v>0</v>
      </c>
      <c r="J66" s="373">
        <v>0</v>
      </c>
      <c r="K66" s="372">
        <v>0</v>
      </c>
      <c r="L66" s="373">
        <v>0</v>
      </c>
      <c r="M66" s="374">
        <v>0</v>
      </c>
      <c r="N66" s="373">
        <v>0</v>
      </c>
      <c r="O66" s="372">
        <v>0</v>
      </c>
      <c r="P66" s="371">
        <v>0</v>
      </c>
      <c r="Q66" s="374">
        <v>0</v>
      </c>
      <c r="R66" s="363"/>
      <c r="S66" s="363"/>
      <c r="T66" s="363"/>
      <c r="U66" s="363"/>
      <c r="V66" s="363"/>
      <c r="W66" s="363"/>
    </row>
    <row r="67" spans="1:23">
      <c r="A67" s="370"/>
      <c r="B67" s="369" t="s">
        <v>581</v>
      </c>
      <c r="C67" s="368">
        <f t="shared" ref="C67:Q67" si="34">SUM(C65:C66)</f>
        <v>0</v>
      </c>
      <c r="D67" s="368">
        <f t="shared" si="34"/>
        <v>0</v>
      </c>
      <c r="E67" s="368">
        <f t="shared" si="34"/>
        <v>0</v>
      </c>
      <c r="F67" s="368">
        <f t="shared" si="34"/>
        <v>0</v>
      </c>
      <c r="G67" s="368">
        <f t="shared" si="34"/>
        <v>0</v>
      </c>
      <c r="H67" s="368">
        <f t="shared" si="34"/>
        <v>0</v>
      </c>
      <c r="I67" s="368">
        <f t="shared" si="34"/>
        <v>0</v>
      </c>
      <c r="J67" s="368">
        <f t="shared" si="34"/>
        <v>0</v>
      </c>
      <c r="K67" s="368">
        <f t="shared" si="34"/>
        <v>0</v>
      </c>
      <c r="L67" s="368">
        <f t="shared" si="34"/>
        <v>0</v>
      </c>
      <c r="M67" s="367">
        <f t="shared" si="34"/>
        <v>0</v>
      </c>
      <c r="N67" s="368">
        <f t="shared" si="34"/>
        <v>0</v>
      </c>
      <c r="O67" s="368">
        <f t="shared" si="34"/>
        <v>0</v>
      </c>
      <c r="P67" s="367">
        <f t="shared" si="34"/>
        <v>3978.3602000000001</v>
      </c>
      <c r="Q67" s="367">
        <f t="shared" si="34"/>
        <v>0</v>
      </c>
      <c r="R67" s="363"/>
      <c r="S67" s="363"/>
      <c r="T67" s="363"/>
      <c r="U67" s="363"/>
      <c r="V67" s="363"/>
      <c r="W67" s="363"/>
    </row>
    <row r="68" spans="1:23">
      <c r="E68" s="366"/>
      <c r="I68" s="366"/>
      <c r="R68" s="363"/>
      <c r="S68" s="363"/>
      <c r="T68" s="363"/>
      <c r="U68" s="363"/>
      <c r="V68" s="363"/>
      <c r="W68" s="363"/>
    </row>
    <row r="69" spans="1:23">
      <c r="R69" s="363"/>
      <c r="S69" s="363"/>
      <c r="T69" s="363"/>
      <c r="U69" s="363"/>
      <c r="V69" s="363"/>
      <c r="W69" s="363"/>
    </row>
    <row r="70" spans="1:23">
      <c r="B70" s="365"/>
      <c r="C70" s="364"/>
      <c r="D70" s="364"/>
      <c r="E70" s="364"/>
      <c r="F70" s="364"/>
      <c r="G70" s="364"/>
      <c r="H70" s="364"/>
      <c r="I70" s="364"/>
      <c r="J70" s="364"/>
      <c r="K70" s="364"/>
      <c r="L70" s="364"/>
      <c r="M70" s="364"/>
      <c r="N70" s="364"/>
      <c r="O70" s="364"/>
      <c r="P70" s="364"/>
      <c r="Q70" s="364"/>
      <c r="R70" s="363"/>
      <c r="S70" s="363"/>
      <c r="T70" s="363"/>
      <c r="U70" s="363"/>
      <c r="V70" s="363"/>
      <c r="W70" s="363"/>
    </row>
    <row r="71" spans="1:23">
      <c r="B71" s="365"/>
      <c r="C71" s="364"/>
      <c r="D71" s="364"/>
      <c r="E71" s="364"/>
      <c r="F71" s="364"/>
      <c r="G71" s="364"/>
      <c r="H71" s="364"/>
      <c r="I71" s="364"/>
      <c r="J71" s="364"/>
      <c r="K71" s="364"/>
      <c r="L71" s="364"/>
      <c r="M71" s="364"/>
      <c r="N71" s="364"/>
      <c r="O71" s="364"/>
      <c r="P71" s="364"/>
      <c r="Q71" s="364"/>
      <c r="R71" s="363"/>
      <c r="S71" s="363"/>
      <c r="T71" s="363"/>
      <c r="U71" s="363"/>
      <c r="V71" s="363"/>
      <c r="W71" s="363"/>
    </row>
    <row r="72" spans="1:23">
      <c r="B72" s="365"/>
      <c r="C72" s="364"/>
      <c r="D72" s="364"/>
      <c r="E72" s="364"/>
      <c r="F72" s="364"/>
      <c r="G72" s="364"/>
      <c r="H72" s="364"/>
      <c r="I72" s="364"/>
      <c r="J72" s="364"/>
      <c r="K72" s="364"/>
      <c r="L72" s="364"/>
      <c r="M72" s="364"/>
      <c r="N72" s="364"/>
      <c r="O72" s="364"/>
      <c r="P72" s="364"/>
      <c r="Q72" s="364"/>
      <c r="R72" s="363"/>
      <c r="S72" s="363"/>
      <c r="T72" s="363"/>
      <c r="U72" s="363"/>
      <c r="V72" s="363"/>
      <c r="W72" s="363"/>
    </row>
    <row r="73" spans="1:23">
      <c r="R73" s="363"/>
      <c r="S73" s="363"/>
      <c r="T73" s="363"/>
      <c r="U73" s="363"/>
      <c r="V73" s="363"/>
      <c r="W73" s="363"/>
    </row>
    <row r="74" spans="1:23">
      <c r="R74" s="363"/>
      <c r="S74" s="363"/>
      <c r="T74" s="363"/>
      <c r="U74" s="363"/>
      <c r="V74" s="363"/>
      <c r="W74" s="363"/>
    </row>
    <row r="75" spans="1:23">
      <c r="R75" s="363"/>
      <c r="S75" s="363"/>
      <c r="T75" s="363"/>
      <c r="U75" s="363"/>
      <c r="V75" s="363"/>
      <c r="W75" s="363"/>
    </row>
    <row r="76" spans="1:23">
      <c r="R76" s="363"/>
      <c r="S76" s="363"/>
      <c r="T76" s="363"/>
      <c r="U76" s="363"/>
      <c r="V76" s="363"/>
      <c r="W76" s="363"/>
    </row>
    <row r="77" spans="1:23">
      <c r="R77" s="363"/>
      <c r="S77" s="363"/>
      <c r="T77" s="363"/>
      <c r="U77" s="363"/>
      <c r="V77" s="363"/>
      <c r="W77" s="363"/>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314"/>
  <sheetViews>
    <sheetView zoomScale="70" zoomScaleNormal="70" workbookViewId="0"/>
  </sheetViews>
  <sheetFormatPr defaultColWidth="9.140625" defaultRowHeight="15"/>
  <cols>
    <col min="1" max="1" width="7.7109375" style="184" customWidth="1"/>
    <col min="2" max="2" width="1.85546875" style="184" customWidth="1"/>
    <col min="3" max="3" width="68.5703125" style="184" customWidth="1"/>
    <col min="4" max="4" width="13.140625" style="184" customWidth="1"/>
    <col min="5" max="5" width="17.140625" style="184" bestFit="1" customWidth="1"/>
    <col min="6" max="6" width="16.5703125" style="184" customWidth="1"/>
    <col min="7" max="7" width="17.42578125" style="184" customWidth="1"/>
    <col min="8" max="8" width="18.5703125" style="184" customWidth="1"/>
    <col min="9" max="9" width="18.7109375" style="184" customWidth="1"/>
    <col min="10" max="10" width="18.140625" style="184" customWidth="1"/>
    <col min="11" max="11" width="15.7109375" style="184" customWidth="1"/>
    <col min="12" max="12" width="15.85546875" style="184" customWidth="1"/>
    <col min="13" max="13" width="16.28515625" style="184" customWidth="1"/>
    <col min="14" max="14" width="16.42578125" style="184" customWidth="1"/>
    <col min="15" max="16" width="16" style="184" customWidth="1"/>
    <col min="17" max="17" width="20.5703125" style="184" customWidth="1"/>
    <col min="18" max="18" width="15.85546875" style="184" customWidth="1"/>
    <col min="19" max="19" width="17.85546875" style="184" customWidth="1"/>
    <col min="20" max="20" width="2.42578125" style="184" customWidth="1"/>
    <col min="21" max="21" width="16.7109375" style="184" customWidth="1"/>
    <col min="22" max="16384" width="9.140625" style="184"/>
  </cols>
  <sheetData>
    <row r="1" spans="1:70">
      <c r="S1" s="185"/>
    </row>
    <row r="2" spans="1:70">
      <c r="S2" s="185"/>
    </row>
    <row r="4" spans="1:70">
      <c r="I4" s="186"/>
      <c r="J4" s="186"/>
      <c r="K4" s="186"/>
      <c r="L4" s="186"/>
      <c r="M4" s="186"/>
      <c r="S4" s="187" t="s">
        <v>446</v>
      </c>
    </row>
    <row r="5" spans="1:70">
      <c r="C5" s="188" t="s">
        <v>353</v>
      </c>
      <c r="D5" s="188"/>
      <c r="E5" s="188"/>
      <c r="F5" s="188"/>
      <c r="G5" s="188"/>
      <c r="H5" s="188"/>
      <c r="I5" s="188"/>
      <c r="J5" s="189" t="s">
        <v>354</v>
      </c>
      <c r="K5" s="189"/>
      <c r="L5" s="188"/>
      <c r="M5" s="188"/>
      <c r="N5" s="188"/>
      <c r="O5" s="190"/>
      <c r="P5" s="190"/>
      <c r="R5" s="296"/>
      <c r="S5" s="297" t="s">
        <v>631</v>
      </c>
      <c r="T5" s="194"/>
      <c r="U5" s="195"/>
      <c r="V5" s="195"/>
      <c r="W5" s="194"/>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row>
    <row r="6" spans="1:70">
      <c r="C6" s="188"/>
      <c r="D6" s="188"/>
      <c r="E6" s="188"/>
      <c r="F6" s="188"/>
      <c r="G6" s="188"/>
      <c r="H6" s="196" t="s">
        <v>1</v>
      </c>
      <c r="I6" s="196"/>
      <c r="J6" s="196" t="s">
        <v>355</v>
      </c>
      <c r="K6" s="196"/>
      <c r="L6" s="196"/>
      <c r="M6" s="196"/>
      <c r="N6" s="196"/>
      <c r="O6" s="190"/>
      <c r="P6" s="190"/>
      <c r="R6" s="197"/>
      <c r="S6" s="190"/>
      <c r="T6" s="194"/>
      <c r="U6" s="198"/>
      <c r="V6" s="195"/>
      <c r="W6" s="194"/>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row>
    <row r="7" spans="1:70">
      <c r="C7" s="197"/>
      <c r="D7" s="197"/>
      <c r="E7" s="197"/>
      <c r="F7" s="197"/>
      <c r="G7" s="197"/>
      <c r="H7" s="197"/>
      <c r="I7" s="197"/>
      <c r="J7" s="197"/>
      <c r="K7" s="197"/>
      <c r="L7" s="197"/>
      <c r="M7" s="197"/>
      <c r="N7" s="197"/>
      <c r="O7" s="197"/>
      <c r="P7" s="197"/>
      <c r="R7" s="197"/>
      <c r="S7" s="197" t="s">
        <v>356</v>
      </c>
      <c r="T7" s="194"/>
      <c r="U7" s="195"/>
      <c r="V7" s="195"/>
      <c r="W7" s="194"/>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row>
    <row r="8" spans="1:70">
      <c r="A8" s="243"/>
      <c r="C8" s="197"/>
      <c r="D8" s="197"/>
      <c r="E8" s="197"/>
      <c r="F8" s="197"/>
      <c r="G8" s="197"/>
      <c r="H8" s="197"/>
      <c r="I8" s="197"/>
      <c r="J8" s="298" t="s">
        <v>218</v>
      </c>
      <c r="K8" s="204"/>
      <c r="L8" s="197"/>
      <c r="M8" s="197"/>
      <c r="N8" s="197"/>
      <c r="O8" s="197"/>
      <c r="P8" s="197"/>
      <c r="Q8" s="197"/>
      <c r="R8" s="197"/>
      <c r="S8" s="197"/>
      <c r="T8" s="194"/>
      <c r="U8" s="195"/>
      <c r="V8" s="195"/>
      <c r="W8" s="194"/>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row>
    <row r="9" spans="1:70">
      <c r="A9" s="243"/>
      <c r="C9" s="197"/>
      <c r="D9" s="197"/>
      <c r="E9" s="197"/>
      <c r="F9" s="197"/>
      <c r="G9" s="197"/>
      <c r="H9" s="197"/>
      <c r="I9" s="197"/>
      <c r="J9" s="201"/>
      <c r="K9" s="201"/>
      <c r="L9" s="197"/>
      <c r="M9" s="197"/>
      <c r="N9" s="197"/>
      <c r="O9" s="197"/>
      <c r="P9" s="197"/>
      <c r="Q9" s="197"/>
      <c r="R9" s="197"/>
      <c r="S9" s="197"/>
      <c r="T9" s="194"/>
      <c r="U9" s="195"/>
      <c r="V9" s="195"/>
      <c r="W9" s="194"/>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row>
    <row r="10" spans="1:70">
      <c r="A10" s="243"/>
      <c r="C10" s="197" t="s">
        <v>357</v>
      </c>
      <c r="D10" s="197"/>
      <c r="E10" s="197"/>
      <c r="F10" s="197"/>
      <c r="G10" s="197"/>
      <c r="H10" s="197"/>
      <c r="I10" s="197"/>
      <c r="J10" s="201"/>
      <c r="K10" s="201"/>
      <c r="L10" s="197"/>
      <c r="M10" s="197"/>
      <c r="N10" s="197"/>
      <c r="O10" s="197"/>
      <c r="P10" s="197"/>
      <c r="Q10" s="197"/>
      <c r="R10" s="197"/>
      <c r="S10" s="197"/>
      <c r="T10" s="194"/>
      <c r="U10" s="195"/>
      <c r="V10" s="195"/>
      <c r="W10" s="194"/>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row>
    <row r="11" spans="1:70">
      <c r="A11" s="243"/>
      <c r="C11" s="197" t="s">
        <v>447</v>
      </c>
      <c r="D11" s="197"/>
      <c r="E11" s="197"/>
      <c r="F11" s="197"/>
      <c r="G11" s="197"/>
      <c r="H11" s="197"/>
      <c r="I11" s="197"/>
      <c r="J11" s="201"/>
      <c r="K11" s="201"/>
      <c r="Q11" s="197"/>
      <c r="R11" s="197"/>
      <c r="S11" s="197"/>
      <c r="T11" s="194"/>
      <c r="U11" s="194"/>
      <c r="V11" s="194"/>
      <c r="W11" s="194"/>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row>
    <row r="12" spans="1:70">
      <c r="A12" s="243"/>
      <c r="C12" s="197"/>
      <c r="D12" s="197"/>
      <c r="E12" s="197"/>
      <c r="F12" s="197"/>
      <c r="G12" s="197"/>
      <c r="H12" s="197"/>
      <c r="I12" s="197"/>
      <c r="J12" s="197"/>
      <c r="K12" s="197"/>
      <c r="Q12" s="202"/>
      <c r="R12" s="197"/>
      <c r="S12" s="197"/>
      <c r="T12" s="194"/>
      <c r="U12" s="194"/>
      <c r="V12" s="194"/>
      <c r="W12" s="194"/>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row>
    <row r="13" spans="1:70">
      <c r="C13" s="203" t="s">
        <v>49</v>
      </c>
      <c r="D13" s="203"/>
      <c r="E13" s="203"/>
      <c r="F13" s="203"/>
      <c r="G13" s="203"/>
      <c r="H13" s="203" t="s">
        <v>50</v>
      </c>
      <c r="I13" s="203"/>
      <c r="J13" s="203" t="s">
        <v>51</v>
      </c>
      <c r="K13" s="203"/>
      <c r="L13" s="204" t="s">
        <v>52</v>
      </c>
      <c r="R13" s="196"/>
      <c r="S13" s="204"/>
      <c r="T13" s="205"/>
      <c r="U13" s="204"/>
      <c r="V13" s="205"/>
      <c r="W13" s="20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row>
    <row r="14" spans="1:70" ht="15.75">
      <c r="C14" s="207"/>
      <c r="D14" s="207"/>
      <c r="E14" s="207"/>
      <c r="F14" s="207"/>
      <c r="G14" s="207"/>
      <c r="H14" s="208" t="s">
        <v>358</v>
      </c>
      <c r="I14" s="208"/>
      <c r="J14" s="196"/>
      <c r="K14" s="196"/>
      <c r="R14" s="196"/>
      <c r="T14" s="205"/>
      <c r="U14" s="209"/>
      <c r="V14" s="209"/>
      <c r="W14" s="20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row>
    <row r="15" spans="1:70" ht="15.75">
      <c r="A15" s="243" t="s">
        <v>4</v>
      </c>
      <c r="C15" s="207"/>
      <c r="D15" s="207"/>
      <c r="E15" s="207"/>
      <c r="F15" s="207"/>
      <c r="G15" s="207"/>
      <c r="H15" s="210" t="s">
        <v>56</v>
      </c>
      <c r="I15" s="210"/>
      <c r="J15" s="211" t="s">
        <v>55</v>
      </c>
      <c r="K15" s="211"/>
      <c r="L15" s="211" t="s">
        <v>11</v>
      </c>
      <c r="R15" s="196"/>
      <c r="T15" s="194"/>
      <c r="U15" s="212"/>
      <c r="V15" s="209"/>
      <c r="W15" s="20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row>
    <row r="16" spans="1:70" ht="15.75">
      <c r="A16" s="243" t="s">
        <v>6</v>
      </c>
      <c r="C16" s="213"/>
      <c r="D16" s="213"/>
      <c r="E16" s="213"/>
      <c r="F16" s="213"/>
      <c r="G16" s="213"/>
      <c r="H16" s="196"/>
      <c r="I16" s="196"/>
      <c r="J16" s="196"/>
      <c r="K16" s="196"/>
      <c r="L16" s="196"/>
      <c r="R16" s="196"/>
      <c r="S16" s="196"/>
      <c r="T16" s="194"/>
      <c r="U16" s="205"/>
      <c r="V16" s="205"/>
      <c r="W16" s="20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row>
    <row r="17" spans="1:70" ht="15.75">
      <c r="A17" s="214"/>
      <c r="C17" s="207"/>
      <c r="D17" s="207"/>
      <c r="E17" s="207"/>
      <c r="F17" s="207"/>
      <c r="G17" s="207"/>
      <c r="H17" s="196"/>
      <c r="I17" s="196"/>
      <c r="J17" s="196"/>
      <c r="K17" s="196"/>
      <c r="L17" s="196"/>
      <c r="R17" s="196"/>
      <c r="S17" s="196"/>
      <c r="T17" s="194"/>
      <c r="U17" s="205"/>
      <c r="V17" s="205"/>
      <c r="W17" s="20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row>
    <row r="18" spans="1:70">
      <c r="A18" s="215">
        <v>1</v>
      </c>
      <c r="C18" s="207" t="s">
        <v>359</v>
      </c>
      <c r="D18" s="207"/>
      <c r="E18" s="207"/>
      <c r="F18" s="207"/>
      <c r="G18" s="207"/>
      <c r="H18" s="216" t="s">
        <v>448</v>
      </c>
      <c r="I18" s="216"/>
      <c r="J18" s="299">
        <f>'ATC Attach O ER15-358'!I87+'ATC Attach O ER15-358'!I88</f>
        <v>5058842120</v>
      </c>
      <c r="K18" s="196"/>
      <c r="R18" s="196"/>
      <c r="S18" s="196"/>
      <c r="T18" s="194"/>
      <c r="U18" s="205"/>
      <c r="V18" s="205"/>
      <c r="W18" s="20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row>
    <row r="19" spans="1:70">
      <c r="A19" s="215" t="s">
        <v>232</v>
      </c>
      <c r="C19" s="207" t="s">
        <v>449</v>
      </c>
      <c r="D19" s="207"/>
      <c r="E19" s="207"/>
      <c r="F19" s="207"/>
      <c r="G19" s="207"/>
      <c r="H19" s="216" t="s">
        <v>450</v>
      </c>
      <c r="I19" s="216"/>
      <c r="J19" s="300">
        <f>'ATC Attach O ER15-358'!I96+'ATC Attach O ER15-358'!I97</f>
        <v>1260378700.3099999</v>
      </c>
      <c r="K19" s="301"/>
      <c r="R19" s="196"/>
      <c r="S19" s="196"/>
      <c r="T19" s="194"/>
      <c r="U19" s="205"/>
      <c r="V19" s="205"/>
      <c r="W19" s="20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row>
    <row r="20" spans="1:70">
      <c r="A20" s="215">
        <v>2</v>
      </c>
      <c r="C20" s="207" t="s">
        <v>361</v>
      </c>
      <c r="D20" s="207"/>
      <c r="E20" s="207"/>
      <c r="F20" s="207"/>
      <c r="G20" s="207"/>
      <c r="H20" s="216" t="s">
        <v>451</v>
      </c>
      <c r="I20" s="216"/>
      <c r="J20" s="302">
        <f>J18-J19</f>
        <v>3798463419.6900001</v>
      </c>
      <c r="K20" s="303"/>
      <c r="R20" s="196"/>
      <c r="S20" s="196"/>
      <c r="T20" s="194"/>
      <c r="U20" s="205"/>
      <c r="V20" s="205"/>
      <c r="W20" s="20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row>
    <row r="21" spans="1:70">
      <c r="A21" s="215"/>
      <c r="C21" s="186"/>
      <c r="D21" s="186"/>
      <c r="E21" s="186"/>
      <c r="F21" s="186"/>
      <c r="G21" s="186"/>
      <c r="H21" s="216"/>
      <c r="I21" s="216"/>
      <c r="R21" s="196"/>
      <c r="S21" s="196"/>
      <c r="T21" s="194"/>
      <c r="U21" s="205"/>
      <c r="V21" s="205"/>
      <c r="W21" s="20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row>
    <row r="22" spans="1:70">
      <c r="A22" s="215"/>
      <c r="C22" s="207" t="s">
        <v>452</v>
      </c>
      <c r="D22" s="207"/>
      <c r="E22" s="207"/>
      <c r="F22" s="207"/>
      <c r="G22" s="207"/>
      <c r="H22" s="216"/>
      <c r="I22" s="216"/>
      <c r="J22" s="196"/>
      <c r="K22" s="196"/>
      <c r="L22" s="196"/>
      <c r="R22" s="196"/>
      <c r="S22" s="196"/>
      <c r="T22" s="205"/>
      <c r="U22" s="205"/>
      <c r="V22" s="205"/>
      <c r="W22" s="20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row>
    <row r="23" spans="1:70">
      <c r="A23" s="215">
        <v>3</v>
      </c>
      <c r="C23" s="207" t="s">
        <v>364</v>
      </c>
      <c r="D23" s="207"/>
      <c r="E23" s="207"/>
      <c r="F23" s="207"/>
      <c r="G23" s="207"/>
      <c r="H23" s="216" t="s">
        <v>365</v>
      </c>
      <c r="I23" s="216"/>
      <c r="J23" s="299">
        <f>'ATC Attach O ER15-358'!I165</f>
        <v>141277453.87952605</v>
      </c>
      <c r="K23" s="196"/>
      <c r="R23" s="196"/>
      <c r="S23" s="196"/>
      <c r="T23" s="205"/>
      <c r="U23" s="205"/>
      <c r="V23" s="205"/>
      <c r="W23" s="20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row>
    <row r="24" spans="1:70">
      <c r="A24" s="215" t="s">
        <v>366</v>
      </c>
      <c r="C24" s="207" t="s">
        <v>453</v>
      </c>
      <c r="D24" s="207"/>
      <c r="E24" s="207"/>
      <c r="F24" s="207"/>
      <c r="G24" s="207"/>
      <c r="H24" s="216" t="s">
        <v>454</v>
      </c>
      <c r="I24" s="216"/>
      <c r="J24" s="299">
        <f>'ATC Attach O ER15-358'!I156</f>
        <v>98353689.900000006</v>
      </c>
      <c r="K24" s="196"/>
      <c r="R24" s="196"/>
      <c r="S24" s="196"/>
      <c r="T24" s="205"/>
      <c r="U24" s="205"/>
      <c r="V24" s="205"/>
      <c r="W24" s="20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row>
    <row r="25" spans="1:70">
      <c r="A25" s="215"/>
      <c r="C25" s="207"/>
      <c r="D25" s="207"/>
      <c r="E25" s="207"/>
      <c r="F25" s="207"/>
      <c r="G25" s="207"/>
      <c r="H25" s="216" t="s">
        <v>455</v>
      </c>
      <c r="I25" s="216"/>
      <c r="J25" s="299"/>
      <c r="K25" s="196"/>
      <c r="R25" s="196"/>
      <c r="S25" s="196"/>
      <c r="T25" s="205"/>
      <c r="U25" s="205"/>
      <c r="V25" s="205"/>
      <c r="W25" s="20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row>
    <row r="26" spans="1:70" s="218" customFormat="1">
      <c r="A26" s="215" t="s">
        <v>456</v>
      </c>
      <c r="C26" s="207" t="s">
        <v>457</v>
      </c>
      <c r="D26" s="207"/>
      <c r="E26" s="207"/>
      <c r="F26" s="207"/>
      <c r="G26" s="207"/>
      <c r="H26" s="216" t="s">
        <v>458</v>
      </c>
      <c r="I26" s="216"/>
      <c r="J26" s="299">
        <v>5471583.3200000003</v>
      </c>
      <c r="K26" s="304"/>
      <c r="R26" s="304"/>
      <c r="S26" s="304"/>
      <c r="T26" s="305"/>
      <c r="U26" s="305"/>
      <c r="V26" s="305"/>
      <c r="W26" s="306"/>
    </row>
    <row r="27" spans="1:70">
      <c r="A27" s="215" t="s">
        <v>369</v>
      </c>
      <c r="C27" s="207" t="s">
        <v>459</v>
      </c>
      <c r="D27" s="207"/>
      <c r="E27" s="207"/>
      <c r="F27" s="207"/>
      <c r="G27" s="207"/>
      <c r="H27" s="216" t="s">
        <v>460</v>
      </c>
      <c r="I27" s="216"/>
      <c r="J27" s="299">
        <v>0</v>
      </c>
      <c r="K27" s="196"/>
      <c r="R27" s="196"/>
      <c r="S27" s="196"/>
      <c r="T27" s="205"/>
      <c r="U27" s="205"/>
      <c r="V27" s="205"/>
      <c r="W27" s="20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row>
    <row r="28" spans="1:70">
      <c r="A28" s="215" t="s">
        <v>461</v>
      </c>
      <c r="C28" s="207" t="s">
        <v>462</v>
      </c>
      <c r="D28" s="207"/>
      <c r="E28" s="207"/>
      <c r="F28" s="207"/>
      <c r="G28" s="207"/>
      <c r="H28" s="216" t="s">
        <v>463</v>
      </c>
      <c r="I28" s="216"/>
      <c r="J28" s="300">
        <v>0</v>
      </c>
      <c r="K28" s="301"/>
      <c r="R28" s="196"/>
      <c r="S28" s="196"/>
      <c r="T28" s="205"/>
      <c r="U28" s="205"/>
      <c r="V28" s="205"/>
      <c r="W28" s="20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row>
    <row r="29" spans="1:70">
      <c r="A29" s="307" t="s">
        <v>464</v>
      </c>
      <c r="C29" s="207" t="s">
        <v>465</v>
      </c>
      <c r="D29" s="207"/>
      <c r="E29" s="207"/>
      <c r="F29" s="207"/>
      <c r="G29" s="207"/>
      <c r="H29" s="216" t="s">
        <v>466</v>
      </c>
      <c r="I29" s="216"/>
      <c r="J29" s="302">
        <f>J24-(J26+J27+J28)</f>
        <v>92882106.580000013</v>
      </c>
      <c r="K29" s="196"/>
      <c r="R29" s="196"/>
      <c r="S29" s="196"/>
      <c r="T29" s="205"/>
      <c r="U29" s="205"/>
      <c r="V29" s="205"/>
      <c r="W29" s="20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row>
    <row r="30" spans="1:70">
      <c r="A30" s="307"/>
      <c r="C30" s="207"/>
      <c r="D30" s="207"/>
      <c r="E30" s="207"/>
      <c r="F30" s="207"/>
      <c r="G30" s="207"/>
      <c r="H30" s="216"/>
      <c r="I30" s="216"/>
      <c r="J30" s="196"/>
      <c r="K30" s="196"/>
      <c r="R30" s="196"/>
      <c r="S30" s="196"/>
      <c r="T30" s="205"/>
      <c r="U30" s="205"/>
      <c r="V30" s="205"/>
      <c r="W30" s="20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row>
    <row r="31" spans="1:70" ht="15.75">
      <c r="A31" s="307">
        <v>4</v>
      </c>
      <c r="C31" s="213" t="s">
        <v>467</v>
      </c>
      <c r="D31" s="213"/>
      <c r="E31" s="213"/>
      <c r="F31" s="213"/>
      <c r="G31" s="207"/>
      <c r="H31" s="216" t="s">
        <v>468</v>
      </c>
      <c r="I31" s="216"/>
      <c r="J31" s="223">
        <f>IF(J29=0,0,J29/J19)</f>
        <v>7.3693808501488434E-2</v>
      </c>
      <c r="K31" s="223"/>
      <c r="L31" s="308">
        <f>J31</f>
        <v>7.3693808501488434E-2</v>
      </c>
      <c r="R31" s="196"/>
      <c r="S31" s="196"/>
      <c r="T31" s="205"/>
      <c r="U31" s="205"/>
      <c r="V31" s="205"/>
      <c r="W31" s="20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row>
    <row r="32" spans="1:70">
      <c r="A32" s="307"/>
      <c r="C32" s="207"/>
      <c r="D32" s="207"/>
      <c r="E32" s="207"/>
      <c r="F32" s="207"/>
      <c r="G32" s="207"/>
      <c r="H32" s="216"/>
      <c r="I32" s="216"/>
      <c r="J32" s="196"/>
      <c r="K32" s="196"/>
      <c r="R32" s="196"/>
      <c r="S32" s="196"/>
      <c r="T32" s="205"/>
      <c r="U32" s="205"/>
      <c r="V32" s="205"/>
      <c r="W32" s="20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row>
    <row r="33" spans="1:70">
      <c r="A33" s="307"/>
      <c r="C33" s="207"/>
      <c r="D33" s="207"/>
      <c r="E33" s="207"/>
      <c r="F33" s="207"/>
      <c r="G33" s="207"/>
      <c r="H33" s="216"/>
      <c r="I33" s="216"/>
      <c r="J33" s="196"/>
      <c r="K33" s="196"/>
      <c r="R33" s="196"/>
      <c r="S33" s="196"/>
      <c r="T33" s="205"/>
      <c r="U33" s="205"/>
      <c r="V33" s="205"/>
      <c r="W33" s="20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row>
    <row r="34" spans="1:70" ht="15.75">
      <c r="A34" s="307"/>
      <c r="C34" s="207" t="s">
        <v>469</v>
      </c>
      <c r="D34" s="207"/>
      <c r="E34" s="207"/>
      <c r="F34" s="207"/>
      <c r="G34" s="207"/>
      <c r="H34" s="216"/>
      <c r="I34" s="216"/>
      <c r="J34" s="221"/>
      <c r="K34" s="221"/>
      <c r="L34" s="309"/>
      <c r="R34" s="196"/>
      <c r="S34" s="223"/>
      <c r="T34" s="224"/>
      <c r="U34" s="225"/>
      <c r="V34" s="205"/>
      <c r="W34" s="20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row>
    <row r="35" spans="1:70" ht="15.75">
      <c r="A35" s="307" t="s">
        <v>470</v>
      </c>
      <c r="C35" s="207" t="s">
        <v>471</v>
      </c>
      <c r="D35" s="207"/>
      <c r="E35" s="207"/>
      <c r="F35" s="207"/>
      <c r="G35" s="207"/>
      <c r="H35" s="216" t="s">
        <v>472</v>
      </c>
      <c r="I35" s="216"/>
      <c r="J35" s="310">
        <f>J23-J29-J26</f>
        <v>42923763.979526035</v>
      </c>
      <c r="K35" s="221"/>
      <c r="L35" s="309"/>
      <c r="R35" s="196"/>
      <c r="S35" s="223"/>
      <c r="T35" s="224"/>
      <c r="U35" s="225"/>
      <c r="V35" s="205"/>
      <c r="W35" s="20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row>
    <row r="36" spans="1:70" ht="15.75">
      <c r="A36" s="307" t="s">
        <v>473</v>
      </c>
      <c r="C36" s="207" t="s">
        <v>474</v>
      </c>
      <c r="D36" s="207"/>
      <c r="E36" s="207"/>
      <c r="F36" s="207"/>
      <c r="G36" s="207"/>
      <c r="H36" s="216" t="s">
        <v>475</v>
      </c>
      <c r="I36" s="216"/>
      <c r="J36" s="221">
        <f>IF(J35=0,0,J35/J18)</f>
        <v>8.4848989079592055E-3</v>
      </c>
      <c r="K36" s="221"/>
      <c r="L36" s="309">
        <f>J36</f>
        <v>8.4848989079592055E-3</v>
      </c>
      <c r="R36" s="196"/>
      <c r="S36" s="223"/>
      <c r="T36" s="224"/>
      <c r="U36" s="225"/>
      <c r="V36" s="205"/>
      <c r="W36" s="20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row>
    <row r="37" spans="1:70" ht="15.75">
      <c r="A37" s="307"/>
      <c r="C37" s="207"/>
      <c r="D37" s="207"/>
      <c r="E37" s="207"/>
      <c r="F37" s="207"/>
      <c r="G37" s="207"/>
      <c r="H37" s="216"/>
      <c r="I37" s="216"/>
      <c r="J37" s="221"/>
      <c r="K37" s="221"/>
      <c r="L37" s="309"/>
      <c r="R37" s="196"/>
      <c r="S37" s="223"/>
      <c r="T37" s="224"/>
      <c r="U37" s="225"/>
      <c r="V37" s="205"/>
      <c r="W37" s="20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row>
    <row r="38" spans="1:70" ht="15.75">
      <c r="A38" s="226"/>
      <c r="B38" s="186"/>
      <c r="C38" s="207" t="s">
        <v>374</v>
      </c>
      <c r="D38" s="207"/>
      <c r="E38" s="207"/>
      <c r="F38" s="207"/>
      <c r="G38" s="207"/>
      <c r="H38" s="227"/>
      <c r="I38" s="227"/>
      <c r="J38" s="196"/>
      <c r="K38" s="196"/>
      <c r="L38" s="196"/>
      <c r="N38" s="186"/>
      <c r="O38" s="186"/>
      <c r="P38" s="186"/>
      <c r="R38" s="196"/>
      <c r="S38" s="223"/>
      <c r="T38" s="224"/>
      <c r="U38" s="225"/>
      <c r="V38" s="205"/>
      <c r="W38" s="20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row>
    <row r="39" spans="1:70" ht="15.75">
      <c r="A39" s="226" t="s">
        <v>375</v>
      </c>
      <c r="B39" s="186"/>
      <c r="C39" s="207" t="s">
        <v>376</v>
      </c>
      <c r="D39" s="207"/>
      <c r="E39" s="207"/>
      <c r="F39" s="207"/>
      <c r="G39" s="207"/>
      <c r="H39" s="216" t="s">
        <v>377</v>
      </c>
      <c r="I39" s="216"/>
      <c r="J39" s="299">
        <f>'ATC Attach O ER15-358'!I169+'ATC Attach O ER15-358'!I170</f>
        <v>11005414</v>
      </c>
      <c r="K39" s="196"/>
      <c r="L39" s="186"/>
      <c r="N39" s="186"/>
      <c r="O39" s="186"/>
      <c r="P39" s="186"/>
      <c r="R39" s="196"/>
      <c r="S39" s="223"/>
      <c r="T39" s="224"/>
      <c r="U39" s="225"/>
      <c r="V39" s="205"/>
      <c r="W39" s="20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row>
    <row r="40" spans="1:70" ht="15.75">
      <c r="A40" s="226" t="s">
        <v>378</v>
      </c>
      <c r="B40" s="186"/>
      <c r="C40" s="207" t="s">
        <v>379</v>
      </c>
      <c r="D40" s="207"/>
      <c r="E40" s="207"/>
      <c r="F40" s="207"/>
      <c r="G40" s="207"/>
      <c r="H40" s="216" t="s">
        <v>380</v>
      </c>
      <c r="I40" s="216"/>
      <c r="J40" s="221">
        <f>IF(J39=0,0,J39/J18)</f>
        <v>2.1754808193144401E-3</v>
      </c>
      <c r="K40" s="221"/>
      <c r="L40" s="309">
        <f>J40</f>
        <v>2.1754808193144401E-3</v>
      </c>
      <c r="N40" s="186"/>
      <c r="O40" s="186"/>
      <c r="P40" s="186"/>
      <c r="R40" s="196"/>
      <c r="S40" s="223"/>
      <c r="T40" s="224"/>
      <c r="U40" s="225"/>
      <c r="V40" s="205"/>
      <c r="W40" s="20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row>
    <row r="41" spans="1:70" ht="15.75">
      <c r="A41" s="307"/>
      <c r="C41" s="207"/>
      <c r="D41" s="207"/>
      <c r="E41" s="207"/>
      <c r="F41" s="207"/>
      <c r="G41" s="207"/>
      <c r="H41" s="216"/>
      <c r="I41" s="216"/>
      <c r="J41" s="221"/>
      <c r="K41" s="221"/>
      <c r="L41" s="309"/>
      <c r="R41" s="196"/>
      <c r="S41" s="223"/>
      <c r="T41" s="224"/>
      <c r="U41" s="225"/>
      <c r="V41" s="205"/>
      <c r="W41" s="20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row>
    <row r="42" spans="1:70">
      <c r="A42" s="311"/>
      <c r="C42" s="207" t="s">
        <v>381</v>
      </c>
      <c r="D42" s="207"/>
      <c r="E42" s="207"/>
      <c r="F42" s="207"/>
      <c r="G42" s="207"/>
      <c r="H42" s="227"/>
      <c r="I42" s="227"/>
      <c r="J42" s="196"/>
      <c r="K42" s="196"/>
      <c r="L42" s="196"/>
      <c r="R42" s="196"/>
      <c r="S42" s="196"/>
      <c r="T42" s="205"/>
      <c r="U42" s="196"/>
      <c r="V42" s="205"/>
      <c r="W42" s="20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row>
    <row r="43" spans="1:70" ht="15.75">
      <c r="A43" s="311" t="s">
        <v>382</v>
      </c>
      <c r="C43" s="207" t="s">
        <v>383</v>
      </c>
      <c r="D43" s="207"/>
      <c r="E43" s="207"/>
      <c r="F43" s="207"/>
      <c r="G43" s="207"/>
      <c r="H43" s="216" t="s">
        <v>384</v>
      </c>
      <c r="I43" s="216"/>
      <c r="J43" s="299">
        <f>'ATC Attach O ER15-358'!I182</f>
        <v>23001910.780000001</v>
      </c>
      <c r="K43" s="196"/>
      <c r="R43" s="196"/>
      <c r="S43" s="228"/>
      <c r="T43" s="205"/>
      <c r="U43" s="215"/>
      <c r="V43" s="209"/>
      <c r="W43" s="20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row>
    <row r="44" spans="1:70" ht="15.75">
      <c r="A44" s="311" t="s">
        <v>385</v>
      </c>
      <c r="C44" s="207" t="s">
        <v>386</v>
      </c>
      <c r="D44" s="207"/>
      <c r="E44" s="207"/>
      <c r="F44" s="207"/>
      <c r="G44" s="207"/>
      <c r="H44" s="216" t="s">
        <v>387</v>
      </c>
      <c r="I44" s="216"/>
      <c r="J44" s="221">
        <f>IF(J43=0,0,J43/J18)</f>
        <v>4.5468726310043455E-3</v>
      </c>
      <c r="K44" s="221"/>
      <c r="L44" s="309">
        <f>J44</f>
        <v>4.5468726310043455E-3</v>
      </c>
      <c r="R44" s="196"/>
      <c r="S44" s="223"/>
      <c r="T44" s="205"/>
      <c r="U44" s="225"/>
      <c r="V44" s="209"/>
      <c r="W44" s="20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row>
    <row r="45" spans="1:70">
      <c r="A45" s="311"/>
      <c r="C45" s="207"/>
      <c r="D45" s="207"/>
      <c r="E45" s="207"/>
      <c r="F45" s="207"/>
      <c r="G45" s="207"/>
      <c r="H45" s="216"/>
      <c r="I45" s="216"/>
      <c r="J45" s="196"/>
      <c r="K45" s="196"/>
      <c r="L45" s="196"/>
      <c r="R45" s="196"/>
      <c r="V45" s="205"/>
      <c r="W45" s="20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row>
    <row r="46" spans="1:70" ht="15.75">
      <c r="A46" s="229" t="s">
        <v>388</v>
      </c>
      <c r="B46" s="230"/>
      <c r="C46" s="213" t="s">
        <v>476</v>
      </c>
      <c r="D46" s="213"/>
      <c r="E46" s="213"/>
      <c r="F46" s="213"/>
      <c r="G46" s="213"/>
      <c r="H46" s="208" t="s">
        <v>477</v>
      </c>
      <c r="I46" s="208"/>
      <c r="J46" s="232">
        <f>J36+J40+J44</f>
        <v>1.5207252358277992E-2</v>
      </c>
      <c r="K46" s="232"/>
      <c r="L46" s="232">
        <f>L36+L40+L44</f>
        <v>1.5207252358277992E-2</v>
      </c>
      <c r="R46" s="196"/>
      <c r="V46" s="205"/>
      <c r="W46" s="20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row>
    <row r="47" spans="1:70">
      <c r="A47" s="311"/>
      <c r="C47" s="207"/>
      <c r="D47" s="207"/>
      <c r="E47" s="207"/>
      <c r="F47" s="207"/>
      <c r="G47" s="207"/>
      <c r="H47" s="216"/>
      <c r="I47" s="216"/>
      <c r="J47" s="196"/>
      <c r="K47" s="196"/>
      <c r="L47" s="196"/>
      <c r="R47" s="196"/>
      <c r="S47" s="196"/>
      <c r="T47" s="205"/>
      <c r="U47" s="233"/>
      <c r="V47" s="205"/>
      <c r="W47" s="20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row>
    <row r="48" spans="1:70">
      <c r="A48" s="226"/>
      <c r="B48" s="234"/>
      <c r="C48" s="196" t="s">
        <v>391</v>
      </c>
      <c r="D48" s="196"/>
      <c r="E48" s="196"/>
      <c r="F48" s="196"/>
      <c r="G48" s="196"/>
      <c r="H48" s="216"/>
      <c r="I48" s="216"/>
      <c r="J48" s="196"/>
      <c r="K48" s="196"/>
      <c r="L48" s="196"/>
      <c r="R48" s="312"/>
      <c r="S48" s="234"/>
      <c r="V48" s="209"/>
      <c r="W48" s="205" t="s">
        <v>1</v>
      </c>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row>
    <row r="49" spans="1:70">
      <c r="A49" s="311" t="s">
        <v>392</v>
      </c>
      <c r="B49" s="234"/>
      <c r="C49" s="196" t="s">
        <v>393</v>
      </c>
      <c r="D49" s="196"/>
      <c r="E49" s="196"/>
      <c r="F49" s="196"/>
      <c r="G49" s="196"/>
      <c r="H49" s="216" t="s">
        <v>394</v>
      </c>
      <c r="I49" s="216"/>
      <c r="J49" s="299">
        <f>'ATC Attach O ER15-358'!I197</f>
        <v>111462695.27652104</v>
      </c>
      <c r="K49" s="196"/>
      <c r="L49" s="196"/>
      <c r="R49" s="312"/>
      <c r="S49" s="234"/>
      <c r="V49" s="209"/>
      <c r="W49" s="205"/>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6"/>
      <c r="BR49" s="186"/>
    </row>
    <row r="50" spans="1:70">
      <c r="A50" s="311" t="s">
        <v>395</v>
      </c>
      <c r="B50" s="234"/>
      <c r="C50" s="196" t="s">
        <v>396</v>
      </c>
      <c r="D50" s="196"/>
      <c r="E50" s="196"/>
      <c r="F50" s="196"/>
      <c r="G50" s="196"/>
      <c r="H50" s="216" t="s">
        <v>397</v>
      </c>
      <c r="I50" s="216"/>
      <c r="J50" s="221">
        <f>IF(J49=0,0,J49/J20)</f>
        <v>2.9344153927805292E-2</v>
      </c>
      <c r="K50" s="221"/>
      <c r="L50" s="309">
        <f>J50</f>
        <v>2.9344153927805292E-2</v>
      </c>
      <c r="R50" s="312"/>
      <c r="S50" s="234"/>
      <c r="T50" s="205"/>
      <c r="U50" s="205"/>
      <c r="V50" s="209"/>
      <c r="W50" s="205"/>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row>
    <row r="51" spans="1:70">
      <c r="A51" s="311"/>
      <c r="C51" s="196"/>
      <c r="D51" s="196"/>
      <c r="E51" s="196"/>
      <c r="F51" s="196"/>
      <c r="G51" s="196"/>
      <c r="H51" s="216"/>
      <c r="I51" s="216"/>
      <c r="J51" s="196"/>
      <c r="K51" s="196"/>
      <c r="L51" s="196"/>
      <c r="R51" s="196"/>
      <c r="T51" s="194"/>
      <c r="U51" s="205"/>
      <c r="V51" s="194"/>
      <c r="W51" s="20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row>
    <row r="52" spans="1:70">
      <c r="A52" s="311"/>
      <c r="C52" s="207" t="s">
        <v>126</v>
      </c>
      <c r="D52" s="207"/>
      <c r="E52" s="207"/>
      <c r="F52" s="207"/>
      <c r="G52" s="207"/>
      <c r="H52" s="235"/>
      <c r="I52" s="235"/>
      <c r="R52" s="196"/>
      <c r="T52" s="205"/>
      <c r="U52" s="205"/>
      <c r="V52" s="205"/>
      <c r="W52" s="20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row>
    <row r="53" spans="1:70">
      <c r="A53" s="311" t="s">
        <v>398</v>
      </c>
      <c r="C53" s="207" t="s">
        <v>399</v>
      </c>
      <c r="D53" s="207"/>
      <c r="E53" s="207"/>
      <c r="F53" s="207"/>
      <c r="G53" s="207"/>
      <c r="H53" s="216" t="s">
        <v>400</v>
      </c>
      <c r="I53" s="216"/>
      <c r="J53" s="299">
        <f>'ATC Attach O ER15-358'!I199</f>
        <v>267395629.80036578</v>
      </c>
      <c r="K53" s="196"/>
      <c r="L53" s="196"/>
      <c r="R53" s="196"/>
      <c r="T53" s="205"/>
      <c r="U53" s="205"/>
      <c r="V53" s="205"/>
      <c r="W53" s="20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86"/>
    </row>
    <row r="54" spans="1:70">
      <c r="A54" s="311" t="s">
        <v>401</v>
      </c>
      <c r="B54" s="234"/>
      <c r="C54" s="196" t="s">
        <v>402</v>
      </c>
      <c r="D54" s="196"/>
      <c r="E54" s="196"/>
      <c r="F54" s="196"/>
      <c r="G54" s="196"/>
      <c r="H54" s="216" t="s">
        <v>403</v>
      </c>
      <c r="I54" s="216"/>
      <c r="J54" s="236">
        <f>IF(J53=0,0,J53/J20)</f>
        <v>7.039573644813156E-2</v>
      </c>
      <c r="K54" s="236"/>
      <c r="L54" s="309">
        <f>J54</f>
        <v>7.039573644813156E-2</v>
      </c>
      <c r="R54" s="196"/>
      <c r="U54" s="237"/>
      <c r="V54" s="209"/>
      <c r="W54" s="205"/>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86"/>
    </row>
    <row r="55" spans="1:70">
      <c r="A55" s="311"/>
      <c r="C55" s="207"/>
      <c r="D55" s="207"/>
      <c r="E55" s="207"/>
      <c r="F55" s="207"/>
      <c r="G55" s="207"/>
      <c r="H55" s="216"/>
      <c r="I55" s="216"/>
      <c r="J55" s="196"/>
      <c r="K55" s="196"/>
      <c r="L55" s="196"/>
      <c r="R55" s="196"/>
      <c r="S55" s="235"/>
      <c r="T55" s="205"/>
      <c r="U55" s="205"/>
      <c r="V55" s="205"/>
      <c r="W55" s="20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row>
    <row r="56" spans="1:70" ht="15.75">
      <c r="A56" s="229" t="s">
        <v>404</v>
      </c>
      <c r="B56" s="230"/>
      <c r="C56" s="213" t="s">
        <v>405</v>
      </c>
      <c r="D56" s="213"/>
      <c r="E56" s="213"/>
      <c r="F56" s="213"/>
      <c r="G56" s="213"/>
      <c r="H56" s="208" t="s">
        <v>406</v>
      </c>
      <c r="I56" s="208"/>
      <c r="J56" s="231"/>
      <c r="K56" s="231"/>
      <c r="L56" s="232">
        <f>L50+L54</f>
        <v>9.9739890375936849E-2</v>
      </c>
      <c r="R56" s="196"/>
      <c r="S56" s="235"/>
      <c r="T56" s="205"/>
      <c r="U56" s="205"/>
      <c r="V56" s="205"/>
      <c r="W56" s="20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86"/>
    </row>
    <row r="57" spans="1:70">
      <c r="R57" s="313"/>
      <c r="S57" s="313"/>
      <c r="T57" s="205"/>
      <c r="U57" s="205"/>
      <c r="V57" s="205"/>
      <c r="W57" s="20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86"/>
    </row>
    <row r="58" spans="1:70">
      <c r="A58" s="243"/>
      <c r="C58" s="238"/>
      <c r="D58" s="238"/>
      <c r="E58" s="238"/>
      <c r="F58" s="238"/>
      <c r="G58" s="238"/>
      <c r="H58" s="238"/>
      <c r="I58" s="238"/>
      <c r="J58" s="196"/>
      <c r="K58" s="196"/>
      <c r="L58" s="238"/>
      <c r="M58" s="238"/>
      <c r="N58" s="238"/>
      <c r="O58" s="238"/>
      <c r="P58" s="238"/>
      <c r="R58" s="196"/>
      <c r="S58" s="196"/>
      <c r="T58" s="205"/>
      <c r="U58" s="205"/>
      <c r="V58" s="209"/>
      <c r="W58" s="205" t="s">
        <v>1</v>
      </c>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row>
    <row r="59" spans="1:70">
      <c r="S59" s="185"/>
    </row>
    <row r="60" spans="1:70">
      <c r="S60" s="185"/>
    </row>
    <row r="62" spans="1:70">
      <c r="A62" s="243"/>
      <c r="C62" s="238"/>
      <c r="D62" s="238"/>
      <c r="E62" s="238"/>
      <c r="F62" s="238"/>
      <c r="G62" s="238"/>
      <c r="H62" s="238"/>
      <c r="I62" s="238"/>
      <c r="J62" s="196"/>
      <c r="K62" s="196"/>
      <c r="L62" s="238"/>
      <c r="M62" s="238"/>
      <c r="N62" s="238"/>
      <c r="O62" s="238"/>
      <c r="P62" s="238"/>
      <c r="Q62" s="186"/>
      <c r="R62" s="196"/>
      <c r="S62" s="186"/>
      <c r="T62" s="205"/>
      <c r="U62" s="194"/>
      <c r="V62" s="205"/>
      <c r="W62" s="20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86"/>
    </row>
    <row r="63" spans="1:70">
      <c r="A63" s="243"/>
      <c r="C63" s="207" t="str">
        <f>C5</f>
        <v>Formula Rate calculation</v>
      </c>
      <c r="D63" s="207"/>
      <c r="E63" s="207"/>
      <c r="F63" s="207"/>
      <c r="G63" s="207"/>
      <c r="H63" s="238"/>
      <c r="I63" s="238"/>
      <c r="J63" s="238" t="str">
        <f>J5</f>
        <v xml:space="preserve">     Rate Formula Template</v>
      </c>
      <c r="K63" s="238"/>
      <c r="L63" s="238"/>
      <c r="M63" s="238"/>
      <c r="N63" s="238"/>
      <c r="O63" s="238"/>
      <c r="P63" s="238"/>
      <c r="Q63" s="186"/>
      <c r="R63" s="196"/>
      <c r="S63" s="187" t="s">
        <v>446</v>
      </c>
      <c r="T63" s="205"/>
      <c r="U63" s="194"/>
      <c r="V63" s="205"/>
      <c r="W63" s="20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6"/>
      <c r="BR63" s="186"/>
    </row>
    <row r="64" spans="1:70">
      <c r="A64" s="243"/>
      <c r="C64" s="207"/>
      <c r="D64" s="207"/>
      <c r="E64" s="207"/>
      <c r="F64" s="207"/>
      <c r="G64" s="207"/>
      <c r="H64" s="238"/>
      <c r="I64" s="238"/>
      <c r="J64" s="238" t="s">
        <v>355</v>
      </c>
      <c r="K64" s="238"/>
      <c r="L64" s="238"/>
      <c r="M64" s="238"/>
      <c r="N64" s="238"/>
      <c r="O64" s="238"/>
      <c r="P64" s="238"/>
      <c r="Q64" s="196"/>
      <c r="R64" s="196"/>
      <c r="S64" s="244" t="str">
        <f>S5</f>
        <v>For  the 12 months ended 12/31/2016</v>
      </c>
      <c r="T64" s="205"/>
      <c r="U64" s="194"/>
      <c r="V64" s="205"/>
      <c r="W64" s="20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86"/>
    </row>
    <row r="65" spans="1:70" ht="14.25" customHeight="1">
      <c r="A65" s="243"/>
      <c r="C65" s="238"/>
      <c r="D65" s="238"/>
      <c r="E65" s="238"/>
      <c r="F65" s="238"/>
      <c r="G65" s="238"/>
      <c r="H65" s="238"/>
      <c r="I65" s="238"/>
      <c r="J65" s="238"/>
      <c r="K65" s="238"/>
      <c r="L65" s="238"/>
      <c r="M65" s="238"/>
      <c r="N65" s="238"/>
      <c r="O65" s="238"/>
      <c r="P65" s="238"/>
      <c r="Q65" s="186"/>
      <c r="R65" s="196"/>
      <c r="S65" s="238" t="s">
        <v>407</v>
      </c>
      <c r="T65" s="205"/>
      <c r="U65" s="194"/>
      <c r="V65" s="205"/>
      <c r="W65" s="20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86"/>
    </row>
    <row r="66" spans="1:70">
      <c r="A66" s="243"/>
      <c r="H66" s="238"/>
      <c r="I66" s="238"/>
      <c r="J66" s="238" t="str">
        <f>J8</f>
        <v>American Transmission Company LLC</v>
      </c>
      <c r="K66" s="238"/>
      <c r="L66" s="238"/>
      <c r="M66" s="238"/>
      <c r="N66" s="238"/>
      <c r="O66" s="238"/>
      <c r="P66" s="238"/>
      <c r="Q66" s="238"/>
      <c r="R66" s="196"/>
      <c r="S66" s="196"/>
      <c r="T66" s="205"/>
      <c r="U66" s="194"/>
      <c r="V66" s="205"/>
      <c r="W66" s="20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86"/>
    </row>
    <row r="67" spans="1:70">
      <c r="A67" s="243"/>
      <c r="H67" s="207"/>
      <c r="I67" s="207"/>
      <c r="J67" s="207"/>
      <c r="K67" s="207"/>
      <c r="L67" s="207"/>
      <c r="M67" s="207"/>
      <c r="N67" s="207"/>
      <c r="O67" s="207"/>
      <c r="P67" s="207"/>
      <c r="Q67" s="207"/>
      <c r="R67" s="207"/>
      <c r="S67" s="207"/>
      <c r="T67" s="205"/>
      <c r="U67" s="194"/>
      <c r="V67" s="205"/>
      <c r="W67" s="20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86"/>
    </row>
    <row r="68" spans="1:70" ht="15.75">
      <c r="A68" s="243"/>
      <c r="C68" s="238"/>
      <c r="D68" s="238"/>
      <c r="E68" s="238"/>
      <c r="F68" s="238"/>
      <c r="G68" s="238"/>
      <c r="I68" s="314" t="s">
        <v>478</v>
      </c>
      <c r="K68" s="186"/>
      <c r="L68" s="197"/>
      <c r="M68" s="197"/>
      <c r="N68" s="197"/>
      <c r="O68" s="197"/>
      <c r="P68" s="197"/>
      <c r="Q68" s="197"/>
      <c r="R68" s="196"/>
      <c r="S68" s="196"/>
      <c r="T68" s="205"/>
      <c r="U68" s="194"/>
      <c r="V68" s="205"/>
      <c r="W68" s="20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row>
    <row r="69" spans="1:70" ht="15.75">
      <c r="A69" s="243"/>
      <c r="C69" s="238"/>
      <c r="D69" s="238"/>
      <c r="E69" s="238"/>
      <c r="F69" s="238"/>
      <c r="G69" s="238"/>
      <c r="H69" s="213"/>
      <c r="I69" s="213"/>
      <c r="L69" s="197"/>
      <c r="M69" s="197"/>
      <c r="N69" s="197"/>
      <c r="O69" s="197"/>
      <c r="P69" s="197"/>
      <c r="Q69" s="197"/>
      <c r="R69" s="196"/>
      <c r="S69" s="196"/>
      <c r="T69" s="205"/>
      <c r="U69" s="194"/>
      <c r="V69" s="205"/>
      <c r="W69" s="20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row>
    <row r="70" spans="1:70" ht="15.75">
      <c r="A70" s="315"/>
      <c r="C70" s="316" t="s">
        <v>49</v>
      </c>
      <c r="D70" s="316" t="s">
        <v>50</v>
      </c>
      <c r="E70" s="316" t="s">
        <v>51</v>
      </c>
      <c r="F70" s="316" t="s">
        <v>52</v>
      </c>
      <c r="G70" s="316" t="s">
        <v>53</v>
      </c>
      <c r="H70" s="316" t="s">
        <v>479</v>
      </c>
      <c r="I70" s="316" t="s">
        <v>480</v>
      </c>
      <c r="J70" s="316" t="s">
        <v>481</v>
      </c>
      <c r="K70" s="316" t="s">
        <v>482</v>
      </c>
      <c r="L70" s="316" t="s">
        <v>483</v>
      </c>
      <c r="M70" s="316" t="s">
        <v>484</v>
      </c>
      <c r="N70" s="316" t="s">
        <v>485</v>
      </c>
      <c r="O70" s="316" t="s">
        <v>486</v>
      </c>
      <c r="P70" s="316" t="s">
        <v>487</v>
      </c>
      <c r="Q70" s="316" t="s">
        <v>488</v>
      </c>
      <c r="R70" s="316" t="s">
        <v>489</v>
      </c>
      <c r="S70" s="316" t="s">
        <v>490</v>
      </c>
      <c r="T70" s="205"/>
      <c r="U70" s="194"/>
      <c r="V70" s="205"/>
      <c r="W70" s="20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row>
    <row r="71" spans="1:70" ht="85.5" customHeight="1">
      <c r="A71" s="247" t="s">
        <v>410</v>
      </c>
      <c r="B71" s="248"/>
      <c r="C71" s="249" t="s">
        <v>411</v>
      </c>
      <c r="D71" s="249" t="s">
        <v>412</v>
      </c>
      <c r="E71" s="249" t="s">
        <v>491</v>
      </c>
      <c r="F71" s="249" t="s">
        <v>492</v>
      </c>
      <c r="G71" s="249" t="s">
        <v>493</v>
      </c>
      <c r="H71" s="250" t="s">
        <v>494</v>
      </c>
      <c r="I71" s="250" t="s">
        <v>495</v>
      </c>
      <c r="J71" s="317" t="s">
        <v>496</v>
      </c>
      <c r="K71" s="251" t="s">
        <v>414</v>
      </c>
      <c r="L71" s="250" t="s">
        <v>415</v>
      </c>
      <c r="M71" s="250" t="s">
        <v>405</v>
      </c>
      <c r="N71" s="251" t="s">
        <v>416</v>
      </c>
      <c r="O71" s="250" t="s">
        <v>417</v>
      </c>
      <c r="P71" s="250" t="s">
        <v>497</v>
      </c>
      <c r="Q71" s="253" t="s">
        <v>419</v>
      </c>
      <c r="R71" s="254" t="s">
        <v>420</v>
      </c>
      <c r="S71" s="253" t="s">
        <v>498</v>
      </c>
      <c r="T71" s="224"/>
      <c r="U71" s="194"/>
      <c r="V71" s="205"/>
      <c r="W71" s="20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row>
    <row r="72" spans="1:70" ht="46.5" customHeight="1">
      <c r="A72" s="255"/>
      <c r="B72" s="256"/>
      <c r="C72" s="256"/>
      <c r="D72" s="256"/>
      <c r="E72" s="318" t="s">
        <v>27</v>
      </c>
      <c r="F72" s="256"/>
      <c r="G72" s="256" t="s">
        <v>499</v>
      </c>
      <c r="H72" s="318" t="s">
        <v>500</v>
      </c>
      <c r="I72" s="257" t="s">
        <v>501</v>
      </c>
      <c r="J72" s="318" t="s">
        <v>502</v>
      </c>
      <c r="K72" s="319" t="s">
        <v>503</v>
      </c>
      <c r="L72" s="318" t="s">
        <v>504</v>
      </c>
      <c r="M72" s="257" t="s">
        <v>424</v>
      </c>
      <c r="N72" s="258" t="s">
        <v>505</v>
      </c>
      <c r="O72" s="257" t="s">
        <v>246</v>
      </c>
      <c r="P72" s="257" t="s">
        <v>426</v>
      </c>
      <c r="Q72" s="260" t="s">
        <v>506</v>
      </c>
      <c r="R72" s="261" t="s">
        <v>428</v>
      </c>
      <c r="S72" s="262" t="s">
        <v>507</v>
      </c>
      <c r="T72" s="205"/>
      <c r="U72" s="194"/>
      <c r="V72" s="205"/>
      <c r="W72" s="20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86"/>
    </row>
    <row r="73" spans="1:70">
      <c r="A73" s="263" t="s">
        <v>508</v>
      </c>
      <c r="B73" s="197"/>
      <c r="C73" s="197"/>
      <c r="D73" s="197"/>
      <c r="E73" s="197"/>
      <c r="F73" s="197"/>
      <c r="G73" s="197"/>
      <c r="H73" s="197"/>
      <c r="I73" s="197"/>
      <c r="J73" s="197"/>
      <c r="K73" s="264"/>
      <c r="L73" s="197"/>
      <c r="M73" s="197"/>
      <c r="N73" s="264"/>
      <c r="O73" s="197"/>
      <c r="P73" s="197"/>
      <c r="Q73" s="264"/>
      <c r="R73" s="196"/>
      <c r="S73" s="266"/>
      <c r="T73" s="205"/>
      <c r="U73" s="194"/>
      <c r="V73" s="205"/>
      <c r="W73" s="20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86"/>
    </row>
    <row r="74" spans="1:70">
      <c r="A74" s="320" t="s">
        <v>232</v>
      </c>
      <c r="C74" s="184" t="s">
        <v>899</v>
      </c>
      <c r="D74" s="321">
        <v>2844</v>
      </c>
      <c r="E74" s="322">
        <f>IF(ISNA(HLOOKUP($D74,'MM Support Data'!$C$8:$N$67,17,FALSE)),0,HLOOKUP($D74,'MM Support Data'!$C$8:$N$67,17,FALSE))</f>
        <v>33530245.149999995</v>
      </c>
      <c r="F74" s="322">
        <f>IF(ISNA(HLOOKUP($D74,'MM Support Data'!$C$8:$N$67,17,FALSE)),0,HLOOKUP($D74,'MM Support Data'!$C$8:$N$67,33,FALSE))</f>
        <v>1926512.8600000008</v>
      </c>
      <c r="G74" s="309">
        <f>$L$31</f>
        <v>7.3693808501488434E-2</v>
      </c>
      <c r="H74" s="323">
        <f>F74*G74</f>
        <v>141972.06978049484</v>
      </c>
      <c r="I74" s="309">
        <f>$L$46</f>
        <v>1.5207252358277992E-2</v>
      </c>
      <c r="J74" s="184">
        <f>E74*I74</f>
        <v>509902.89963097661</v>
      </c>
      <c r="K74" s="324">
        <f>H74+J74</f>
        <v>651874.96941147139</v>
      </c>
      <c r="L74" s="323">
        <f>E74-F74</f>
        <v>31603732.289999995</v>
      </c>
      <c r="M74" s="309">
        <f>$L$56</f>
        <v>9.9739890375936849E-2</v>
      </c>
      <c r="N74" s="325">
        <f>L74*M74</f>
        <v>3152152.794075055</v>
      </c>
      <c r="O74" s="322">
        <f>IF(ISNA(HLOOKUP($D74,'MM Support Data'!$C$8:$N$67,17,FALSE)),0,HLOOKUP($D74,'MM Support Data'!$C$8:$N$67,55,FALSE))</f>
        <v>765031.32</v>
      </c>
      <c r="P74" s="326">
        <f>IF(ISNA(HLOOKUP($D74,'MM Support Data'!$C$8:$N$67,17,FALSE)),0,HLOOKUP($D74,'MM Support Data'!$C$8:$N$67,60,FALSE))</f>
        <v>0</v>
      </c>
      <c r="Q74" s="325">
        <f>K74+N74+O74+P74</f>
        <v>4569059.0834865263</v>
      </c>
      <c r="R74" s="327">
        <f>'2014 Sch.26A True-up Adj'!AO56</f>
        <v>490735.73401100456</v>
      </c>
      <c r="S74" s="328">
        <f>Q74+R74</f>
        <v>5059794.817497531</v>
      </c>
      <c r="T74" s="275"/>
      <c r="U74" s="275"/>
      <c r="V74" s="275"/>
      <c r="W74" s="275"/>
      <c r="X74" s="275"/>
      <c r="Y74" s="275"/>
      <c r="Z74" s="275"/>
    </row>
    <row r="75" spans="1:70">
      <c r="A75" s="320" t="s">
        <v>430</v>
      </c>
      <c r="C75" s="184" t="s">
        <v>900</v>
      </c>
      <c r="D75" s="321">
        <v>3127</v>
      </c>
      <c r="E75" s="322">
        <f>IF(ISNA(HLOOKUP($D75,'MM Support Data'!$C$8:$N$67,17,FALSE)),0,HLOOKUP($D75,'MM Support Data'!$C$8:$N$67,17,FALSE))</f>
        <v>48586401.704615392</v>
      </c>
      <c r="F75" s="322">
        <f>IF(ISNA(HLOOKUP($D75,'MM Support Data'!$C$8:$N$67,17,FALSE)),0,HLOOKUP($D75,'MM Support Data'!$C$8:$N$67,33,FALSE))</f>
        <v>0</v>
      </c>
      <c r="G75" s="309">
        <f t="shared" ref="G75:G97" si="0">$L$31</f>
        <v>7.3693808501488434E-2</v>
      </c>
      <c r="H75" s="323">
        <f>F75*G75</f>
        <v>0</v>
      </c>
      <c r="I75" s="309">
        <f t="shared" ref="I75:I97" si="1">$L$46</f>
        <v>1.5207252358277992E-2</v>
      </c>
      <c r="J75" s="184">
        <f>E75*I75</f>
        <v>738865.67190275423</v>
      </c>
      <c r="K75" s="324">
        <f>H75+J75</f>
        <v>738865.67190275423</v>
      </c>
      <c r="L75" s="323">
        <f>E75-F75</f>
        <v>48586401.704615392</v>
      </c>
      <c r="M75" s="309">
        <f t="shared" ref="M75:M97" si="2">$L$56</f>
        <v>9.9739890375936849E-2</v>
      </c>
      <c r="N75" s="325">
        <f>L75*M75</f>
        <v>4846002.3797795707</v>
      </c>
      <c r="O75" s="322">
        <f>IF(ISNA(HLOOKUP($D75,'MM Support Data'!$C$8:$N$67,17,FALSE)),0,HLOOKUP($D75,'MM Support Data'!$C$8:$N$67,55,FALSE))</f>
        <v>0</v>
      </c>
      <c r="P75" s="326">
        <f>IF(ISNA(HLOOKUP($D75,'MM Support Data'!$C$8:$N$67,17,FALSE)),0,HLOOKUP($D75,'MM Support Data'!$C$8:$N$67,60,FALSE))</f>
        <v>1337936.42</v>
      </c>
      <c r="Q75" s="325">
        <f t="shared" ref="Q75:Q97" si="3">K75+N75+O75+P75</f>
        <v>6922804.471682325</v>
      </c>
      <c r="R75" s="327">
        <f>'2014 Sch.26A True-up Adj'!AO57</f>
        <v>1001063.5844930578</v>
      </c>
      <c r="S75" s="328">
        <f t="shared" ref="S75:S97" si="4">Q75+R75</f>
        <v>7923868.0561753828</v>
      </c>
      <c r="T75" s="275"/>
      <c r="U75" s="275"/>
      <c r="V75" s="275"/>
      <c r="W75" s="275"/>
      <c r="X75" s="275"/>
      <c r="Y75" s="275"/>
      <c r="Z75" s="275"/>
    </row>
    <row r="76" spans="1:70">
      <c r="A76" s="320" t="s">
        <v>431</v>
      </c>
      <c r="D76" s="321"/>
      <c r="E76" s="322">
        <v>0</v>
      </c>
      <c r="F76" s="322">
        <v>0</v>
      </c>
      <c r="G76" s="309">
        <f t="shared" si="0"/>
        <v>7.3693808501488434E-2</v>
      </c>
      <c r="H76" s="323">
        <f>F76*G76</f>
        <v>0</v>
      </c>
      <c r="I76" s="309">
        <f t="shared" si="1"/>
        <v>1.5207252358277992E-2</v>
      </c>
      <c r="J76" s="184">
        <f>E76*I76</f>
        <v>0</v>
      </c>
      <c r="K76" s="324">
        <f>H76+J76</f>
        <v>0</v>
      </c>
      <c r="L76" s="323">
        <f>E76-F76</f>
        <v>0</v>
      </c>
      <c r="M76" s="309">
        <f t="shared" si="2"/>
        <v>9.9739890375936849E-2</v>
      </c>
      <c r="N76" s="325">
        <f>L76*M76</f>
        <v>0</v>
      </c>
      <c r="O76" s="322">
        <v>0</v>
      </c>
      <c r="P76" s="326">
        <v>0</v>
      </c>
      <c r="Q76" s="325">
        <f t="shared" si="3"/>
        <v>0</v>
      </c>
      <c r="R76" s="327">
        <v>0</v>
      </c>
      <c r="S76" s="328">
        <f t="shared" si="4"/>
        <v>0</v>
      </c>
      <c r="T76" s="275"/>
      <c r="U76" s="275"/>
      <c r="V76" s="275"/>
      <c r="W76" s="275"/>
      <c r="X76" s="275"/>
      <c r="Y76" s="275"/>
      <c r="Z76" s="275"/>
    </row>
    <row r="77" spans="1:70">
      <c r="A77" s="320" t="s">
        <v>509</v>
      </c>
      <c r="D77" s="321"/>
      <c r="E77" s="322">
        <v>0</v>
      </c>
      <c r="F77" s="322">
        <v>0</v>
      </c>
      <c r="G77" s="309">
        <f t="shared" si="0"/>
        <v>7.3693808501488434E-2</v>
      </c>
      <c r="H77" s="323">
        <f t="shared" ref="H77:H97" si="5">F77*G77</f>
        <v>0</v>
      </c>
      <c r="I77" s="309">
        <f t="shared" si="1"/>
        <v>1.5207252358277992E-2</v>
      </c>
      <c r="J77" s="184">
        <f t="shared" ref="J77:J97" si="6">E77*I77</f>
        <v>0</v>
      </c>
      <c r="K77" s="324">
        <f t="shared" ref="K77:K97" si="7">H77+J77</f>
        <v>0</v>
      </c>
      <c r="L77" s="323">
        <f t="shared" ref="L77:L97" si="8">E77-F77</f>
        <v>0</v>
      </c>
      <c r="M77" s="309">
        <f t="shared" si="2"/>
        <v>9.9739890375936849E-2</v>
      </c>
      <c r="N77" s="325">
        <f t="shared" ref="N77:N97" si="9">L77*M77</f>
        <v>0</v>
      </c>
      <c r="O77" s="322">
        <v>0</v>
      </c>
      <c r="P77" s="326">
        <v>0</v>
      </c>
      <c r="Q77" s="325">
        <f t="shared" si="3"/>
        <v>0</v>
      </c>
      <c r="R77" s="327">
        <v>0</v>
      </c>
      <c r="S77" s="328">
        <f t="shared" si="4"/>
        <v>0</v>
      </c>
      <c r="T77" s="275"/>
      <c r="U77" s="275"/>
      <c r="V77" s="275"/>
      <c r="W77" s="275"/>
      <c r="X77" s="275"/>
      <c r="Y77" s="275"/>
      <c r="Z77" s="275"/>
    </row>
    <row r="78" spans="1:70">
      <c r="A78" s="320" t="s">
        <v>510</v>
      </c>
      <c r="D78" s="321"/>
      <c r="E78" s="322">
        <v>0</v>
      </c>
      <c r="F78" s="322">
        <v>0</v>
      </c>
      <c r="G78" s="309">
        <f t="shared" si="0"/>
        <v>7.3693808501488434E-2</v>
      </c>
      <c r="H78" s="323">
        <f t="shared" si="5"/>
        <v>0</v>
      </c>
      <c r="I78" s="309">
        <f t="shared" si="1"/>
        <v>1.5207252358277992E-2</v>
      </c>
      <c r="J78" s="184">
        <f t="shared" si="6"/>
        <v>0</v>
      </c>
      <c r="K78" s="324">
        <f t="shared" si="7"/>
        <v>0</v>
      </c>
      <c r="L78" s="323">
        <f t="shared" si="8"/>
        <v>0</v>
      </c>
      <c r="M78" s="309">
        <f t="shared" si="2"/>
        <v>9.9739890375936849E-2</v>
      </c>
      <c r="N78" s="325">
        <f t="shared" si="9"/>
        <v>0</v>
      </c>
      <c r="O78" s="322">
        <v>0</v>
      </c>
      <c r="P78" s="326">
        <v>0</v>
      </c>
      <c r="Q78" s="325">
        <f t="shared" si="3"/>
        <v>0</v>
      </c>
      <c r="R78" s="327">
        <v>0</v>
      </c>
      <c r="S78" s="328">
        <f t="shared" si="4"/>
        <v>0</v>
      </c>
      <c r="T78" s="275"/>
      <c r="U78" s="275"/>
      <c r="V78" s="275"/>
      <c r="W78" s="275"/>
      <c r="X78" s="275"/>
      <c r="Y78" s="275"/>
      <c r="Z78" s="275"/>
    </row>
    <row r="79" spans="1:70">
      <c r="A79" s="320" t="s">
        <v>511</v>
      </c>
      <c r="D79" s="321"/>
      <c r="E79" s="322">
        <v>0</v>
      </c>
      <c r="F79" s="322">
        <v>0</v>
      </c>
      <c r="G79" s="309">
        <f t="shared" si="0"/>
        <v>7.3693808501488434E-2</v>
      </c>
      <c r="H79" s="323">
        <f t="shared" si="5"/>
        <v>0</v>
      </c>
      <c r="I79" s="309">
        <f t="shared" si="1"/>
        <v>1.5207252358277992E-2</v>
      </c>
      <c r="J79" s="184">
        <f t="shared" si="6"/>
        <v>0</v>
      </c>
      <c r="K79" s="324">
        <f t="shared" si="7"/>
        <v>0</v>
      </c>
      <c r="L79" s="323">
        <f t="shared" si="8"/>
        <v>0</v>
      </c>
      <c r="M79" s="309">
        <f t="shared" si="2"/>
        <v>9.9739890375936849E-2</v>
      </c>
      <c r="N79" s="325">
        <f t="shared" si="9"/>
        <v>0</v>
      </c>
      <c r="O79" s="322">
        <v>0</v>
      </c>
      <c r="P79" s="326">
        <v>0</v>
      </c>
      <c r="Q79" s="325">
        <f t="shared" si="3"/>
        <v>0</v>
      </c>
      <c r="R79" s="327">
        <v>0</v>
      </c>
      <c r="S79" s="328">
        <f t="shared" si="4"/>
        <v>0</v>
      </c>
      <c r="T79" s="275"/>
      <c r="U79" s="275"/>
      <c r="V79" s="275"/>
      <c r="W79" s="275"/>
      <c r="X79" s="275"/>
      <c r="Y79" s="275"/>
      <c r="Z79" s="275"/>
    </row>
    <row r="80" spans="1:70">
      <c r="A80" s="320" t="s">
        <v>512</v>
      </c>
      <c r="D80" s="321"/>
      <c r="E80" s="322">
        <v>0</v>
      </c>
      <c r="F80" s="322">
        <v>0</v>
      </c>
      <c r="G80" s="309">
        <f t="shared" si="0"/>
        <v>7.3693808501488434E-2</v>
      </c>
      <c r="H80" s="323">
        <f t="shared" si="5"/>
        <v>0</v>
      </c>
      <c r="I80" s="309">
        <f t="shared" si="1"/>
        <v>1.5207252358277992E-2</v>
      </c>
      <c r="J80" s="184">
        <f t="shared" si="6"/>
        <v>0</v>
      </c>
      <c r="K80" s="324">
        <f t="shared" si="7"/>
        <v>0</v>
      </c>
      <c r="L80" s="323">
        <f t="shared" si="8"/>
        <v>0</v>
      </c>
      <c r="M80" s="309">
        <f t="shared" si="2"/>
        <v>9.9739890375936849E-2</v>
      </c>
      <c r="N80" s="325">
        <f t="shared" si="9"/>
        <v>0</v>
      </c>
      <c r="O80" s="322">
        <v>0</v>
      </c>
      <c r="P80" s="326">
        <v>0</v>
      </c>
      <c r="Q80" s="325">
        <f t="shared" si="3"/>
        <v>0</v>
      </c>
      <c r="R80" s="327">
        <v>0</v>
      </c>
      <c r="S80" s="328">
        <f t="shared" si="4"/>
        <v>0</v>
      </c>
      <c r="T80" s="275"/>
      <c r="U80" s="275"/>
      <c r="V80" s="275"/>
      <c r="W80" s="275"/>
      <c r="X80" s="275"/>
      <c r="Y80" s="275"/>
      <c r="Z80" s="275"/>
    </row>
    <row r="81" spans="1:26">
      <c r="A81" s="320" t="s">
        <v>513</v>
      </c>
      <c r="D81" s="321"/>
      <c r="E81" s="322">
        <v>0</v>
      </c>
      <c r="F81" s="322">
        <v>0</v>
      </c>
      <c r="G81" s="309">
        <f t="shared" si="0"/>
        <v>7.3693808501488434E-2</v>
      </c>
      <c r="H81" s="323">
        <f t="shared" si="5"/>
        <v>0</v>
      </c>
      <c r="I81" s="309">
        <f t="shared" si="1"/>
        <v>1.5207252358277992E-2</v>
      </c>
      <c r="J81" s="184">
        <f t="shared" si="6"/>
        <v>0</v>
      </c>
      <c r="K81" s="324">
        <f t="shared" si="7"/>
        <v>0</v>
      </c>
      <c r="L81" s="323">
        <f t="shared" si="8"/>
        <v>0</v>
      </c>
      <c r="M81" s="309">
        <f t="shared" si="2"/>
        <v>9.9739890375936849E-2</v>
      </c>
      <c r="N81" s="325">
        <f t="shared" si="9"/>
        <v>0</v>
      </c>
      <c r="O81" s="322">
        <v>0</v>
      </c>
      <c r="P81" s="326">
        <v>0</v>
      </c>
      <c r="Q81" s="325">
        <f t="shared" si="3"/>
        <v>0</v>
      </c>
      <c r="R81" s="327">
        <v>0</v>
      </c>
      <c r="S81" s="328">
        <f t="shared" si="4"/>
        <v>0</v>
      </c>
      <c r="T81" s="275"/>
      <c r="U81" s="275"/>
      <c r="V81" s="275"/>
      <c r="W81" s="275"/>
      <c r="X81" s="275"/>
      <c r="Y81" s="275"/>
      <c r="Z81" s="275"/>
    </row>
    <row r="82" spans="1:26">
      <c r="A82" s="320" t="s">
        <v>514</v>
      </c>
      <c r="C82" s="275"/>
      <c r="D82" s="329"/>
      <c r="E82" s="322">
        <v>0</v>
      </c>
      <c r="F82" s="322">
        <v>0</v>
      </c>
      <c r="G82" s="309">
        <f t="shared" si="0"/>
        <v>7.3693808501488434E-2</v>
      </c>
      <c r="H82" s="323">
        <f t="shared" si="5"/>
        <v>0</v>
      </c>
      <c r="I82" s="309">
        <f t="shared" si="1"/>
        <v>1.5207252358277992E-2</v>
      </c>
      <c r="J82" s="184">
        <f t="shared" si="6"/>
        <v>0</v>
      </c>
      <c r="K82" s="324">
        <f t="shared" si="7"/>
        <v>0</v>
      </c>
      <c r="L82" s="323">
        <f t="shared" si="8"/>
        <v>0</v>
      </c>
      <c r="M82" s="309">
        <f t="shared" si="2"/>
        <v>9.9739890375936849E-2</v>
      </c>
      <c r="N82" s="325">
        <f t="shared" si="9"/>
        <v>0</v>
      </c>
      <c r="O82" s="322">
        <v>0</v>
      </c>
      <c r="P82" s="326">
        <v>0</v>
      </c>
      <c r="Q82" s="325">
        <f t="shared" si="3"/>
        <v>0</v>
      </c>
      <c r="R82" s="327">
        <v>0</v>
      </c>
      <c r="S82" s="328">
        <f t="shared" si="4"/>
        <v>0</v>
      </c>
      <c r="T82" s="275"/>
      <c r="U82" s="275"/>
      <c r="V82" s="275"/>
      <c r="W82" s="275"/>
      <c r="X82" s="275"/>
      <c r="Y82" s="275"/>
      <c r="Z82" s="275"/>
    </row>
    <row r="83" spans="1:26">
      <c r="A83" s="320" t="s">
        <v>515</v>
      </c>
      <c r="C83" s="275"/>
      <c r="D83" s="329"/>
      <c r="E83" s="322">
        <v>0</v>
      </c>
      <c r="F83" s="322">
        <v>0</v>
      </c>
      <c r="G83" s="309">
        <f t="shared" si="0"/>
        <v>7.3693808501488434E-2</v>
      </c>
      <c r="H83" s="323">
        <f t="shared" si="5"/>
        <v>0</v>
      </c>
      <c r="I83" s="309">
        <f t="shared" si="1"/>
        <v>1.5207252358277992E-2</v>
      </c>
      <c r="J83" s="184">
        <f t="shared" si="6"/>
        <v>0</v>
      </c>
      <c r="K83" s="324">
        <f t="shared" si="7"/>
        <v>0</v>
      </c>
      <c r="L83" s="323">
        <f t="shared" si="8"/>
        <v>0</v>
      </c>
      <c r="M83" s="309">
        <f t="shared" si="2"/>
        <v>9.9739890375936849E-2</v>
      </c>
      <c r="N83" s="325">
        <f t="shared" si="9"/>
        <v>0</v>
      </c>
      <c r="O83" s="322">
        <v>0</v>
      </c>
      <c r="P83" s="326">
        <v>0</v>
      </c>
      <c r="Q83" s="325">
        <f t="shared" si="3"/>
        <v>0</v>
      </c>
      <c r="R83" s="327">
        <v>0</v>
      </c>
      <c r="S83" s="328">
        <f t="shared" si="4"/>
        <v>0</v>
      </c>
      <c r="T83" s="275"/>
      <c r="U83" s="275"/>
      <c r="V83" s="275"/>
      <c r="W83" s="275"/>
      <c r="X83" s="275"/>
      <c r="Y83" s="275"/>
      <c r="Z83" s="275"/>
    </row>
    <row r="84" spans="1:26">
      <c r="A84" s="320" t="s">
        <v>516</v>
      </c>
      <c r="C84" s="275"/>
      <c r="D84" s="329"/>
      <c r="E84" s="322">
        <v>0</v>
      </c>
      <c r="F84" s="322">
        <v>0</v>
      </c>
      <c r="G84" s="309">
        <f t="shared" si="0"/>
        <v>7.3693808501488434E-2</v>
      </c>
      <c r="H84" s="323">
        <f t="shared" si="5"/>
        <v>0</v>
      </c>
      <c r="I84" s="309">
        <f t="shared" si="1"/>
        <v>1.5207252358277992E-2</v>
      </c>
      <c r="J84" s="184">
        <f t="shared" si="6"/>
        <v>0</v>
      </c>
      <c r="K84" s="324">
        <f t="shared" si="7"/>
        <v>0</v>
      </c>
      <c r="L84" s="323">
        <f t="shared" si="8"/>
        <v>0</v>
      </c>
      <c r="M84" s="309">
        <f t="shared" si="2"/>
        <v>9.9739890375936849E-2</v>
      </c>
      <c r="N84" s="325">
        <f t="shared" si="9"/>
        <v>0</v>
      </c>
      <c r="O84" s="322">
        <v>0</v>
      </c>
      <c r="P84" s="326">
        <v>0</v>
      </c>
      <c r="Q84" s="325">
        <f t="shared" si="3"/>
        <v>0</v>
      </c>
      <c r="R84" s="327">
        <v>0</v>
      </c>
      <c r="S84" s="328">
        <f t="shared" si="4"/>
        <v>0</v>
      </c>
      <c r="T84" s="275"/>
      <c r="U84" s="275"/>
      <c r="V84" s="275"/>
      <c r="W84" s="275"/>
      <c r="X84" s="275"/>
      <c r="Y84" s="275"/>
      <c r="Z84" s="275"/>
    </row>
    <row r="85" spans="1:26">
      <c r="A85" s="320" t="s">
        <v>517</v>
      </c>
      <c r="C85" s="275"/>
      <c r="D85" s="329"/>
      <c r="E85" s="322">
        <v>0</v>
      </c>
      <c r="F85" s="322">
        <v>0</v>
      </c>
      <c r="G85" s="309">
        <f t="shared" si="0"/>
        <v>7.3693808501488434E-2</v>
      </c>
      <c r="H85" s="323">
        <f t="shared" si="5"/>
        <v>0</v>
      </c>
      <c r="I85" s="309">
        <f t="shared" si="1"/>
        <v>1.5207252358277992E-2</v>
      </c>
      <c r="J85" s="184">
        <f t="shared" si="6"/>
        <v>0</v>
      </c>
      <c r="K85" s="324">
        <f t="shared" si="7"/>
        <v>0</v>
      </c>
      <c r="L85" s="323">
        <f t="shared" si="8"/>
        <v>0</v>
      </c>
      <c r="M85" s="309">
        <f t="shared" si="2"/>
        <v>9.9739890375936849E-2</v>
      </c>
      <c r="N85" s="325">
        <f t="shared" si="9"/>
        <v>0</v>
      </c>
      <c r="O85" s="322">
        <v>0</v>
      </c>
      <c r="P85" s="326">
        <v>0</v>
      </c>
      <c r="Q85" s="325">
        <f t="shared" si="3"/>
        <v>0</v>
      </c>
      <c r="R85" s="327">
        <v>0</v>
      </c>
      <c r="S85" s="328">
        <f t="shared" si="4"/>
        <v>0</v>
      </c>
      <c r="T85" s="275"/>
      <c r="U85" s="275"/>
      <c r="V85" s="275"/>
      <c r="W85" s="275"/>
      <c r="X85" s="275"/>
      <c r="Y85" s="275"/>
      <c r="Z85" s="275"/>
    </row>
    <row r="86" spans="1:26">
      <c r="A86" s="320" t="s">
        <v>518</v>
      </c>
      <c r="C86" s="275"/>
      <c r="D86" s="329"/>
      <c r="E86" s="322">
        <v>0</v>
      </c>
      <c r="F86" s="322">
        <v>0</v>
      </c>
      <c r="G86" s="309">
        <f t="shared" si="0"/>
        <v>7.3693808501488434E-2</v>
      </c>
      <c r="H86" s="323">
        <f t="shared" si="5"/>
        <v>0</v>
      </c>
      <c r="I86" s="309">
        <f t="shared" si="1"/>
        <v>1.5207252358277992E-2</v>
      </c>
      <c r="J86" s="184">
        <f t="shared" si="6"/>
        <v>0</v>
      </c>
      <c r="K86" s="324">
        <f t="shared" si="7"/>
        <v>0</v>
      </c>
      <c r="L86" s="323">
        <f t="shared" si="8"/>
        <v>0</v>
      </c>
      <c r="M86" s="309">
        <f t="shared" si="2"/>
        <v>9.9739890375936849E-2</v>
      </c>
      <c r="N86" s="325">
        <f t="shared" si="9"/>
        <v>0</v>
      </c>
      <c r="O86" s="322">
        <v>0</v>
      </c>
      <c r="P86" s="326">
        <v>0</v>
      </c>
      <c r="Q86" s="325">
        <f t="shared" si="3"/>
        <v>0</v>
      </c>
      <c r="R86" s="327">
        <v>0</v>
      </c>
      <c r="S86" s="328">
        <f t="shared" si="4"/>
        <v>0</v>
      </c>
      <c r="T86" s="275"/>
      <c r="U86" s="275"/>
      <c r="V86" s="275"/>
      <c r="W86" s="275"/>
      <c r="X86" s="275"/>
      <c r="Y86" s="275"/>
      <c r="Z86" s="275"/>
    </row>
    <row r="87" spans="1:26">
      <c r="A87" s="320" t="s">
        <v>519</v>
      </c>
      <c r="C87" s="275"/>
      <c r="D87" s="329"/>
      <c r="E87" s="322">
        <v>0</v>
      </c>
      <c r="F87" s="322">
        <v>0</v>
      </c>
      <c r="G87" s="309">
        <f t="shared" si="0"/>
        <v>7.3693808501488434E-2</v>
      </c>
      <c r="H87" s="323">
        <f t="shared" si="5"/>
        <v>0</v>
      </c>
      <c r="I87" s="309">
        <f t="shared" si="1"/>
        <v>1.5207252358277992E-2</v>
      </c>
      <c r="J87" s="184">
        <f t="shared" si="6"/>
        <v>0</v>
      </c>
      <c r="K87" s="324">
        <f t="shared" si="7"/>
        <v>0</v>
      </c>
      <c r="L87" s="323">
        <f t="shared" si="8"/>
        <v>0</v>
      </c>
      <c r="M87" s="309">
        <f t="shared" si="2"/>
        <v>9.9739890375936849E-2</v>
      </c>
      <c r="N87" s="325">
        <f t="shared" si="9"/>
        <v>0</v>
      </c>
      <c r="O87" s="322">
        <v>0</v>
      </c>
      <c r="P87" s="326">
        <v>0</v>
      </c>
      <c r="Q87" s="325">
        <f t="shared" si="3"/>
        <v>0</v>
      </c>
      <c r="R87" s="327">
        <v>0</v>
      </c>
      <c r="S87" s="328">
        <f t="shared" si="4"/>
        <v>0</v>
      </c>
      <c r="T87" s="275"/>
      <c r="U87" s="275"/>
      <c r="V87" s="275"/>
      <c r="W87" s="275"/>
      <c r="X87" s="275"/>
      <c r="Y87" s="275"/>
      <c r="Z87" s="275"/>
    </row>
    <row r="88" spans="1:26">
      <c r="A88" s="320" t="s">
        <v>520</v>
      </c>
      <c r="C88" s="275"/>
      <c r="D88" s="329"/>
      <c r="E88" s="322">
        <v>0</v>
      </c>
      <c r="F88" s="322">
        <v>0</v>
      </c>
      <c r="G88" s="309">
        <f t="shared" si="0"/>
        <v>7.3693808501488434E-2</v>
      </c>
      <c r="H88" s="323">
        <f t="shared" si="5"/>
        <v>0</v>
      </c>
      <c r="I88" s="309">
        <f t="shared" si="1"/>
        <v>1.5207252358277992E-2</v>
      </c>
      <c r="J88" s="184">
        <f t="shared" si="6"/>
        <v>0</v>
      </c>
      <c r="K88" s="324">
        <f t="shared" si="7"/>
        <v>0</v>
      </c>
      <c r="L88" s="323">
        <f t="shared" si="8"/>
        <v>0</v>
      </c>
      <c r="M88" s="309">
        <f t="shared" si="2"/>
        <v>9.9739890375936849E-2</v>
      </c>
      <c r="N88" s="325">
        <f t="shared" si="9"/>
        <v>0</v>
      </c>
      <c r="O88" s="322">
        <v>0</v>
      </c>
      <c r="P88" s="326">
        <v>0</v>
      </c>
      <c r="Q88" s="325">
        <f t="shared" si="3"/>
        <v>0</v>
      </c>
      <c r="R88" s="327">
        <v>0</v>
      </c>
      <c r="S88" s="328">
        <f t="shared" si="4"/>
        <v>0</v>
      </c>
      <c r="T88" s="275"/>
      <c r="U88" s="275"/>
      <c r="V88" s="275"/>
      <c r="W88" s="275"/>
      <c r="X88" s="275"/>
      <c r="Y88" s="275"/>
      <c r="Z88" s="275"/>
    </row>
    <row r="89" spans="1:26">
      <c r="A89" s="320" t="s">
        <v>521</v>
      </c>
      <c r="C89" s="275"/>
      <c r="D89" s="329"/>
      <c r="E89" s="322">
        <v>0</v>
      </c>
      <c r="F89" s="322">
        <v>0</v>
      </c>
      <c r="G89" s="309">
        <f t="shared" si="0"/>
        <v>7.3693808501488434E-2</v>
      </c>
      <c r="H89" s="323">
        <f t="shared" si="5"/>
        <v>0</v>
      </c>
      <c r="I89" s="309">
        <f t="shared" si="1"/>
        <v>1.5207252358277992E-2</v>
      </c>
      <c r="J89" s="184">
        <f t="shared" si="6"/>
        <v>0</v>
      </c>
      <c r="K89" s="324">
        <f t="shared" si="7"/>
        <v>0</v>
      </c>
      <c r="L89" s="323">
        <f t="shared" si="8"/>
        <v>0</v>
      </c>
      <c r="M89" s="309">
        <f t="shared" si="2"/>
        <v>9.9739890375936849E-2</v>
      </c>
      <c r="N89" s="325">
        <f t="shared" si="9"/>
        <v>0</v>
      </c>
      <c r="O89" s="322">
        <v>0</v>
      </c>
      <c r="P89" s="326">
        <v>0</v>
      </c>
      <c r="Q89" s="325">
        <f t="shared" si="3"/>
        <v>0</v>
      </c>
      <c r="R89" s="327">
        <v>0</v>
      </c>
      <c r="S89" s="328">
        <f t="shared" si="4"/>
        <v>0</v>
      </c>
      <c r="T89" s="275"/>
      <c r="U89" s="275"/>
      <c r="V89" s="275"/>
      <c r="W89" s="275"/>
      <c r="X89" s="275"/>
      <c r="Y89" s="275"/>
      <c r="Z89" s="275"/>
    </row>
    <row r="90" spans="1:26">
      <c r="A90" s="320" t="s">
        <v>522</v>
      </c>
      <c r="C90" s="275"/>
      <c r="D90" s="329"/>
      <c r="E90" s="322">
        <v>0</v>
      </c>
      <c r="F90" s="322">
        <v>0</v>
      </c>
      <c r="G90" s="309">
        <f t="shared" si="0"/>
        <v>7.3693808501488434E-2</v>
      </c>
      <c r="H90" s="323">
        <f t="shared" si="5"/>
        <v>0</v>
      </c>
      <c r="I90" s="309">
        <f t="shared" si="1"/>
        <v>1.5207252358277992E-2</v>
      </c>
      <c r="J90" s="184">
        <f t="shared" si="6"/>
        <v>0</v>
      </c>
      <c r="K90" s="324">
        <f t="shared" si="7"/>
        <v>0</v>
      </c>
      <c r="L90" s="323">
        <f t="shared" si="8"/>
        <v>0</v>
      </c>
      <c r="M90" s="309">
        <f t="shared" si="2"/>
        <v>9.9739890375936849E-2</v>
      </c>
      <c r="N90" s="325">
        <f t="shared" si="9"/>
        <v>0</v>
      </c>
      <c r="O90" s="322">
        <v>0</v>
      </c>
      <c r="P90" s="326">
        <v>0</v>
      </c>
      <c r="Q90" s="325">
        <f t="shared" si="3"/>
        <v>0</v>
      </c>
      <c r="R90" s="327">
        <v>0</v>
      </c>
      <c r="S90" s="328">
        <f t="shared" si="4"/>
        <v>0</v>
      </c>
      <c r="T90" s="275"/>
      <c r="U90" s="275"/>
      <c r="V90" s="275"/>
      <c r="W90" s="275"/>
      <c r="X90" s="275"/>
      <c r="Y90" s="275"/>
      <c r="Z90" s="275"/>
    </row>
    <row r="91" spans="1:26">
      <c r="A91" s="320" t="s">
        <v>523</v>
      </c>
      <c r="C91" s="275"/>
      <c r="D91" s="329"/>
      <c r="E91" s="322">
        <v>0</v>
      </c>
      <c r="F91" s="322">
        <v>0</v>
      </c>
      <c r="G91" s="309">
        <f t="shared" si="0"/>
        <v>7.3693808501488434E-2</v>
      </c>
      <c r="H91" s="323">
        <f t="shared" si="5"/>
        <v>0</v>
      </c>
      <c r="I91" s="309">
        <f t="shared" si="1"/>
        <v>1.5207252358277992E-2</v>
      </c>
      <c r="J91" s="184">
        <f t="shared" si="6"/>
        <v>0</v>
      </c>
      <c r="K91" s="324">
        <f t="shared" si="7"/>
        <v>0</v>
      </c>
      <c r="L91" s="323">
        <f t="shared" si="8"/>
        <v>0</v>
      </c>
      <c r="M91" s="309">
        <f t="shared" si="2"/>
        <v>9.9739890375936849E-2</v>
      </c>
      <c r="N91" s="325">
        <f t="shared" si="9"/>
        <v>0</v>
      </c>
      <c r="O91" s="322">
        <v>0</v>
      </c>
      <c r="P91" s="326">
        <v>0</v>
      </c>
      <c r="Q91" s="325">
        <f t="shared" si="3"/>
        <v>0</v>
      </c>
      <c r="R91" s="327">
        <v>0</v>
      </c>
      <c r="S91" s="328">
        <f t="shared" si="4"/>
        <v>0</v>
      </c>
      <c r="T91" s="275"/>
      <c r="U91" s="275"/>
      <c r="V91" s="275"/>
      <c r="W91" s="275"/>
      <c r="X91" s="275"/>
      <c r="Y91" s="275"/>
      <c r="Z91" s="275"/>
    </row>
    <row r="92" spans="1:26">
      <c r="A92" s="320" t="s">
        <v>524</v>
      </c>
      <c r="C92" s="275"/>
      <c r="D92" s="329"/>
      <c r="E92" s="322">
        <v>0</v>
      </c>
      <c r="F92" s="322">
        <v>0</v>
      </c>
      <c r="G92" s="309">
        <f t="shared" si="0"/>
        <v>7.3693808501488434E-2</v>
      </c>
      <c r="H92" s="323">
        <f t="shared" si="5"/>
        <v>0</v>
      </c>
      <c r="I92" s="309">
        <f t="shared" si="1"/>
        <v>1.5207252358277992E-2</v>
      </c>
      <c r="J92" s="184">
        <f t="shared" si="6"/>
        <v>0</v>
      </c>
      <c r="K92" s="324">
        <f t="shared" si="7"/>
        <v>0</v>
      </c>
      <c r="L92" s="323">
        <f t="shared" si="8"/>
        <v>0</v>
      </c>
      <c r="M92" s="309">
        <f t="shared" si="2"/>
        <v>9.9739890375936849E-2</v>
      </c>
      <c r="N92" s="325">
        <f t="shared" si="9"/>
        <v>0</v>
      </c>
      <c r="O92" s="322">
        <v>0</v>
      </c>
      <c r="P92" s="326">
        <v>0</v>
      </c>
      <c r="Q92" s="325">
        <f t="shared" si="3"/>
        <v>0</v>
      </c>
      <c r="R92" s="327">
        <v>0</v>
      </c>
      <c r="S92" s="328">
        <f t="shared" si="4"/>
        <v>0</v>
      </c>
      <c r="T92" s="275"/>
      <c r="U92" s="275"/>
      <c r="V92" s="275"/>
      <c r="W92" s="275"/>
      <c r="X92" s="275"/>
      <c r="Y92" s="275"/>
      <c r="Z92" s="275"/>
    </row>
    <row r="93" spans="1:26">
      <c r="A93" s="320" t="s">
        <v>525</v>
      </c>
      <c r="C93" s="275"/>
      <c r="D93" s="329"/>
      <c r="E93" s="322">
        <v>0</v>
      </c>
      <c r="F93" s="322">
        <v>0</v>
      </c>
      <c r="G93" s="309">
        <f t="shared" si="0"/>
        <v>7.3693808501488434E-2</v>
      </c>
      <c r="H93" s="323">
        <f t="shared" si="5"/>
        <v>0</v>
      </c>
      <c r="I93" s="309">
        <f t="shared" si="1"/>
        <v>1.5207252358277992E-2</v>
      </c>
      <c r="J93" s="184">
        <f t="shared" si="6"/>
        <v>0</v>
      </c>
      <c r="K93" s="324">
        <f t="shared" si="7"/>
        <v>0</v>
      </c>
      <c r="L93" s="323">
        <f t="shared" si="8"/>
        <v>0</v>
      </c>
      <c r="M93" s="309">
        <f t="shared" si="2"/>
        <v>9.9739890375936849E-2</v>
      </c>
      <c r="N93" s="325">
        <f t="shared" si="9"/>
        <v>0</v>
      </c>
      <c r="O93" s="322">
        <v>0</v>
      </c>
      <c r="P93" s="326">
        <v>0</v>
      </c>
      <c r="Q93" s="325">
        <f t="shared" si="3"/>
        <v>0</v>
      </c>
      <c r="R93" s="327">
        <v>0</v>
      </c>
      <c r="S93" s="328">
        <f t="shared" si="4"/>
        <v>0</v>
      </c>
      <c r="T93" s="275"/>
      <c r="U93" s="275"/>
      <c r="V93" s="275"/>
      <c r="W93" s="275"/>
      <c r="X93" s="275"/>
      <c r="Y93" s="275"/>
      <c r="Z93" s="275"/>
    </row>
    <row r="94" spans="1:26">
      <c r="A94" s="320" t="s">
        <v>526</v>
      </c>
      <c r="C94" s="275"/>
      <c r="D94" s="329"/>
      <c r="E94" s="322">
        <v>0</v>
      </c>
      <c r="F94" s="322">
        <v>0</v>
      </c>
      <c r="G94" s="309">
        <f t="shared" si="0"/>
        <v>7.3693808501488434E-2</v>
      </c>
      <c r="H94" s="323">
        <f t="shared" si="5"/>
        <v>0</v>
      </c>
      <c r="I94" s="309">
        <f t="shared" si="1"/>
        <v>1.5207252358277992E-2</v>
      </c>
      <c r="J94" s="184">
        <f t="shared" si="6"/>
        <v>0</v>
      </c>
      <c r="K94" s="324">
        <f t="shared" si="7"/>
        <v>0</v>
      </c>
      <c r="L94" s="323">
        <f t="shared" si="8"/>
        <v>0</v>
      </c>
      <c r="M94" s="309">
        <f t="shared" si="2"/>
        <v>9.9739890375936849E-2</v>
      </c>
      <c r="N94" s="325">
        <f t="shared" si="9"/>
        <v>0</v>
      </c>
      <c r="O94" s="322">
        <v>0</v>
      </c>
      <c r="P94" s="326">
        <v>0</v>
      </c>
      <c r="Q94" s="325">
        <f t="shared" si="3"/>
        <v>0</v>
      </c>
      <c r="R94" s="327">
        <v>0</v>
      </c>
      <c r="S94" s="328">
        <f t="shared" si="4"/>
        <v>0</v>
      </c>
      <c r="T94" s="275"/>
      <c r="U94" s="275"/>
      <c r="V94" s="275"/>
      <c r="W94" s="275"/>
      <c r="X94" s="275"/>
      <c r="Y94" s="275"/>
      <c r="Z94" s="275"/>
    </row>
    <row r="95" spans="1:26">
      <c r="A95" s="320" t="s">
        <v>527</v>
      </c>
      <c r="C95" s="275"/>
      <c r="D95" s="329"/>
      <c r="E95" s="322">
        <v>0</v>
      </c>
      <c r="F95" s="322">
        <v>0</v>
      </c>
      <c r="G95" s="309">
        <f t="shared" si="0"/>
        <v>7.3693808501488434E-2</v>
      </c>
      <c r="H95" s="323">
        <f t="shared" si="5"/>
        <v>0</v>
      </c>
      <c r="I95" s="309">
        <f t="shared" si="1"/>
        <v>1.5207252358277992E-2</v>
      </c>
      <c r="J95" s="184">
        <f t="shared" si="6"/>
        <v>0</v>
      </c>
      <c r="K95" s="324">
        <f t="shared" si="7"/>
        <v>0</v>
      </c>
      <c r="L95" s="323">
        <f t="shared" si="8"/>
        <v>0</v>
      </c>
      <c r="M95" s="309">
        <f t="shared" si="2"/>
        <v>9.9739890375936849E-2</v>
      </c>
      <c r="N95" s="325">
        <f t="shared" si="9"/>
        <v>0</v>
      </c>
      <c r="O95" s="322">
        <v>0</v>
      </c>
      <c r="P95" s="326">
        <v>0</v>
      </c>
      <c r="Q95" s="325">
        <f t="shared" si="3"/>
        <v>0</v>
      </c>
      <c r="R95" s="327">
        <v>0</v>
      </c>
      <c r="S95" s="328">
        <f t="shared" si="4"/>
        <v>0</v>
      </c>
      <c r="T95" s="275"/>
      <c r="U95" s="275"/>
      <c r="V95" s="275"/>
      <c r="W95" s="275"/>
      <c r="X95" s="275"/>
      <c r="Y95" s="275"/>
      <c r="Z95" s="275"/>
    </row>
    <row r="96" spans="1:26">
      <c r="A96" s="320" t="s">
        <v>528</v>
      </c>
      <c r="C96" s="275"/>
      <c r="D96" s="329"/>
      <c r="E96" s="322">
        <v>0</v>
      </c>
      <c r="F96" s="322">
        <v>0</v>
      </c>
      <c r="G96" s="309">
        <f t="shared" si="0"/>
        <v>7.3693808501488434E-2</v>
      </c>
      <c r="H96" s="323">
        <f t="shared" si="5"/>
        <v>0</v>
      </c>
      <c r="I96" s="309">
        <f t="shared" si="1"/>
        <v>1.5207252358277992E-2</v>
      </c>
      <c r="J96" s="184">
        <f t="shared" si="6"/>
        <v>0</v>
      </c>
      <c r="K96" s="324">
        <f t="shared" si="7"/>
        <v>0</v>
      </c>
      <c r="L96" s="323">
        <f t="shared" si="8"/>
        <v>0</v>
      </c>
      <c r="M96" s="309">
        <f t="shared" si="2"/>
        <v>9.9739890375936849E-2</v>
      </c>
      <c r="N96" s="325">
        <f t="shared" si="9"/>
        <v>0</v>
      </c>
      <c r="O96" s="322">
        <v>0</v>
      </c>
      <c r="P96" s="326">
        <v>0</v>
      </c>
      <c r="Q96" s="325">
        <f t="shared" si="3"/>
        <v>0</v>
      </c>
      <c r="R96" s="327">
        <v>0</v>
      </c>
      <c r="S96" s="328">
        <f t="shared" si="4"/>
        <v>0</v>
      </c>
      <c r="T96" s="275"/>
      <c r="U96" s="275"/>
      <c r="V96" s="275"/>
      <c r="W96" s="275"/>
      <c r="X96" s="275"/>
      <c r="Y96" s="275"/>
      <c r="Z96" s="275"/>
    </row>
    <row r="97" spans="1:26">
      <c r="A97" s="320" t="s">
        <v>529</v>
      </c>
      <c r="C97" s="275"/>
      <c r="D97" s="329"/>
      <c r="E97" s="322">
        <v>0</v>
      </c>
      <c r="F97" s="322">
        <v>0</v>
      </c>
      <c r="G97" s="309">
        <f t="shared" si="0"/>
        <v>7.3693808501488434E-2</v>
      </c>
      <c r="H97" s="323">
        <f t="shared" si="5"/>
        <v>0</v>
      </c>
      <c r="I97" s="309">
        <f t="shared" si="1"/>
        <v>1.5207252358277992E-2</v>
      </c>
      <c r="J97" s="184">
        <f t="shared" si="6"/>
        <v>0</v>
      </c>
      <c r="K97" s="324">
        <f t="shared" si="7"/>
        <v>0</v>
      </c>
      <c r="L97" s="323">
        <f t="shared" si="8"/>
        <v>0</v>
      </c>
      <c r="M97" s="309">
        <f t="shared" si="2"/>
        <v>9.9739890375936849E-2</v>
      </c>
      <c r="N97" s="325">
        <f t="shared" si="9"/>
        <v>0</v>
      </c>
      <c r="O97" s="322">
        <v>0</v>
      </c>
      <c r="P97" s="326">
        <v>0</v>
      </c>
      <c r="Q97" s="325">
        <f t="shared" si="3"/>
        <v>0</v>
      </c>
      <c r="R97" s="327">
        <v>0</v>
      </c>
      <c r="S97" s="328">
        <f t="shared" si="4"/>
        <v>0</v>
      </c>
      <c r="T97" s="275"/>
      <c r="U97" s="275"/>
      <c r="V97" s="275"/>
      <c r="W97" s="275"/>
      <c r="X97" s="275"/>
      <c r="Y97" s="275"/>
      <c r="Z97" s="275"/>
    </row>
    <row r="98" spans="1:26">
      <c r="A98" s="330"/>
      <c r="B98" s="331"/>
      <c r="C98" s="332"/>
      <c r="D98" s="332"/>
      <c r="E98" s="332"/>
      <c r="F98" s="332"/>
      <c r="G98" s="332"/>
      <c r="H98" s="332"/>
      <c r="I98" s="332"/>
      <c r="J98" s="332"/>
      <c r="K98" s="333"/>
      <c r="L98" s="332"/>
      <c r="M98" s="332"/>
      <c r="N98" s="333"/>
      <c r="O98" s="332"/>
      <c r="P98" s="332"/>
      <c r="Q98" s="333"/>
      <c r="R98" s="332"/>
      <c r="S98" s="333"/>
      <c r="T98" s="275"/>
      <c r="U98" s="275"/>
      <c r="V98" s="275"/>
      <c r="W98" s="275"/>
      <c r="X98" s="275"/>
      <c r="Y98" s="275"/>
      <c r="Z98" s="275"/>
    </row>
    <row r="99" spans="1:26">
      <c r="A99" s="204" t="s">
        <v>433</v>
      </c>
      <c r="B99" s="234"/>
      <c r="C99" s="207" t="s">
        <v>530</v>
      </c>
      <c r="D99" s="207"/>
      <c r="E99" s="207"/>
      <c r="F99" s="207"/>
      <c r="G99" s="207"/>
      <c r="H99" s="227"/>
      <c r="I99" s="227"/>
      <c r="J99" s="196"/>
      <c r="K99" s="196"/>
      <c r="L99" s="196"/>
      <c r="M99" s="196"/>
      <c r="N99" s="196"/>
      <c r="O99" s="196"/>
      <c r="P99" s="283">
        <f>SUM(P74:P98)</f>
        <v>1337936.42</v>
      </c>
      <c r="Q99" s="283">
        <f>SUM(Q74:Q98)</f>
        <v>11491863.555168852</v>
      </c>
      <c r="R99" s="283">
        <f>SUM(R74:R98)</f>
        <v>1491799.3185040625</v>
      </c>
      <c r="S99" s="283">
        <f>SUM(S74:S98)</f>
        <v>12983662.873672914</v>
      </c>
      <c r="T99" s="275"/>
      <c r="U99" s="275"/>
      <c r="V99" s="275"/>
      <c r="W99" s="275"/>
      <c r="X99" s="275"/>
      <c r="Y99" s="275"/>
      <c r="Z99" s="275"/>
    </row>
    <row r="100" spans="1:26">
      <c r="A100" s="28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row>
    <row r="101" spans="1:26">
      <c r="A101" s="286">
        <v>3</v>
      </c>
      <c r="B101" s="275"/>
      <c r="C101" s="238" t="s">
        <v>435</v>
      </c>
      <c r="D101" s="238"/>
      <c r="E101" s="238"/>
      <c r="F101" s="238"/>
      <c r="G101" s="275"/>
      <c r="H101" s="275"/>
      <c r="I101" s="275"/>
      <c r="J101" s="275"/>
      <c r="K101" s="275"/>
      <c r="L101" s="275"/>
      <c r="M101" s="275"/>
      <c r="N101" s="275"/>
      <c r="O101" s="275"/>
      <c r="P101" s="275"/>
      <c r="Q101" s="283">
        <f>Q99</f>
        <v>11491863.555168852</v>
      </c>
      <c r="R101" s="275"/>
      <c r="S101" s="275"/>
      <c r="T101" s="275"/>
      <c r="U101" s="275"/>
      <c r="V101" s="275"/>
      <c r="W101" s="275"/>
      <c r="X101" s="275"/>
      <c r="Y101" s="275"/>
      <c r="Z101" s="275"/>
    </row>
    <row r="102" spans="1:26">
      <c r="A102" s="275"/>
      <c r="B102" s="275"/>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row>
    <row r="103" spans="1:26">
      <c r="A103" s="275"/>
      <c r="B103" s="275"/>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row>
    <row r="104" spans="1:26">
      <c r="A104" s="238" t="s">
        <v>180</v>
      </c>
      <c r="B104" s="275"/>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row>
    <row r="105" spans="1:26" ht="15.75" thickBot="1">
      <c r="A105" s="287" t="s">
        <v>181</v>
      </c>
      <c r="B105" s="275"/>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row>
    <row r="106" spans="1:26" ht="17.100000000000001" customHeight="1">
      <c r="A106" s="288" t="s">
        <v>182</v>
      </c>
      <c r="B106" s="186"/>
      <c r="C106" s="990" t="s">
        <v>531</v>
      </c>
      <c r="D106" s="990"/>
      <c r="E106" s="990"/>
      <c r="F106" s="990"/>
      <c r="G106" s="990"/>
      <c r="H106" s="990"/>
      <c r="I106" s="990"/>
      <c r="J106" s="990"/>
      <c r="K106" s="990"/>
      <c r="L106" s="990"/>
      <c r="M106" s="990"/>
      <c r="N106" s="990"/>
      <c r="O106" s="990"/>
      <c r="P106" s="990"/>
      <c r="Q106" s="990"/>
      <c r="R106" s="990"/>
      <c r="S106" s="990"/>
      <c r="T106" s="275"/>
      <c r="U106" s="275"/>
      <c r="V106" s="275"/>
      <c r="W106" s="275"/>
      <c r="X106" s="275"/>
      <c r="Y106" s="275"/>
      <c r="Z106" s="275"/>
    </row>
    <row r="107" spans="1:26" ht="17.100000000000001" customHeight="1">
      <c r="A107" s="288" t="s">
        <v>183</v>
      </c>
      <c r="B107" s="186"/>
      <c r="C107" s="990" t="s">
        <v>532</v>
      </c>
      <c r="D107" s="990"/>
      <c r="E107" s="990"/>
      <c r="F107" s="990"/>
      <c r="G107" s="990"/>
      <c r="H107" s="990"/>
      <c r="I107" s="990"/>
      <c r="J107" s="990"/>
      <c r="K107" s="990"/>
      <c r="L107" s="990"/>
      <c r="M107" s="990"/>
      <c r="N107" s="990"/>
      <c r="O107" s="990"/>
      <c r="P107" s="990"/>
      <c r="Q107" s="990"/>
      <c r="R107" s="990"/>
      <c r="S107" s="990"/>
      <c r="T107" s="275"/>
      <c r="U107" s="275"/>
      <c r="V107" s="275"/>
      <c r="W107" s="275"/>
      <c r="X107" s="275"/>
      <c r="Y107" s="275"/>
      <c r="Z107" s="275"/>
    </row>
    <row r="108" spans="1:26" ht="17.100000000000001" customHeight="1">
      <c r="A108" s="288" t="s">
        <v>184</v>
      </c>
      <c r="B108" s="186"/>
      <c r="C108" s="990" t="s">
        <v>533</v>
      </c>
      <c r="D108" s="990"/>
      <c r="E108" s="990"/>
      <c r="F108" s="990"/>
      <c r="G108" s="990"/>
      <c r="H108" s="990"/>
      <c r="I108" s="990"/>
      <c r="J108" s="990"/>
      <c r="K108" s="990"/>
      <c r="L108" s="990"/>
      <c r="M108" s="990"/>
      <c r="N108" s="990"/>
      <c r="O108" s="990"/>
      <c r="P108" s="990"/>
      <c r="Q108" s="990"/>
      <c r="R108" s="990"/>
      <c r="S108" s="990"/>
      <c r="T108" s="275"/>
      <c r="U108" s="275"/>
      <c r="V108" s="275"/>
      <c r="W108" s="275"/>
      <c r="X108" s="275"/>
      <c r="Y108" s="275"/>
      <c r="Z108" s="275"/>
    </row>
    <row r="109" spans="1:26" ht="17.100000000000001" customHeight="1">
      <c r="A109" s="288"/>
      <c r="B109" s="186"/>
      <c r="C109" s="990" t="s">
        <v>534</v>
      </c>
      <c r="D109" s="990"/>
      <c r="E109" s="990"/>
      <c r="F109" s="990"/>
      <c r="G109" s="990"/>
      <c r="H109" s="990"/>
      <c r="I109" s="990"/>
      <c r="J109" s="990"/>
      <c r="K109" s="990"/>
      <c r="L109" s="990"/>
      <c r="M109" s="990"/>
      <c r="N109" s="990"/>
      <c r="O109" s="990"/>
      <c r="P109" s="990"/>
      <c r="Q109" s="990"/>
      <c r="R109" s="990"/>
      <c r="S109" s="990"/>
      <c r="T109" s="275"/>
      <c r="U109" s="275"/>
      <c r="V109" s="275"/>
      <c r="W109" s="275"/>
      <c r="X109" s="275"/>
      <c r="Y109" s="275"/>
      <c r="Z109" s="275"/>
    </row>
    <row r="110" spans="1:26" ht="17.100000000000001" customHeight="1">
      <c r="A110" s="288" t="s">
        <v>185</v>
      </c>
      <c r="B110" s="186"/>
      <c r="C110" s="990" t="s">
        <v>535</v>
      </c>
      <c r="D110" s="990"/>
      <c r="E110" s="990"/>
      <c r="F110" s="990"/>
      <c r="G110" s="990"/>
      <c r="H110" s="990"/>
      <c r="I110" s="990"/>
      <c r="J110" s="990"/>
      <c r="K110" s="990"/>
      <c r="L110" s="990"/>
      <c r="M110" s="990"/>
      <c r="N110" s="990"/>
      <c r="O110" s="990"/>
      <c r="P110" s="990"/>
      <c r="Q110" s="990"/>
      <c r="R110" s="990"/>
      <c r="S110" s="990"/>
      <c r="T110" s="275"/>
      <c r="U110" s="275"/>
      <c r="V110" s="275"/>
      <c r="W110" s="275"/>
      <c r="X110" s="275"/>
      <c r="Y110" s="275"/>
      <c r="Z110" s="275"/>
    </row>
    <row r="111" spans="1:26" ht="17.100000000000001" customHeight="1">
      <c r="A111" s="245" t="s">
        <v>186</v>
      </c>
      <c r="B111" s="186"/>
      <c r="C111" s="990" t="s">
        <v>536</v>
      </c>
      <c r="D111" s="990"/>
      <c r="E111" s="990"/>
      <c r="F111" s="990"/>
      <c r="G111" s="990"/>
      <c r="H111" s="990"/>
      <c r="I111" s="990"/>
      <c r="J111" s="990"/>
      <c r="K111" s="990"/>
      <c r="L111" s="990"/>
      <c r="M111" s="990"/>
      <c r="N111" s="990"/>
      <c r="O111" s="990"/>
      <c r="P111" s="990"/>
      <c r="Q111" s="990"/>
      <c r="R111" s="990"/>
      <c r="S111" s="990"/>
      <c r="T111" s="275"/>
      <c r="U111" s="275"/>
      <c r="V111" s="275"/>
      <c r="W111" s="275"/>
      <c r="X111" s="275"/>
      <c r="Y111" s="275"/>
      <c r="Z111" s="275"/>
    </row>
    <row r="112" spans="1:26" ht="17.100000000000001" customHeight="1">
      <c r="A112" s="245" t="s">
        <v>188</v>
      </c>
      <c r="B112" s="186"/>
      <c r="C112" s="990" t="s">
        <v>537</v>
      </c>
      <c r="D112" s="990"/>
      <c r="E112" s="990"/>
      <c r="F112" s="990"/>
      <c r="G112" s="990"/>
      <c r="H112" s="990"/>
      <c r="I112" s="990"/>
      <c r="J112" s="990"/>
      <c r="K112" s="990"/>
      <c r="L112" s="990"/>
      <c r="M112" s="990"/>
      <c r="N112" s="990"/>
      <c r="O112" s="990"/>
      <c r="P112" s="990"/>
      <c r="Q112" s="990"/>
      <c r="R112" s="990"/>
      <c r="S112" s="990"/>
      <c r="T112" s="275"/>
      <c r="U112" s="275"/>
      <c r="V112" s="275"/>
      <c r="W112" s="275"/>
      <c r="X112" s="275"/>
      <c r="Y112" s="275"/>
      <c r="Z112" s="275"/>
    </row>
    <row r="113" spans="1:26" ht="17.100000000000001" customHeight="1">
      <c r="A113" s="245" t="s">
        <v>189</v>
      </c>
      <c r="B113" s="186"/>
      <c r="C113" s="990" t="s">
        <v>538</v>
      </c>
      <c r="D113" s="990"/>
      <c r="E113" s="990"/>
      <c r="F113" s="990"/>
      <c r="G113" s="990"/>
      <c r="H113" s="990"/>
      <c r="I113" s="990"/>
      <c r="J113" s="990"/>
      <c r="K113" s="990"/>
      <c r="L113" s="990"/>
      <c r="M113" s="990"/>
      <c r="N113" s="990"/>
      <c r="O113" s="990"/>
      <c r="P113" s="990"/>
      <c r="Q113" s="990"/>
      <c r="R113" s="990"/>
      <c r="S113" s="990"/>
      <c r="T113" s="275"/>
      <c r="U113" s="275"/>
      <c r="V113" s="275"/>
      <c r="W113" s="275"/>
      <c r="X113" s="275"/>
      <c r="Y113" s="275"/>
      <c r="Z113" s="275"/>
    </row>
    <row r="114" spans="1:26" ht="17.100000000000001" customHeight="1">
      <c r="A114" s="245" t="s">
        <v>191</v>
      </c>
      <c r="B114" s="186"/>
      <c r="C114" s="990" t="s">
        <v>539</v>
      </c>
      <c r="D114" s="990"/>
      <c r="E114" s="990"/>
      <c r="F114" s="990"/>
      <c r="G114" s="990"/>
      <c r="H114" s="990"/>
      <c r="I114" s="990"/>
      <c r="J114" s="990"/>
      <c r="K114" s="990"/>
      <c r="L114" s="990"/>
      <c r="M114" s="990"/>
      <c r="N114" s="990"/>
      <c r="O114" s="990"/>
      <c r="P114" s="990"/>
      <c r="Q114" s="990"/>
      <c r="R114" s="990"/>
      <c r="S114" s="990"/>
      <c r="T114" s="275"/>
      <c r="U114" s="275"/>
      <c r="V114" s="275"/>
      <c r="W114" s="275"/>
      <c r="X114" s="275"/>
      <c r="Y114" s="275"/>
      <c r="Z114" s="275"/>
    </row>
    <row r="115" spans="1:26" s="218" customFormat="1" ht="17.100000000000001" customHeight="1">
      <c r="A115" s="245" t="s">
        <v>192</v>
      </c>
      <c r="C115" s="990" t="s">
        <v>540</v>
      </c>
      <c r="D115" s="990"/>
      <c r="E115" s="990"/>
      <c r="F115" s="990"/>
      <c r="G115" s="990"/>
      <c r="H115" s="990"/>
      <c r="I115" s="990"/>
      <c r="J115" s="990"/>
      <c r="K115" s="990"/>
      <c r="L115" s="990"/>
      <c r="M115" s="990"/>
      <c r="N115" s="990"/>
      <c r="O115" s="990"/>
      <c r="P115" s="990"/>
      <c r="Q115" s="990"/>
      <c r="R115" s="990"/>
      <c r="S115" s="990"/>
      <c r="T115" s="334"/>
      <c r="U115" s="334"/>
      <c r="V115" s="334"/>
      <c r="W115" s="334"/>
      <c r="X115" s="334"/>
      <c r="Y115" s="334"/>
      <c r="Z115" s="334"/>
    </row>
    <row r="116" spans="1:26" s="218" customFormat="1" ht="17.100000000000001" customHeight="1">
      <c r="A116" s="335" t="s">
        <v>193</v>
      </c>
      <c r="B116" s="334"/>
      <c r="C116" s="990" t="s">
        <v>541</v>
      </c>
      <c r="D116" s="990"/>
      <c r="E116" s="990"/>
      <c r="F116" s="990"/>
      <c r="G116" s="990"/>
      <c r="H116" s="990"/>
      <c r="I116" s="990"/>
      <c r="J116" s="990"/>
      <c r="K116" s="990"/>
      <c r="L116" s="990"/>
      <c r="M116" s="990"/>
      <c r="N116" s="990"/>
      <c r="O116" s="990"/>
      <c r="P116" s="990"/>
      <c r="Q116" s="990"/>
      <c r="R116" s="990"/>
      <c r="S116" s="990"/>
      <c r="T116" s="334"/>
      <c r="U116" s="334"/>
      <c r="V116" s="334"/>
      <c r="W116" s="334"/>
      <c r="X116" s="334"/>
      <c r="Y116" s="334"/>
      <c r="Z116" s="334"/>
    </row>
    <row r="117" spans="1:26" ht="17.100000000000001" customHeight="1">
      <c r="A117" s="239"/>
      <c r="B117" s="294"/>
      <c r="C117" s="295"/>
      <c r="D117" s="295"/>
      <c r="E117" s="295"/>
      <c r="F117" s="295"/>
      <c r="G117" s="226"/>
      <c r="H117" s="227"/>
      <c r="I117" s="227"/>
      <c r="J117" s="196"/>
      <c r="K117" s="196"/>
      <c r="L117" s="238"/>
      <c r="M117" s="238"/>
      <c r="N117" s="221"/>
      <c r="O117" s="238"/>
      <c r="P117" s="238"/>
      <c r="Q117" s="186"/>
      <c r="R117" s="196"/>
      <c r="S117" s="240"/>
      <c r="T117" s="275"/>
      <c r="U117" s="275"/>
      <c r="V117" s="275"/>
      <c r="W117" s="275"/>
      <c r="X117" s="275"/>
      <c r="Y117" s="275"/>
      <c r="Z117" s="275"/>
    </row>
    <row r="118" spans="1:26" ht="15.75">
      <c r="A118" s="239"/>
      <c r="B118" s="294"/>
      <c r="C118" s="295"/>
      <c r="D118" s="295"/>
      <c r="E118" s="295"/>
      <c r="F118" s="295"/>
      <c r="G118" s="226"/>
      <c r="H118" s="227"/>
      <c r="I118" s="227"/>
      <c r="J118" s="196"/>
      <c r="K118" s="196"/>
      <c r="L118" s="238"/>
      <c r="M118" s="238"/>
      <c r="N118" s="221"/>
      <c r="O118" s="238"/>
      <c r="P118" s="238"/>
      <c r="Q118" s="186"/>
      <c r="R118" s="196"/>
      <c r="S118" s="223"/>
      <c r="T118" s="275"/>
      <c r="U118" s="275"/>
      <c r="V118" s="275"/>
      <c r="W118" s="275"/>
      <c r="X118" s="275"/>
      <c r="Y118" s="275"/>
      <c r="Z118" s="275"/>
    </row>
    <row r="119" spans="1:26">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row>
    <row r="120" spans="1:26">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row>
    <row r="121" spans="1:26">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row>
    <row r="122" spans="1:26">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row>
    <row r="123" spans="1:26">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row>
    <row r="124" spans="1:26">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row>
    <row r="125" spans="1:26">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row>
    <row r="126" spans="1:26">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row>
    <row r="127" spans="1:26">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row>
    <row r="128" spans="1:26">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row>
    <row r="129" spans="3:26">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row>
    <row r="130" spans="3:26">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row>
    <row r="131" spans="3:26">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row>
    <row r="132" spans="3:26">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row>
    <row r="133" spans="3:26">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row>
    <row r="134" spans="3:26">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row>
    <row r="135" spans="3:26">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row>
    <row r="136" spans="3:26">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row>
    <row r="137" spans="3:26">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row>
    <row r="138" spans="3:26">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row>
    <row r="139" spans="3:26">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row>
    <row r="140" spans="3:26">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row>
    <row r="141" spans="3:26">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row>
    <row r="142" spans="3:26">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row>
    <row r="143" spans="3:26">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row>
    <row r="144" spans="3:26">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row>
    <row r="145" spans="3:26">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row>
    <row r="146" spans="3:26">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row>
    <row r="147" spans="3:26">
      <c r="C147" s="275"/>
      <c r="D147" s="275"/>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row>
    <row r="148" spans="3:26">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row>
    <row r="149" spans="3:26">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row>
    <row r="150" spans="3:26">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row>
    <row r="151" spans="3:26">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row>
    <row r="152" spans="3:26">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row>
    <row r="153" spans="3:26">
      <c r="C153" s="275"/>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row>
    <row r="154" spans="3:26">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row>
    <row r="155" spans="3:26">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row>
    <row r="156" spans="3:26">
      <c r="C156" s="275"/>
      <c r="D156" s="275"/>
      <c r="E156" s="275"/>
      <c r="F156" s="275"/>
      <c r="G156" s="275"/>
      <c r="H156" s="275"/>
      <c r="I156" s="275"/>
      <c r="J156" s="275"/>
      <c r="K156" s="275"/>
      <c r="L156" s="275"/>
      <c r="M156" s="275"/>
      <c r="N156" s="275"/>
      <c r="O156" s="275"/>
      <c r="P156" s="275"/>
      <c r="Q156" s="275"/>
      <c r="R156" s="275"/>
      <c r="S156" s="275"/>
      <c r="T156" s="275"/>
      <c r="U156" s="275"/>
      <c r="V156" s="275"/>
      <c r="W156" s="275"/>
      <c r="X156" s="275"/>
      <c r="Y156" s="275"/>
      <c r="Z156" s="275"/>
    </row>
    <row r="157" spans="3:26">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row>
    <row r="158" spans="3:26">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row>
    <row r="159" spans="3:26">
      <c r="C159" s="27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row>
    <row r="160" spans="3:26">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row>
    <row r="161" spans="3:26">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row>
    <row r="162" spans="3:26">
      <c r="C162" s="275"/>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row>
    <row r="163" spans="3:26">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row>
    <row r="164" spans="3:26">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row>
    <row r="165" spans="3:26">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row>
    <row r="166" spans="3:26">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row>
    <row r="167" spans="3:26">
      <c r="C167" s="27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row>
    <row r="168" spans="3:26">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row>
    <row r="169" spans="3:26">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row>
    <row r="170" spans="3:26">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row>
    <row r="171" spans="3:26">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row>
    <row r="172" spans="3:26">
      <c r="C172" s="275"/>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row>
    <row r="173" spans="3:26">
      <c r="C173" s="27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row>
    <row r="174" spans="3:26">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row>
    <row r="175" spans="3:26">
      <c r="C175" s="27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row>
    <row r="176" spans="3:26">
      <c r="C176" s="275"/>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row>
    <row r="177" spans="3:26">
      <c r="C177" s="27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row>
    <row r="178" spans="3:26">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row>
    <row r="179" spans="3:26">
      <c r="C179" s="27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row>
    <row r="180" spans="3:26">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row>
    <row r="181" spans="3:26">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row>
    <row r="182" spans="3:26">
      <c r="C182" s="275"/>
      <c r="D182" s="275"/>
      <c r="E182" s="275"/>
      <c r="F182" s="275"/>
      <c r="G182" s="275"/>
      <c r="H182" s="275"/>
      <c r="I182" s="275"/>
      <c r="J182" s="275"/>
      <c r="K182" s="275"/>
      <c r="L182" s="275"/>
      <c r="M182" s="275"/>
      <c r="N182" s="275"/>
      <c r="O182" s="275"/>
      <c r="P182" s="275"/>
      <c r="Q182" s="275"/>
      <c r="R182" s="275"/>
      <c r="S182" s="275"/>
      <c r="T182" s="275"/>
      <c r="U182" s="275"/>
      <c r="V182" s="275"/>
      <c r="W182" s="275"/>
      <c r="X182" s="275"/>
      <c r="Y182" s="275"/>
      <c r="Z182" s="275"/>
    </row>
    <row r="183" spans="3:26">
      <c r="C183" s="275"/>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row>
    <row r="184" spans="3:26">
      <c r="C184" s="275"/>
      <c r="D184" s="275"/>
      <c r="E184" s="275"/>
      <c r="F184" s="275"/>
      <c r="G184" s="275"/>
      <c r="H184" s="275"/>
      <c r="I184" s="275"/>
      <c r="J184" s="275"/>
      <c r="K184" s="275"/>
      <c r="L184" s="275"/>
      <c r="M184" s="275"/>
      <c r="N184" s="275"/>
      <c r="O184" s="275"/>
      <c r="P184" s="275"/>
      <c r="Q184" s="275"/>
      <c r="R184" s="275"/>
      <c r="S184" s="275"/>
      <c r="T184" s="275"/>
      <c r="U184" s="275"/>
      <c r="V184" s="275"/>
      <c r="W184" s="275"/>
      <c r="X184" s="275"/>
      <c r="Y184" s="275"/>
      <c r="Z184" s="275"/>
    </row>
    <row r="185" spans="3:26">
      <c r="C185" s="275"/>
      <c r="D185" s="275"/>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row>
    <row r="186" spans="3:26">
      <c r="C186" s="27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row>
    <row r="187" spans="3:26">
      <c r="C187" s="275"/>
      <c r="D187" s="275"/>
      <c r="E187" s="275"/>
      <c r="F187" s="275"/>
      <c r="G187" s="275"/>
      <c r="H187" s="275"/>
      <c r="I187" s="275"/>
      <c r="J187" s="275"/>
      <c r="K187" s="275"/>
      <c r="L187" s="275"/>
      <c r="M187" s="275"/>
      <c r="N187" s="275"/>
      <c r="O187" s="275"/>
      <c r="P187" s="275"/>
      <c r="Q187" s="275"/>
      <c r="R187" s="275"/>
      <c r="S187" s="275"/>
      <c r="T187" s="275"/>
      <c r="U187" s="275"/>
      <c r="V187" s="275"/>
      <c r="W187" s="275"/>
      <c r="X187" s="275"/>
      <c r="Y187" s="275"/>
      <c r="Z187" s="275"/>
    </row>
    <row r="188" spans="3:26">
      <c r="C188" s="275"/>
      <c r="D188" s="275"/>
      <c r="E188" s="275"/>
      <c r="F188" s="275"/>
      <c r="G188" s="275"/>
      <c r="H188" s="275"/>
      <c r="I188" s="275"/>
      <c r="J188" s="275"/>
      <c r="K188" s="275"/>
      <c r="L188" s="275"/>
      <c r="M188" s="275"/>
      <c r="N188" s="275"/>
      <c r="O188" s="275"/>
      <c r="P188" s="275"/>
      <c r="Q188" s="275"/>
      <c r="R188" s="275"/>
      <c r="S188" s="275"/>
      <c r="T188" s="275"/>
      <c r="U188" s="275"/>
      <c r="V188" s="275"/>
      <c r="W188" s="275"/>
      <c r="X188" s="275"/>
      <c r="Y188" s="275"/>
      <c r="Z188" s="275"/>
    </row>
    <row r="189" spans="3:26">
      <c r="C189" s="275"/>
      <c r="D189" s="275"/>
      <c r="E189" s="275"/>
      <c r="F189" s="275"/>
      <c r="G189" s="275"/>
      <c r="H189" s="275"/>
      <c r="I189" s="275"/>
      <c r="J189" s="275"/>
      <c r="K189" s="275"/>
      <c r="L189" s="275"/>
      <c r="M189" s="275"/>
      <c r="N189" s="275"/>
      <c r="O189" s="275"/>
      <c r="P189" s="275"/>
      <c r="Q189" s="275"/>
      <c r="R189" s="275"/>
      <c r="S189" s="275"/>
      <c r="T189" s="275"/>
      <c r="U189" s="275"/>
      <c r="V189" s="275"/>
      <c r="W189" s="275"/>
      <c r="X189" s="275"/>
      <c r="Y189" s="275"/>
      <c r="Z189" s="275"/>
    </row>
    <row r="190" spans="3:26">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row>
    <row r="191" spans="3:26">
      <c r="C191" s="275"/>
      <c r="D191" s="275"/>
      <c r="E191" s="275"/>
      <c r="F191" s="275"/>
      <c r="G191" s="275"/>
      <c r="H191" s="275"/>
      <c r="I191" s="275"/>
      <c r="J191" s="275"/>
      <c r="K191" s="275"/>
      <c r="L191" s="275"/>
      <c r="M191" s="275"/>
      <c r="N191" s="275"/>
      <c r="O191" s="275"/>
      <c r="P191" s="275"/>
      <c r="Q191" s="275"/>
      <c r="R191" s="275"/>
      <c r="S191" s="275"/>
      <c r="T191" s="275"/>
      <c r="U191" s="275"/>
      <c r="V191" s="275"/>
      <c r="W191" s="275"/>
      <c r="X191" s="275"/>
      <c r="Y191" s="275"/>
      <c r="Z191" s="275"/>
    </row>
    <row r="192" spans="3:26">
      <c r="C192" s="275"/>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row>
    <row r="193" spans="3:26">
      <c r="C193" s="275"/>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row>
    <row r="194" spans="3:26">
      <c r="C194" s="275"/>
      <c r="D194" s="275"/>
      <c r="E194" s="275"/>
      <c r="F194" s="275"/>
      <c r="G194" s="275"/>
      <c r="H194" s="275"/>
      <c r="I194" s="275"/>
      <c r="J194" s="275"/>
      <c r="K194" s="275"/>
      <c r="L194" s="275"/>
      <c r="M194" s="275"/>
      <c r="N194" s="275"/>
      <c r="O194" s="275"/>
      <c r="P194" s="275"/>
      <c r="Q194" s="275"/>
      <c r="R194" s="275"/>
      <c r="S194" s="275"/>
      <c r="T194" s="275"/>
      <c r="U194" s="275"/>
      <c r="V194" s="275"/>
      <c r="W194" s="275"/>
      <c r="X194" s="275"/>
      <c r="Y194" s="275"/>
      <c r="Z194" s="275"/>
    </row>
    <row r="195" spans="3:26">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row>
    <row r="196" spans="3:26">
      <c r="C196" s="275"/>
      <c r="D196" s="275"/>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row>
    <row r="197" spans="3:26">
      <c r="C197" s="275"/>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row>
    <row r="198" spans="3:26">
      <c r="C198" s="275"/>
      <c r="D198" s="275"/>
      <c r="E198" s="275"/>
      <c r="F198" s="275"/>
      <c r="G198" s="275"/>
      <c r="H198" s="275"/>
      <c r="I198" s="275"/>
      <c r="J198" s="275"/>
      <c r="K198" s="275"/>
      <c r="L198" s="275"/>
      <c r="M198" s="275"/>
      <c r="N198" s="275"/>
      <c r="O198" s="275"/>
      <c r="P198" s="275"/>
      <c r="Q198" s="275"/>
      <c r="R198" s="275"/>
      <c r="S198" s="275"/>
      <c r="T198" s="275"/>
      <c r="U198" s="275"/>
      <c r="V198" s="275"/>
      <c r="W198" s="275"/>
      <c r="X198" s="275"/>
      <c r="Y198" s="275"/>
      <c r="Z198" s="275"/>
    </row>
    <row r="199" spans="3:26">
      <c r="C199" s="275"/>
      <c r="D199" s="275"/>
      <c r="E199" s="275"/>
      <c r="F199" s="275"/>
      <c r="G199" s="275"/>
      <c r="H199" s="275"/>
      <c r="I199" s="275"/>
      <c r="J199" s="275"/>
      <c r="K199" s="275"/>
      <c r="L199" s="275"/>
      <c r="M199" s="275"/>
      <c r="N199" s="275"/>
      <c r="O199" s="275"/>
      <c r="P199" s="275"/>
      <c r="Q199" s="275"/>
      <c r="R199" s="275"/>
      <c r="S199" s="275"/>
      <c r="T199" s="275"/>
      <c r="U199" s="275"/>
      <c r="V199" s="275"/>
      <c r="W199" s="275"/>
      <c r="X199" s="275"/>
      <c r="Y199" s="275"/>
      <c r="Z199" s="275"/>
    </row>
    <row r="200" spans="3:26">
      <c r="C200" s="275"/>
      <c r="D200" s="275"/>
      <c r="E200" s="275"/>
      <c r="F200" s="275"/>
      <c r="G200" s="275"/>
      <c r="H200" s="275"/>
      <c r="I200" s="275"/>
      <c r="J200" s="275"/>
      <c r="K200" s="275"/>
      <c r="L200" s="275"/>
      <c r="M200" s="275"/>
      <c r="N200" s="275"/>
      <c r="O200" s="275"/>
      <c r="P200" s="275"/>
      <c r="Q200" s="275"/>
      <c r="R200" s="275"/>
      <c r="S200" s="275"/>
      <c r="T200" s="275"/>
      <c r="U200" s="275"/>
      <c r="V200" s="275"/>
      <c r="W200" s="275"/>
      <c r="X200" s="275"/>
      <c r="Y200" s="275"/>
      <c r="Z200" s="275"/>
    </row>
    <row r="201" spans="3:26">
      <c r="C201" s="275"/>
      <c r="D201" s="275"/>
      <c r="E201" s="275"/>
      <c r="F201" s="275"/>
      <c r="G201" s="275"/>
      <c r="H201" s="275"/>
      <c r="I201" s="275"/>
      <c r="J201" s="275"/>
      <c r="K201" s="275"/>
      <c r="L201" s="275"/>
      <c r="M201" s="275"/>
      <c r="N201" s="275"/>
      <c r="O201" s="275"/>
      <c r="P201" s="275"/>
      <c r="Q201" s="275"/>
      <c r="R201" s="275"/>
      <c r="S201" s="275"/>
      <c r="T201" s="275"/>
      <c r="U201" s="275"/>
      <c r="V201" s="275"/>
      <c r="W201" s="275"/>
      <c r="X201" s="275"/>
      <c r="Y201" s="275"/>
      <c r="Z201" s="275"/>
    </row>
    <row r="202" spans="3:26">
      <c r="C202" s="275"/>
      <c r="D202" s="275"/>
      <c r="E202" s="275"/>
      <c r="F202" s="275"/>
      <c r="G202" s="275"/>
      <c r="H202" s="275"/>
      <c r="I202" s="275"/>
      <c r="J202" s="275"/>
      <c r="K202" s="275"/>
      <c r="L202" s="275"/>
      <c r="M202" s="275"/>
      <c r="N202" s="275"/>
      <c r="O202" s="275"/>
      <c r="P202" s="275"/>
      <c r="Q202" s="275"/>
      <c r="R202" s="275"/>
      <c r="S202" s="275"/>
      <c r="T202" s="275"/>
      <c r="U202" s="275"/>
      <c r="V202" s="275"/>
      <c r="W202" s="275"/>
      <c r="X202" s="275"/>
      <c r="Y202" s="275"/>
      <c r="Z202" s="275"/>
    </row>
    <row r="203" spans="3:26">
      <c r="C203" s="275"/>
      <c r="D203" s="275"/>
      <c r="E203" s="275"/>
      <c r="F203" s="275"/>
      <c r="G203" s="275"/>
      <c r="H203" s="275"/>
      <c r="I203" s="275"/>
      <c r="J203" s="275"/>
      <c r="K203" s="275"/>
      <c r="L203" s="275"/>
      <c r="M203" s="275"/>
      <c r="N203" s="275"/>
      <c r="O203" s="275"/>
      <c r="P203" s="275"/>
      <c r="Q203" s="275"/>
      <c r="R203" s="275"/>
      <c r="S203" s="275"/>
      <c r="T203" s="275"/>
      <c r="U203" s="275"/>
      <c r="V203" s="275"/>
      <c r="W203" s="275"/>
      <c r="X203" s="275"/>
      <c r="Y203" s="275"/>
      <c r="Z203" s="275"/>
    </row>
    <row r="204" spans="3:26">
      <c r="C204" s="275"/>
      <c r="D204" s="275"/>
      <c r="E204" s="275"/>
      <c r="F204" s="275"/>
      <c r="G204" s="275"/>
      <c r="H204" s="275"/>
      <c r="I204" s="275"/>
      <c r="J204" s="275"/>
      <c r="K204" s="275"/>
      <c r="L204" s="275"/>
      <c r="M204" s="275"/>
      <c r="N204" s="275"/>
      <c r="O204" s="275"/>
      <c r="P204" s="275"/>
      <c r="Q204" s="275"/>
      <c r="R204" s="275"/>
      <c r="S204" s="275"/>
      <c r="T204" s="275"/>
      <c r="U204" s="275"/>
      <c r="V204" s="275"/>
      <c r="W204" s="275"/>
      <c r="X204" s="275"/>
      <c r="Y204" s="275"/>
      <c r="Z204" s="275"/>
    </row>
    <row r="205" spans="3:26">
      <c r="C205" s="275"/>
      <c r="D205" s="275"/>
      <c r="E205" s="275"/>
      <c r="F205" s="275"/>
      <c r="G205" s="275"/>
      <c r="H205" s="275"/>
      <c r="I205" s="275"/>
      <c r="J205" s="275"/>
      <c r="K205" s="275"/>
      <c r="L205" s="275"/>
      <c r="M205" s="275"/>
      <c r="N205" s="275"/>
      <c r="O205" s="275"/>
      <c r="P205" s="275"/>
      <c r="Q205" s="275"/>
      <c r="R205" s="275"/>
      <c r="S205" s="275"/>
      <c r="T205" s="275"/>
      <c r="U205" s="275"/>
      <c r="V205" s="275"/>
      <c r="W205" s="275"/>
      <c r="X205" s="275"/>
      <c r="Y205" s="275"/>
      <c r="Z205" s="275"/>
    </row>
    <row r="206" spans="3:26">
      <c r="C206" s="275"/>
      <c r="D206" s="275"/>
      <c r="E206" s="275"/>
      <c r="F206" s="275"/>
      <c r="G206" s="275"/>
      <c r="H206" s="275"/>
      <c r="I206" s="275"/>
      <c r="J206" s="275"/>
      <c r="K206" s="275"/>
      <c r="L206" s="275"/>
      <c r="M206" s="275"/>
      <c r="N206" s="275"/>
      <c r="O206" s="275"/>
      <c r="P206" s="275"/>
      <c r="Q206" s="275"/>
      <c r="R206" s="275"/>
      <c r="S206" s="275"/>
      <c r="T206" s="275"/>
      <c r="U206" s="275"/>
      <c r="V206" s="275"/>
      <c r="W206" s="275"/>
      <c r="X206" s="275"/>
      <c r="Y206" s="275"/>
      <c r="Z206" s="275"/>
    </row>
    <row r="207" spans="3:26">
      <c r="C207" s="275"/>
      <c r="D207" s="275"/>
      <c r="E207" s="275"/>
      <c r="F207" s="275"/>
      <c r="G207" s="275"/>
      <c r="H207" s="275"/>
      <c r="I207" s="275"/>
      <c r="J207" s="275"/>
      <c r="K207" s="275"/>
      <c r="L207" s="275"/>
      <c r="M207" s="275"/>
      <c r="N207" s="275"/>
      <c r="O207" s="275"/>
      <c r="P207" s="275"/>
      <c r="Q207" s="275"/>
      <c r="R207" s="275"/>
      <c r="S207" s="275"/>
      <c r="T207" s="275"/>
      <c r="U207" s="275"/>
      <c r="V207" s="275"/>
      <c r="W207" s="275"/>
      <c r="X207" s="275"/>
      <c r="Y207" s="275"/>
      <c r="Z207" s="275"/>
    </row>
    <row r="208" spans="3:26">
      <c r="C208" s="275"/>
      <c r="D208" s="275"/>
      <c r="E208" s="275"/>
      <c r="F208" s="275"/>
      <c r="G208" s="275"/>
      <c r="H208" s="275"/>
      <c r="I208" s="275"/>
      <c r="J208" s="275"/>
      <c r="K208" s="275"/>
      <c r="L208" s="275"/>
      <c r="M208" s="275"/>
      <c r="N208" s="275"/>
      <c r="O208" s="275"/>
      <c r="P208" s="275"/>
      <c r="Q208" s="275"/>
      <c r="R208" s="275"/>
      <c r="S208" s="275"/>
      <c r="T208" s="275"/>
      <c r="U208" s="275"/>
      <c r="V208" s="275"/>
      <c r="W208" s="275"/>
      <c r="X208" s="275"/>
      <c r="Y208" s="275"/>
      <c r="Z208" s="275"/>
    </row>
    <row r="209" spans="3:26">
      <c r="C209" s="275"/>
      <c r="D209" s="275"/>
      <c r="E209" s="275"/>
      <c r="F209" s="275"/>
      <c r="G209" s="275"/>
      <c r="H209" s="275"/>
      <c r="I209" s="275"/>
      <c r="J209" s="275"/>
      <c r="K209" s="275"/>
      <c r="L209" s="275"/>
      <c r="M209" s="275"/>
      <c r="N209" s="275"/>
      <c r="O209" s="275"/>
      <c r="P209" s="275"/>
      <c r="Q209" s="275"/>
      <c r="R209" s="275"/>
      <c r="S209" s="275"/>
      <c r="T209" s="275"/>
      <c r="U209" s="275"/>
      <c r="V209" s="275"/>
      <c r="W209" s="275"/>
      <c r="X209" s="275"/>
      <c r="Y209" s="275"/>
      <c r="Z209" s="275"/>
    </row>
    <row r="210" spans="3:26">
      <c r="C210" s="275"/>
      <c r="D210" s="275"/>
      <c r="E210" s="275"/>
      <c r="F210" s="275"/>
      <c r="G210" s="275"/>
      <c r="H210" s="275"/>
      <c r="I210" s="275"/>
      <c r="J210" s="275"/>
      <c r="K210" s="275"/>
      <c r="L210" s="275"/>
      <c r="M210" s="275"/>
      <c r="N210" s="275"/>
      <c r="O210" s="275"/>
      <c r="P210" s="275"/>
      <c r="Q210" s="275"/>
      <c r="R210" s="275"/>
      <c r="S210" s="275"/>
      <c r="T210" s="275"/>
      <c r="U210" s="275"/>
      <c r="V210" s="275"/>
      <c r="W210" s="275"/>
      <c r="X210" s="275"/>
      <c r="Y210" s="275"/>
      <c r="Z210" s="275"/>
    </row>
    <row r="211" spans="3:26">
      <c r="C211" s="275"/>
      <c r="D211" s="275"/>
      <c r="E211" s="275"/>
      <c r="F211" s="275"/>
      <c r="G211" s="275"/>
      <c r="H211" s="275"/>
      <c r="I211" s="275"/>
      <c r="J211" s="275"/>
      <c r="K211" s="275"/>
      <c r="L211" s="275"/>
      <c r="M211" s="275"/>
      <c r="N211" s="275"/>
      <c r="O211" s="275"/>
      <c r="P211" s="275"/>
      <c r="Q211" s="275"/>
      <c r="R211" s="275"/>
      <c r="S211" s="275"/>
      <c r="T211" s="275"/>
      <c r="U211" s="275"/>
      <c r="V211" s="275"/>
      <c r="W211" s="275"/>
      <c r="X211" s="275"/>
      <c r="Y211" s="275"/>
      <c r="Z211" s="275"/>
    </row>
    <row r="212" spans="3:26">
      <c r="C212" s="275"/>
      <c r="D212" s="275"/>
      <c r="E212" s="275"/>
      <c r="F212" s="275"/>
      <c r="G212" s="275"/>
      <c r="H212" s="275"/>
      <c r="I212" s="275"/>
      <c r="J212" s="275"/>
      <c r="K212" s="275"/>
      <c r="L212" s="275"/>
      <c r="M212" s="275"/>
      <c r="N212" s="275"/>
      <c r="O212" s="275"/>
      <c r="P212" s="275"/>
      <c r="Q212" s="275"/>
      <c r="R212" s="275"/>
      <c r="S212" s="275"/>
      <c r="T212" s="275"/>
      <c r="U212" s="275"/>
      <c r="V212" s="275"/>
      <c r="W212" s="275"/>
      <c r="X212" s="275"/>
      <c r="Y212" s="275"/>
      <c r="Z212" s="275"/>
    </row>
    <row r="213" spans="3:26">
      <c r="C213" s="275"/>
      <c r="D213" s="275"/>
      <c r="E213" s="275"/>
      <c r="F213" s="275"/>
      <c r="G213" s="275"/>
      <c r="H213" s="275"/>
      <c r="I213" s="275"/>
      <c r="J213" s="275"/>
      <c r="K213" s="275"/>
      <c r="L213" s="275"/>
      <c r="M213" s="275"/>
      <c r="N213" s="275"/>
      <c r="O213" s="275"/>
      <c r="P213" s="275"/>
      <c r="Q213" s="275"/>
      <c r="R213" s="275"/>
      <c r="S213" s="275"/>
      <c r="T213" s="275"/>
      <c r="U213" s="275"/>
      <c r="V213" s="275"/>
      <c r="W213" s="275"/>
      <c r="X213" s="275"/>
      <c r="Y213" s="275"/>
      <c r="Z213" s="275"/>
    </row>
    <row r="214" spans="3:26">
      <c r="C214" s="275"/>
      <c r="D214" s="275"/>
      <c r="E214" s="275"/>
      <c r="F214" s="275"/>
      <c r="G214" s="275"/>
      <c r="H214" s="275"/>
      <c r="I214" s="275"/>
      <c r="J214" s="275"/>
      <c r="K214" s="275"/>
      <c r="L214" s="275"/>
      <c r="M214" s="275"/>
      <c r="N214" s="275"/>
      <c r="O214" s="275"/>
      <c r="P214" s="275"/>
      <c r="Q214" s="275"/>
      <c r="R214" s="275"/>
      <c r="S214" s="275"/>
      <c r="T214" s="275"/>
      <c r="U214" s="275"/>
      <c r="V214" s="275"/>
      <c r="W214" s="275"/>
      <c r="X214" s="275"/>
      <c r="Y214" s="275"/>
      <c r="Z214" s="275"/>
    </row>
    <row r="215" spans="3:26">
      <c r="C215" s="275"/>
      <c r="D215" s="275"/>
      <c r="E215" s="275"/>
      <c r="F215" s="275"/>
      <c r="G215" s="275"/>
      <c r="H215" s="275"/>
      <c r="I215" s="275"/>
      <c r="J215" s="275"/>
      <c r="K215" s="275"/>
      <c r="L215" s="275"/>
      <c r="M215" s="275"/>
      <c r="N215" s="275"/>
      <c r="O215" s="275"/>
      <c r="P215" s="275"/>
      <c r="Q215" s="275"/>
      <c r="R215" s="275"/>
      <c r="S215" s="275"/>
      <c r="T215" s="275"/>
      <c r="U215" s="275"/>
      <c r="V215" s="275"/>
      <c r="W215" s="275"/>
      <c r="X215" s="275"/>
      <c r="Y215" s="275"/>
      <c r="Z215" s="275"/>
    </row>
    <row r="216" spans="3:26">
      <c r="C216" s="275"/>
      <c r="D216" s="275"/>
      <c r="E216" s="275"/>
      <c r="F216" s="275"/>
      <c r="G216" s="275"/>
      <c r="H216" s="275"/>
      <c r="I216" s="275"/>
      <c r="J216" s="275"/>
      <c r="K216" s="275"/>
      <c r="L216" s="275"/>
      <c r="M216" s="275"/>
      <c r="N216" s="275"/>
      <c r="O216" s="275"/>
      <c r="P216" s="275"/>
      <c r="Q216" s="275"/>
      <c r="R216" s="275"/>
      <c r="S216" s="275"/>
      <c r="T216" s="275"/>
      <c r="U216" s="275"/>
      <c r="V216" s="275"/>
      <c r="W216" s="275"/>
      <c r="X216" s="275"/>
      <c r="Y216" s="275"/>
      <c r="Z216" s="275"/>
    </row>
    <row r="217" spans="3:26">
      <c r="C217" s="275"/>
      <c r="D217" s="275"/>
      <c r="E217" s="275"/>
      <c r="F217" s="275"/>
      <c r="G217" s="275"/>
      <c r="H217" s="275"/>
      <c r="I217" s="275"/>
      <c r="J217" s="275"/>
      <c r="K217" s="275"/>
      <c r="L217" s="275"/>
      <c r="M217" s="275"/>
      <c r="N217" s="275"/>
      <c r="O217" s="275"/>
      <c r="P217" s="275"/>
      <c r="Q217" s="275"/>
      <c r="R217" s="275"/>
      <c r="S217" s="275"/>
      <c r="T217" s="275"/>
      <c r="U217" s="275"/>
      <c r="V217" s="275"/>
      <c r="W217" s="275"/>
      <c r="X217" s="275"/>
      <c r="Y217" s="275"/>
      <c r="Z217" s="275"/>
    </row>
    <row r="218" spans="3:26">
      <c r="C218" s="275"/>
      <c r="D218" s="275"/>
      <c r="E218" s="275"/>
      <c r="F218" s="275"/>
      <c r="G218" s="275"/>
      <c r="H218" s="275"/>
      <c r="I218" s="275"/>
      <c r="J218" s="275"/>
      <c r="K218" s="275"/>
      <c r="L218" s="275"/>
      <c r="M218" s="275"/>
      <c r="N218" s="275"/>
      <c r="O218" s="275"/>
      <c r="P218" s="275"/>
      <c r="Q218" s="275"/>
      <c r="R218" s="275"/>
      <c r="S218" s="275"/>
      <c r="T218" s="275"/>
      <c r="U218" s="275"/>
      <c r="V218" s="275"/>
      <c r="W218" s="275"/>
      <c r="X218" s="275"/>
      <c r="Y218" s="275"/>
      <c r="Z218" s="275"/>
    </row>
    <row r="219" spans="3:26">
      <c r="C219" s="275"/>
      <c r="D219" s="275"/>
      <c r="E219" s="275"/>
      <c r="F219" s="275"/>
      <c r="G219" s="275"/>
      <c r="H219" s="275"/>
      <c r="I219" s="275"/>
      <c r="J219" s="275"/>
      <c r="K219" s="275"/>
      <c r="L219" s="275"/>
      <c r="M219" s="275"/>
      <c r="N219" s="275"/>
      <c r="O219" s="275"/>
      <c r="P219" s="275"/>
      <c r="Q219" s="275"/>
      <c r="R219" s="275"/>
      <c r="S219" s="275"/>
      <c r="T219" s="275"/>
      <c r="U219" s="275"/>
      <c r="V219" s="275"/>
      <c r="W219" s="275"/>
      <c r="X219" s="275"/>
      <c r="Y219" s="275"/>
      <c r="Z219" s="275"/>
    </row>
    <row r="220" spans="3:26">
      <c r="C220" s="275"/>
      <c r="D220" s="275"/>
      <c r="E220" s="275"/>
      <c r="F220" s="275"/>
      <c r="G220" s="275"/>
      <c r="H220" s="275"/>
      <c r="I220" s="275"/>
      <c r="J220" s="275"/>
      <c r="K220" s="275"/>
      <c r="L220" s="275"/>
      <c r="M220" s="275"/>
      <c r="N220" s="275"/>
      <c r="O220" s="275"/>
      <c r="P220" s="275"/>
      <c r="Q220" s="275"/>
      <c r="R220" s="275"/>
      <c r="S220" s="275"/>
      <c r="T220" s="275"/>
      <c r="U220" s="275"/>
      <c r="V220" s="275"/>
      <c r="W220" s="275"/>
      <c r="X220" s="275"/>
      <c r="Y220" s="275"/>
      <c r="Z220" s="275"/>
    </row>
    <row r="221" spans="3:26">
      <c r="C221" s="275"/>
      <c r="D221" s="275"/>
      <c r="E221" s="275"/>
      <c r="F221" s="275"/>
      <c r="G221" s="275"/>
      <c r="H221" s="275"/>
      <c r="I221" s="275"/>
      <c r="J221" s="275"/>
      <c r="K221" s="275"/>
      <c r="L221" s="275"/>
      <c r="M221" s="275"/>
      <c r="N221" s="275"/>
      <c r="O221" s="275"/>
      <c r="P221" s="275"/>
      <c r="Q221" s="275"/>
      <c r="R221" s="275"/>
      <c r="S221" s="275"/>
      <c r="T221" s="275"/>
      <c r="U221" s="275"/>
      <c r="V221" s="275"/>
      <c r="W221" s="275"/>
      <c r="X221" s="275"/>
      <c r="Y221" s="275"/>
      <c r="Z221" s="275"/>
    </row>
    <row r="222" spans="3:26">
      <c r="C222" s="275"/>
      <c r="D222" s="275"/>
      <c r="E222" s="275"/>
      <c r="F222" s="275"/>
      <c r="G222" s="275"/>
      <c r="H222" s="275"/>
      <c r="I222" s="275"/>
      <c r="J222" s="275"/>
      <c r="K222" s="275"/>
      <c r="L222" s="275"/>
      <c r="M222" s="275"/>
      <c r="N222" s="275"/>
      <c r="O222" s="275"/>
      <c r="P222" s="275"/>
      <c r="Q222" s="275"/>
      <c r="R222" s="275"/>
      <c r="S222" s="275"/>
      <c r="T222" s="275"/>
      <c r="U222" s="275"/>
      <c r="V222" s="275"/>
      <c r="W222" s="275"/>
      <c r="X222" s="275"/>
      <c r="Y222" s="275"/>
      <c r="Z222" s="275"/>
    </row>
    <row r="223" spans="3:26">
      <c r="C223" s="275"/>
      <c r="D223" s="275"/>
      <c r="E223" s="275"/>
      <c r="F223" s="275"/>
      <c r="G223" s="275"/>
      <c r="H223" s="275"/>
      <c r="I223" s="275"/>
      <c r="J223" s="275"/>
      <c r="K223" s="275"/>
      <c r="L223" s="275"/>
      <c r="M223" s="275"/>
      <c r="N223" s="275"/>
      <c r="O223" s="275"/>
      <c r="P223" s="275"/>
      <c r="Q223" s="275"/>
      <c r="R223" s="275"/>
      <c r="S223" s="275"/>
      <c r="T223" s="275"/>
      <c r="U223" s="275"/>
      <c r="V223" s="275"/>
      <c r="W223" s="275"/>
      <c r="X223" s="275"/>
      <c r="Y223" s="275"/>
      <c r="Z223" s="275"/>
    </row>
    <row r="224" spans="3:26">
      <c r="C224" s="275"/>
      <c r="D224" s="275"/>
      <c r="E224" s="275"/>
      <c r="F224" s="275"/>
      <c r="G224" s="275"/>
      <c r="H224" s="275"/>
      <c r="I224" s="275"/>
      <c r="J224" s="275"/>
      <c r="K224" s="275"/>
      <c r="L224" s="275"/>
      <c r="M224" s="275"/>
      <c r="N224" s="275"/>
      <c r="O224" s="275"/>
      <c r="P224" s="275"/>
      <c r="Q224" s="275"/>
      <c r="R224" s="275"/>
      <c r="S224" s="275"/>
      <c r="T224" s="275"/>
      <c r="U224" s="275"/>
      <c r="V224" s="275"/>
      <c r="W224" s="275"/>
      <c r="X224" s="275"/>
      <c r="Y224" s="275"/>
      <c r="Z224" s="275"/>
    </row>
    <row r="225" spans="3:26">
      <c r="C225" s="275"/>
      <c r="D225" s="275"/>
      <c r="E225" s="275"/>
      <c r="F225" s="275"/>
      <c r="G225" s="275"/>
      <c r="H225" s="275"/>
      <c r="I225" s="275"/>
      <c r="J225" s="275"/>
      <c r="K225" s="275"/>
      <c r="L225" s="275"/>
      <c r="M225" s="275"/>
      <c r="N225" s="275"/>
      <c r="O225" s="275"/>
      <c r="P225" s="275"/>
      <c r="Q225" s="275"/>
      <c r="R225" s="275"/>
      <c r="S225" s="275"/>
      <c r="T225" s="275"/>
      <c r="U225" s="275"/>
      <c r="V225" s="275"/>
      <c r="W225" s="275"/>
      <c r="X225" s="275"/>
      <c r="Y225" s="275"/>
      <c r="Z225" s="275"/>
    </row>
    <row r="226" spans="3:26">
      <c r="C226" s="275"/>
      <c r="D226" s="275"/>
      <c r="E226" s="275"/>
      <c r="F226" s="275"/>
      <c r="G226" s="275"/>
      <c r="H226" s="275"/>
      <c r="I226" s="275"/>
      <c r="J226" s="275"/>
      <c r="K226" s="275"/>
      <c r="L226" s="275"/>
      <c r="M226" s="275"/>
      <c r="N226" s="275"/>
      <c r="O226" s="275"/>
      <c r="P226" s="275"/>
      <c r="Q226" s="275"/>
      <c r="R226" s="275"/>
      <c r="S226" s="275"/>
      <c r="T226" s="275"/>
      <c r="U226" s="275"/>
      <c r="V226" s="275"/>
      <c r="W226" s="275"/>
      <c r="X226" s="275"/>
      <c r="Y226" s="275"/>
      <c r="Z226" s="275"/>
    </row>
    <row r="227" spans="3:26">
      <c r="C227" s="275"/>
      <c r="D227" s="275"/>
      <c r="E227" s="275"/>
      <c r="F227" s="275"/>
      <c r="G227" s="275"/>
      <c r="H227" s="275"/>
      <c r="I227" s="275"/>
      <c r="J227" s="275"/>
      <c r="K227" s="275"/>
      <c r="L227" s="275"/>
      <c r="M227" s="275"/>
      <c r="N227" s="275"/>
      <c r="O227" s="275"/>
      <c r="P227" s="275"/>
      <c r="Q227" s="275"/>
      <c r="R227" s="275"/>
      <c r="S227" s="275"/>
      <c r="T227" s="275"/>
      <c r="U227" s="275"/>
      <c r="V227" s="275"/>
      <c r="W227" s="275"/>
      <c r="X227" s="275"/>
      <c r="Y227" s="275"/>
      <c r="Z227" s="275"/>
    </row>
    <row r="228" spans="3:26">
      <c r="C228" s="275"/>
      <c r="D228" s="275"/>
      <c r="E228" s="275"/>
      <c r="F228" s="275"/>
      <c r="G228" s="275"/>
      <c r="H228" s="275"/>
      <c r="I228" s="275"/>
      <c r="J228" s="275"/>
      <c r="K228" s="275"/>
      <c r="L228" s="275"/>
      <c r="M228" s="275"/>
      <c r="N228" s="275"/>
      <c r="O228" s="275"/>
      <c r="P228" s="275"/>
      <c r="Q228" s="275"/>
      <c r="R228" s="275"/>
      <c r="S228" s="275"/>
      <c r="T228" s="275"/>
      <c r="U228" s="275"/>
      <c r="V228" s="275"/>
      <c r="W228" s="275"/>
      <c r="X228" s="275"/>
      <c r="Y228" s="275"/>
      <c r="Z228" s="275"/>
    </row>
    <row r="229" spans="3:26">
      <c r="C229" s="275"/>
      <c r="D229" s="275"/>
      <c r="E229" s="275"/>
      <c r="F229" s="275"/>
      <c r="G229" s="275"/>
      <c r="H229" s="275"/>
      <c r="I229" s="275"/>
      <c r="J229" s="275"/>
      <c r="K229" s="275"/>
      <c r="L229" s="275"/>
      <c r="M229" s="275"/>
      <c r="N229" s="275"/>
      <c r="O229" s="275"/>
      <c r="P229" s="275"/>
      <c r="Q229" s="275"/>
      <c r="R229" s="275"/>
      <c r="S229" s="275"/>
      <c r="T229" s="275"/>
      <c r="U229" s="275"/>
      <c r="V229" s="275"/>
      <c r="W229" s="275"/>
      <c r="X229" s="275"/>
      <c r="Y229" s="275"/>
      <c r="Z229" s="275"/>
    </row>
    <row r="230" spans="3:26">
      <c r="C230" s="275"/>
      <c r="D230" s="275"/>
      <c r="E230" s="275"/>
      <c r="F230" s="275"/>
      <c r="G230" s="275"/>
      <c r="H230" s="275"/>
      <c r="I230" s="275"/>
      <c r="J230" s="275"/>
      <c r="K230" s="275"/>
      <c r="L230" s="275"/>
      <c r="M230" s="275"/>
      <c r="N230" s="275"/>
      <c r="O230" s="275"/>
      <c r="P230" s="275"/>
      <c r="Q230" s="275"/>
      <c r="R230" s="275"/>
      <c r="S230" s="275"/>
      <c r="T230" s="275"/>
      <c r="U230" s="275"/>
      <c r="V230" s="275"/>
      <c r="W230" s="275"/>
      <c r="X230" s="275"/>
      <c r="Y230" s="275"/>
      <c r="Z230" s="275"/>
    </row>
    <row r="231" spans="3:26">
      <c r="C231" s="275"/>
      <c r="D231" s="275"/>
      <c r="E231" s="275"/>
      <c r="F231" s="275"/>
      <c r="G231" s="275"/>
      <c r="H231" s="275"/>
      <c r="I231" s="275"/>
      <c r="J231" s="275"/>
      <c r="K231" s="275"/>
      <c r="L231" s="275"/>
      <c r="M231" s="275"/>
      <c r="N231" s="275"/>
      <c r="O231" s="275"/>
      <c r="P231" s="275"/>
      <c r="Q231" s="275"/>
      <c r="R231" s="275"/>
      <c r="S231" s="275"/>
      <c r="T231" s="275"/>
      <c r="U231" s="275"/>
      <c r="V231" s="275"/>
      <c r="W231" s="275"/>
      <c r="X231" s="275"/>
      <c r="Y231" s="275"/>
      <c r="Z231" s="275"/>
    </row>
    <row r="232" spans="3:26">
      <c r="C232" s="275"/>
      <c r="D232" s="275"/>
      <c r="E232" s="275"/>
      <c r="F232" s="275"/>
      <c r="G232" s="275"/>
      <c r="H232" s="275"/>
      <c r="I232" s="275"/>
      <c r="J232" s="275"/>
      <c r="K232" s="275"/>
      <c r="L232" s="275"/>
      <c r="M232" s="275"/>
      <c r="N232" s="275"/>
      <c r="O232" s="275"/>
      <c r="P232" s="275"/>
      <c r="Q232" s="275"/>
      <c r="R232" s="275"/>
      <c r="S232" s="275"/>
      <c r="T232" s="275"/>
      <c r="U232" s="275"/>
      <c r="V232" s="275"/>
      <c r="W232" s="275"/>
      <c r="X232" s="275"/>
      <c r="Y232" s="275"/>
      <c r="Z232" s="275"/>
    </row>
    <row r="233" spans="3:26">
      <c r="C233" s="275"/>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row>
    <row r="234" spans="3:26">
      <c r="C234" s="275"/>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row>
    <row r="235" spans="3:26">
      <c r="C235" s="275"/>
      <c r="D235" s="275"/>
      <c r="E235" s="275"/>
      <c r="F235" s="275"/>
      <c r="G235" s="275"/>
      <c r="H235" s="275"/>
      <c r="I235" s="275"/>
      <c r="J235" s="275"/>
      <c r="K235" s="275"/>
      <c r="L235" s="275"/>
      <c r="M235" s="275"/>
      <c r="N235" s="275"/>
      <c r="O235" s="275"/>
      <c r="P235" s="275"/>
      <c r="Q235" s="275"/>
      <c r="R235" s="275"/>
      <c r="S235" s="275"/>
      <c r="T235" s="275"/>
      <c r="U235" s="275"/>
      <c r="V235" s="275"/>
      <c r="W235" s="275"/>
      <c r="X235" s="275"/>
      <c r="Y235" s="275"/>
      <c r="Z235" s="275"/>
    </row>
    <row r="236" spans="3:26">
      <c r="C236" s="275"/>
      <c r="D236" s="275"/>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row>
    <row r="237" spans="3:26">
      <c r="C237" s="275"/>
      <c r="D237" s="275"/>
      <c r="E237" s="275"/>
      <c r="F237" s="275"/>
      <c r="G237" s="275"/>
      <c r="H237" s="275"/>
      <c r="I237" s="275"/>
      <c r="J237" s="275"/>
      <c r="K237" s="275"/>
      <c r="L237" s="275"/>
      <c r="M237" s="275"/>
      <c r="N237" s="275"/>
      <c r="O237" s="275"/>
      <c r="P237" s="275"/>
      <c r="Q237" s="275"/>
      <c r="R237" s="275"/>
      <c r="S237" s="275"/>
      <c r="T237" s="275"/>
      <c r="U237" s="275"/>
      <c r="V237" s="275"/>
      <c r="W237" s="275"/>
      <c r="X237" s="275"/>
      <c r="Y237" s="275"/>
      <c r="Z237" s="275"/>
    </row>
    <row r="238" spans="3:26">
      <c r="C238" s="275"/>
      <c r="D238" s="275"/>
      <c r="E238" s="275"/>
      <c r="F238" s="275"/>
      <c r="G238" s="275"/>
      <c r="H238" s="275"/>
      <c r="I238" s="275"/>
      <c r="J238" s="275"/>
      <c r="K238" s="275"/>
      <c r="L238" s="275"/>
      <c r="M238" s="275"/>
      <c r="N238" s="275"/>
      <c r="O238" s="275"/>
      <c r="P238" s="275"/>
      <c r="Q238" s="275"/>
      <c r="R238" s="275"/>
      <c r="S238" s="275"/>
      <c r="T238" s="275"/>
      <c r="U238" s="275"/>
      <c r="V238" s="275"/>
      <c r="W238" s="275"/>
      <c r="X238" s="275"/>
      <c r="Y238" s="275"/>
      <c r="Z238" s="275"/>
    </row>
    <row r="239" spans="3:26">
      <c r="C239" s="275"/>
      <c r="D239" s="275"/>
      <c r="E239" s="275"/>
      <c r="F239" s="275"/>
      <c r="G239" s="275"/>
      <c r="H239" s="275"/>
      <c r="I239" s="275"/>
      <c r="J239" s="275"/>
      <c r="K239" s="275"/>
      <c r="L239" s="275"/>
      <c r="M239" s="275"/>
      <c r="N239" s="275"/>
      <c r="O239" s="275"/>
      <c r="P239" s="275"/>
      <c r="Q239" s="275"/>
      <c r="R239" s="275"/>
      <c r="S239" s="275"/>
      <c r="T239" s="275"/>
      <c r="U239" s="275"/>
      <c r="V239" s="275"/>
      <c r="W239" s="275"/>
      <c r="X239" s="275"/>
      <c r="Y239" s="275"/>
      <c r="Z239" s="275"/>
    </row>
    <row r="240" spans="3:26">
      <c r="C240" s="275"/>
      <c r="D240" s="275"/>
      <c r="E240" s="275"/>
      <c r="F240" s="275"/>
      <c r="G240" s="275"/>
      <c r="H240" s="275"/>
      <c r="I240" s="275"/>
      <c r="J240" s="275"/>
      <c r="K240" s="275"/>
      <c r="L240" s="275"/>
      <c r="M240" s="275"/>
      <c r="N240" s="275"/>
      <c r="O240" s="275"/>
      <c r="P240" s="275"/>
      <c r="Q240" s="275"/>
      <c r="R240" s="275"/>
      <c r="S240" s="275"/>
      <c r="T240" s="275"/>
      <c r="U240" s="275"/>
      <c r="V240" s="275"/>
      <c r="W240" s="275"/>
      <c r="X240" s="275"/>
      <c r="Y240" s="275"/>
      <c r="Z240" s="275"/>
    </row>
    <row r="241" spans="3:26">
      <c r="C241" s="275"/>
      <c r="D241" s="275"/>
      <c r="E241" s="275"/>
      <c r="F241" s="275"/>
      <c r="G241" s="275"/>
      <c r="H241" s="275"/>
      <c r="I241" s="275"/>
      <c r="J241" s="275"/>
      <c r="K241" s="275"/>
      <c r="L241" s="275"/>
      <c r="M241" s="275"/>
      <c r="N241" s="275"/>
      <c r="O241" s="275"/>
      <c r="P241" s="275"/>
      <c r="Q241" s="275"/>
      <c r="R241" s="275"/>
      <c r="S241" s="275"/>
      <c r="T241" s="275"/>
      <c r="U241" s="275"/>
      <c r="V241" s="275"/>
      <c r="W241" s="275"/>
      <c r="X241" s="275"/>
      <c r="Y241" s="275"/>
      <c r="Z241" s="275"/>
    </row>
    <row r="242" spans="3:26">
      <c r="C242" s="275"/>
      <c r="D242" s="275"/>
      <c r="E242" s="275"/>
      <c r="F242" s="275"/>
      <c r="G242" s="275"/>
      <c r="H242" s="275"/>
      <c r="I242" s="275"/>
      <c r="J242" s="275"/>
      <c r="K242" s="275"/>
      <c r="L242" s="275"/>
      <c r="M242" s="275"/>
      <c r="N242" s="275"/>
      <c r="O242" s="275"/>
      <c r="P242" s="275"/>
      <c r="Q242" s="275"/>
      <c r="R242" s="275"/>
      <c r="S242" s="275"/>
      <c r="T242" s="275"/>
      <c r="U242" s="275"/>
      <c r="V242" s="275"/>
      <c r="W242" s="275"/>
      <c r="X242" s="275"/>
      <c r="Y242" s="275"/>
      <c r="Z242" s="275"/>
    </row>
    <row r="243" spans="3:26">
      <c r="C243" s="275"/>
      <c r="D243" s="275"/>
      <c r="E243" s="275"/>
      <c r="F243" s="275"/>
      <c r="G243" s="275"/>
      <c r="H243" s="275"/>
      <c r="I243" s="275"/>
      <c r="J243" s="275"/>
      <c r="K243" s="275"/>
      <c r="L243" s="275"/>
      <c r="M243" s="275"/>
      <c r="N243" s="275"/>
      <c r="O243" s="275"/>
      <c r="P243" s="275"/>
      <c r="Q243" s="275"/>
      <c r="R243" s="275"/>
      <c r="S243" s="275"/>
      <c r="T243" s="275"/>
      <c r="U243" s="275"/>
      <c r="V243" s="275"/>
      <c r="W243" s="275"/>
      <c r="X243" s="275"/>
      <c r="Y243" s="275"/>
      <c r="Z243" s="275"/>
    </row>
    <row r="244" spans="3:26">
      <c r="C244" s="275"/>
      <c r="D244" s="275"/>
      <c r="E244" s="275"/>
      <c r="F244" s="275"/>
      <c r="G244" s="275"/>
      <c r="H244" s="275"/>
      <c r="I244" s="275"/>
      <c r="J244" s="275"/>
      <c r="K244" s="275"/>
      <c r="L244" s="275"/>
      <c r="M244" s="275"/>
      <c r="N244" s="275"/>
      <c r="O244" s="275"/>
      <c r="P244" s="275"/>
      <c r="Q244" s="275"/>
      <c r="R244" s="275"/>
      <c r="S244" s="275"/>
      <c r="T244" s="275"/>
      <c r="U244" s="275"/>
      <c r="V244" s="275"/>
      <c r="W244" s="275"/>
      <c r="X244" s="275"/>
      <c r="Y244" s="275"/>
      <c r="Z244" s="275"/>
    </row>
    <row r="245" spans="3:26">
      <c r="C245" s="275"/>
      <c r="D245" s="275"/>
      <c r="E245" s="275"/>
      <c r="F245" s="275"/>
      <c r="G245" s="275"/>
      <c r="H245" s="275"/>
      <c r="I245" s="275"/>
      <c r="J245" s="275"/>
      <c r="K245" s="275"/>
      <c r="L245" s="275"/>
      <c r="M245" s="275"/>
      <c r="N245" s="275"/>
      <c r="O245" s="275"/>
      <c r="P245" s="275"/>
      <c r="Q245" s="275"/>
      <c r="R245" s="275"/>
      <c r="S245" s="275"/>
      <c r="T245" s="275"/>
      <c r="U245" s="275"/>
      <c r="V245" s="275"/>
      <c r="W245" s="275"/>
      <c r="X245" s="275"/>
      <c r="Y245" s="275"/>
      <c r="Z245" s="275"/>
    </row>
    <row r="246" spans="3:26">
      <c r="C246" s="275"/>
      <c r="D246" s="275"/>
      <c r="E246" s="275"/>
      <c r="F246" s="275"/>
      <c r="G246" s="275"/>
      <c r="H246" s="275"/>
      <c r="I246" s="275"/>
      <c r="J246" s="275"/>
      <c r="K246" s="275"/>
      <c r="L246" s="275"/>
      <c r="M246" s="275"/>
      <c r="N246" s="275"/>
      <c r="O246" s="275"/>
      <c r="P246" s="275"/>
      <c r="Q246" s="275"/>
      <c r="R246" s="275"/>
      <c r="S246" s="275"/>
      <c r="T246" s="275"/>
      <c r="U246" s="275"/>
      <c r="V246" s="275"/>
      <c r="W246" s="275"/>
      <c r="X246" s="275"/>
      <c r="Y246" s="275"/>
      <c r="Z246" s="275"/>
    </row>
    <row r="247" spans="3:26">
      <c r="C247" s="275"/>
      <c r="D247" s="275"/>
      <c r="E247" s="275"/>
      <c r="F247" s="275"/>
      <c r="G247" s="275"/>
      <c r="H247" s="275"/>
      <c r="I247" s="275"/>
      <c r="J247" s="275"/>
      <c r="K247" s="275"/>
      <c r="L247" s="275"/>
      <c r="M247" s="275"/>
      <c r="N247" s="275"/>
      <c r="O247" s="275"/>
      <c r="P247" s="275"/>
      <c r="Q247" s="275"/>
      <c r="R247" s="275"/>
      <c r="S247" s="275"/>
      <c r="T247" s="275"/>
      <c r="U247" s="275"/>
      <c r="V247" s="275"/>
      <c r="W247" s="275"/>
      <c r="X247" s="275"/>
      <c r="Y247" s="275"/>
      <c r="Z247" s="275"/>
    </row>
    <row r="248" spans="3:26">
      <c r="C248" s="275"/>
      <c r="D248" s="275"/>
      <c r="E248" s="275"/>
      <c r="F248" s="275"/>
      <c r="G248" s="275"/>
      <c r="H248" s="275"/>
      <c r="I248" s="275"/>
      <c r="J248" s="275"/>
      <c r="K248" s="275"/>
      <c r="L248" s="275"/>
      <c r="M248" s="275"/>
      <c r="N248" s="275"/>
      <c r="O248" s="275"/>
      <c r="P248" s="275"/>
      <c r="Q248" s="275"/>
      <c r="R248" s="275"/>
      <c r="S248" s="275"/>
      <c r="T248" s="275"/>
      <c r="U248" s="275"/>
      <c r="V248" s="275"/>
      <c r="W248" s="275"/>
      <c r="X248" s="275"/>
      <c r="Y248" s="275"/>
      <c r="Z248" s="275"/>
    </row>
    <row r="249" spans="3:26">
      <c r="C249" s="275"/>
      <c r="D249" s="275"/>
      <c r="E249" s="275"/>
      <c r="F249" s="275"/>
      <c r="G249" s="275"/>
      <c r="H249" s="275"/>
      <c r="I249" s="275"/>
      <c r="J249" s="275"/>
      <c r="K249" s="275"/>
      <c r="L249" s="275"/>
      <c r="M249" s="275"/>
      <c r="N249" s="275"/>
      <c r="O249" s="275"/>
      <c r="P249" s="275"/>
      <c r="Q249" s="275"/>
      <c r="R249" s="275"/>
      <c r="S249" s="275"/>
      <c r="T249" s="275"/>
      <c r="U249" s="275"/>
      <c r="V249" s="275"/>
      <c r="W249" s="275"/>
      <c r="X249" s="275"/>
      <c r="Y249" s="275"/>
      <c r="Z249" s="275"/>
    </row>
    <row r="250" spans="3:26">
      <c r="C250" s="275"/>
      <c r="D250" s="275"/>
      <c r="E250" s="275"/>
      <c r="F250" s="275"/>
      <c r="G250" s="275"/>
      <c r="H250" s="275"/>
      <c r="I250" s="275"/>
      <c r="J250" s="275"/>
      <c r="K250" s="275"/>
      <c r="L250" s="275"/>
      <c r="M250" s="275"/>
      <c r="N250" s="275"/>
      <c r="O250" s="275"/>
      <c r="P250" s="275"/>
      <c r="Q250" s="275"/>
      <c r="R250" s="275"/>
      <c r="S250" s="275"/>
      <c r="T250" s="275"/>
      <c r="U250" s="275"/>
      <c r="V250" s="275"/>
      <c r="W250" s="275"/>
      <c r="X250" s="275"/>
      <c r="Y250" s="275"/>
      <c r="Z250" s="275"/>
    </row>
    <row r="251" spans="3:26">
      <c r="C251" s="275"/>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c r="Z251" s="275"/>
    </row>
    <row r="252" spans="3:26">
      <c r="C252" s="275"/>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row>
    <row r="253" spans="3:26">
      <c r="C253" s="275"/>
      <c r="D253" s="275"/>
      <c r="E253" s="275"/>
      <c r="F253" s="275"/>
      <c r="G253" s="275"/>
      <c r="H253" s="275"/>
      <c r="I253" s="275"/>
      <c r="J253" s="275"/>
      <c r="K253" s="275"/>
      <c r="L253" s="275"/>
      <c r="M253" s="275"/>
      <c r="N253" s="275"/>
      <c r="O253" s="275"/>
      <c r="P253" s="275"/>
      <c r="Q253" s="275"/>
      <c r="R253" s="275"/>
      <c r="S253" s="275"/>
      <c r="T253" s="275"/>
      <c r="U253" s="275"/>
      <c r="V253" s="275"/>
      <c r="W253" s="275"/>
      <c r="X253" s="275"/>
      <c r="Y253" s="275"/>
      <c r="Z253" s="275"/>
    </row>
    <row r="254" spans="3:26">
      <c r="C254" s="275"/>
      <c r="D254" s="275"/>
      <c r="E254" s="275"/>
      <c r="F254" s="275"/>
      <c r="G254" s="275"/>
      <c r="H254" s="275"/>
      <c r="I254" s="275"/>
      <c r="J254" s="275"/>
      <c r="K254" s="275"/>
      <c r="L254" s="275"/>
      <c r="M254" s="275"/>
      <c r="N254" s="275"/>
      <c r="O254" s="275"/>
      <c r="P254" s="275"/>
      <c r="Q254" s="275"/>
      <c r="R254" s="275"/>
      <c r="S254" s="275"/>
      <c r="T254" s="275"/>
      <c r="U254" s="275"/>
      <c r="V254" s="275"/>
      <c r="W254" s="275"/>
      <c r="X254" s="275"/>
      <c r="Y254" s="275"/>
      <c r="Z254" s="275"/>
    </row>
    <row r="255" spans="3:26">
      <c r="C255" s="275"/>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c r="Z255" s="275"/>
    </row>
    <row r="256" spans="3:26">
      <c r="C256" s="275"/>
      <c r="D256" s="275"/>
      <c r="E256" s="275"/>
      <c r="F256" s="275"/>
      <c r="G256" s="275"/>
      <c r="H256" s="275"/>
      <c r="I256" s="275"/>
      <c r="J256" s="275"/>
      <c r="K256" s="275"/>
      <c r="L256" s="275"/>
      <c r="M256" s="275"/>
      <c r="N256" s="275"/>
      <c r="O256" s="275"/>
      <c r="P256" s="275"/>
      <c r="Q256" s="275"/>
      <c r="R256" s="275"/>
      <c r="S256" s="275"/>
      <c r="T256" s="275"/>
      <c r="U256" s="275"/>
      <c r="V256" s="275"/>
      <c r="W256" s="275"/>
      <c r="X256" s="275"/>
      <c r="Y256" s="275"/>
      <c r="Z256" s="275"/>
    </row>
    <row r="257" spans="3:26">
      <c r="C257" s="275"/>
      <c r="D257" s="275"/>
      <c r="E257" s="275"/>
      <c r="F257" s="275"/>
      <c r="G257" s="275"/>
      <c r="H257" s="275"/>
      <c r="I257" s="275"/>
      <c r="J257" s="275"/>
      <c r="K257" s="275"/>
      <c r="L257" s="275"/>
      <c r="M257" s="275"/>
      <c r="N257" s="275"/>
      <c r="O257" s="275"/>
      <c r="P257" s="275"/>
      <c r="Q257" s="275"/>
      <c r="R257" s="275"/>
      <c r="S257" s="275"/>
      <c r="T257" s="275"/>
      <c r="U257" s="275"/>
      <c r="V257" s="275"/>
      <c r="W257" s="275"/>
      <c r="X257" s="275"/>
      <c r="Y257" s="275"/>
      <c r="Z257" s="275"/>
    </row>
    <row r="258" spans="3:26">
      <c r="C258" s="275"/>
      <c r="D258" s="275"/>
      <c r="E258" s="275"/>
      <c r="F258" s="275"/>
      <c r="G258" s="275"/>
      <c r="H258" s="275"/>
      <c r="I258" s="275"/>
      <c r="J258" s="275"/>
      <c r="K258" s="275"/>
      <c r="L258" s="275"/>
      <c r="M258" s="275"/>
      <c r="N258" s="275"/>
      <c r="O258" s="275"/>
      <c r="P258" s="275"/>
      <c r="Q258" s="275"/>
      <c r="R258" s="275"/>
      <c r="S258" s="275"/>
      <c r="T258" s="275"/>
      <c r="U258" s="275"/>
      <c r="V258" s="275"/>
      <c r="W258" s="275"/>
      <c r="X258" s="275"/>
      <c r="Y258" s="275"/>
      <c r="Z258" s="275"/>
    </row>
    <row r="259" spans="3:26">
      <c r="C259" s="275"/>
      <c r="D259" s="275"/>
      <c r="E259" s="275"/>
      <c r="F259" s="275"/>
      <c r="G259" s="275"/>
      <c r="H259" s="275"/>
      <c r="I259" s="275"/>
      <c r="J259" s="275"/>
      <c r="K259" s="275"/>
      <c r="L259" s="275"/>
      <c r="M259" s="275"/>
      <c r="N259" s="275"/>
      <c r="O259" s="275"/>
      <c r="P259" s="275"/>
      <c r="Q259" s="275"/>
      <c r="R259" s="275"/>
      <c r="S259" s="275"/>
      <c r="T259" s="275"/>
      <c r="U259" s="275"/>
      <c r="V259" s="275"/>
      <c r="W259" s="275"/>
      <c r="X259" s="275"/>
      <c r="Y259" s="275"/>
      <c r="Z259" s="275"/>
    </row>
    <row r="260" spans="3:26">
      <c r="C260" s="275"/>
      <c r="D260" s="275"/>
      <c r="E260" s="275"/>
      <c r="F260" s="275"/>
      <c r="G260" s="275"/>
      <c r="H260" s="275"/>
      <c r="I260" s="275"/>
      <c r="J260" s="275"/>
      <c r="K260" s="275"/>
      <c r="L260" s="275"/>
      <c r="M260" s="275"/>
      <c r="N260" s="275"/>
      <c r="O260" s="275"/>
      <c r="P260" s="275"/>
      <c r="Q260" s="275"/>
      <c r="R260" s="275"/>
      <c r="S260" s="275"/>
      <c r="T260" s="275"/>
      <c r="U260" s="275"/>
      <c r="V260" s="275"/>
      <c r="W260" s="275"/>
      <c r="X260" s="275"/>
      <c r="Y260" s="275"/>
      <c r="Z260" s="275"/>
    </row>
    <row r="261" spans="3:26">
      <c r="C261" s="275"/>
      <c r="D261" s="275"/>
      <c r="E261" s="275"/>
      <c r="F261" s="275"/>
      <c r="G261" s="275"/>
      <c r="H261" s="275"/>
      <c r="I261" s="275"/>
      <c r="J261" s="275"/>
      <c r="K261" s="275"/>
      <c r="L261" s="275"/>
      <c r="M261" s="275"/>
      <c r="N261" s="275"/>
      <c r="O261" s="275"/>
      <c r="P261" s="275"/>
      <c r="Q261" s="275"/>
      <c r="R261" s="275"/>
      <c r="S261" s="275"/>
      <c r="T261" s="275"/>
      <c r="U261" s="275"/>
      <c r="V261" s="275"/>
      <c r="W261" s="275"/>
      <c r="X261" s="275"/>
      <c r="Y261" s="275"/>
      <c r="Z261" s="275"/>
    </row>
    <row r="262" spans="3:26">
      <c r="C262" s="275"/>
      <c r="D262" s="275"/>
      <c r="E262" s="275"/>
      <c r="F262" s="275"/>
      <c r="G262" s="275"/>
      <c r="H262" s="275"/>
      <c r="I262" s="275"/>
      <c r="J262" s="275"/>
      <c r="K262" s="275"/>
      <c r="L262" s="275"/>
      <c r="M262" s="275"/>
      <c r="N262" s="275"/>
      <c r="O262" s="275"/>
      <c r="P262" s="275"/>
      <c r="Q262" s="275"/>
      <c r="R262" s="275"/>
      <c r="S262" s="275"/>
      <c r="T262" s="275"/>
      <c r="U262" s="275"/>
      <c r="V262" s="275"/>
      <c r="W262" s="275"/>
      <c r="X262" s="275"/>
      <c r="Y262" s="275"/>
      <c r="Z262" s="275"/>
    </row>
    <row r="263" spans="3:26">
      <c r="C263" s="275"/>
      <c r="D263" s="275"/>
      <c r="E263" s="275"/>
      <c r="F263" s="275"/>
      <c r="G263" s="275"/>
      <c r="H263" s="275"/>
      <c r="I263" s="275"/>
      <c r="J263" s="275"/>
      <c r="K263" s="275"/>
      <c r="L263" s="275"/>
      <c r="M263" s="275"/>
      <c r="N263" s="275"/>
      <c r="O263" s="275"/>
      <c r="P263" s="275"/>
      <c r="Q263" s="275"/>
      <c r="R263" s="275"/>
      <c r="S263" s="275"/>
      <c r="T263" s="275"/>
      <c r="U263" s="275"/>
      <c r="V263" s="275"/>
      <c r="W263" s="275"/>
      <c r="X263" s="275"/>
      <c r="Y263" s="275"/>
      <c r="Z263" s="275"/>
    </row>
    <row r="264" spans="3:26">
      <c r="C264" s="275"/>
      <c r="D264" s="275"/>
      <c r="E264" s="275"/>
      <c r="F264" s="275"/>
      <c r="G264" s="275"/>
      <c r="H264" s="275"/>
      <c r="I264" s="275"/>
      <c r="J264" s="275"/>
      <c r="K264" s="275"/>
      <c r="L264" s="275"/>
      <c r="M264" s="275"/>
      <c r="N264" s="275"/>
      <c r="O264" s="275"/>
      <c r="P264" s="275"/>
      <c r="Q264" s="275"/>
      <c r="R264" s="275"/>
      <c r="S264" s="275"/>
      <c r="T264" s="275"/>
      <c r="U264" s="275"/>
      <c r="V264" s="275"/>
      <c r="W264" s="275"/>
      <c r="X264" s="275"/>
      <c r="Y264" s="275"/>
      <c r="Z264" s="275"/>
    </row>
    <row r="265" spans="3:26">
      <c r="C265" s="275"/>
      <c r="D265" s="275"/>
      <c r="E265" s="275"/>
      <c r="F265" s="275"/>
      <c r="G265" s="275"/>
      <c r="H265" s="275"/>
      <c r="I265" s="275"/>
      <c r="J265" s="275"/>
      <c r="K265" s="275"/>
      <c r="L265" s="275"/>
      <c r="M265" s="275"/>
      <c r="N265" s="275"/>
      <c r="O265" s="275"/>
      <c r="P265" s="275"/>
      <c r="Q265" s="275"/>
      <c r="R265" s="275"/>
      <c r="S265" s="275"/>
      <c r="T265" s="275"/>
      <c r="U265" s="275"/>
      <c r="V265" s="275"/>
      <c r="W265" s="275"/>
      <c r="X265" s="275"/>
      <c r="Y265" s="275"/>
      <c r="Z265" s="275"/>
    </row>
    <row r="266" spans="3:26">
      <c r="C266" s="275"/>
      <c r="D266" s="275"/>
      <c r="E266" s="275"/>
      <c r="F266" s="275"/>
      <c r="G266" s="275"/>
      <c r="H266" s="275"/>
      <c r="I266" s="275"/>
      <c r="J266" s="275"/>
      <c r="K266" s="275"/>
      <c r="L266" s="275"/>
      <c r="M266" s="275"/>
      <c r="N266" s="275"/>
      <c r="O266" s="275"/>
      <c r="P266" s="275"/>
      <c r="Q266" s="275"/>
      <c r="R266" s="275"/>
      <c r="S266" s="275"/>
      <c r="T266" s="275"/>
      <c r="U266" s="275"/>
      <c r="V266" s="275"/>
      <c r="W266" s="275"/>
      <c r="X266" s="275"/>
      <c r="Y266" s="275"/>
      <c r="Z266" s="275"/>
    </row>
    <row r="267" spans="3:26">
      <c r="C267" s="275"/>
      <c r="D267" s="275"/>
      <c r="E267" s="275"/>
      <c r="F267" s="275"/>
      <c r="G267" s="275"/>
      <c r="H267" s="275"/>
      <c r="I267" s="275"/>
      <c r="J267" s="275"/>
      <c r="K267" s="275"/>
      <c r="L267" s="275"/>
      <c r="M267" s="275"/>
      <c r="N267" s="275"/>
      <c r="O267" s="275"/>
      <c r="P267" s="275"/>
      <c r="Q267" s="275"/>
      <c r="R267" s="275"/>
      <c r="S267" s="275"/>
      <c r="T267" s="275"/>
      <c r="U267" s="275"/>
      <c r="V267" s="275"/>
      <c r="W267" s="275"/>
      <c r="X267" s="275"/>
      <c r="Y267" s="275"/>
      <c r="Z267" s="275"/>
    </row>
    <row r="268" spans="3:26">
      <c r="C268" s="275"/>
      <c r="D268" s="275"/>
      <c r="E268" s="275"/>
      <c r="F268" s="275"/>
      <c r="G268" s="275"/>
      <c r="H268" s="275"/>
      <c r="I268" s="275"/>
      <c r="J268" s="275"/>
      <c r="K268" s="275"/>
      <c r="L268" s="275"/>
      <c r="M268" s="275"/>
      <c r="N268" s="275"/>
      <c r="O268" s="275"/>
      <c r="P268" s="275"/>
      <c r="Q268" s="275"/>
      <c r="R268" s="275"/>
      <c r="S268" s="275"/>
      <c r="T268" s="275"/>
      <c r="U268" s="275"/>
      <c r="V268" s="275"/>
      <c r="W268" s="275"/>
      <c r="X268" s="275"/>
      <c r="Y268" s="275"/>
      <c r="Z268" s="275"/>
    </row>
    <row r="269" spans="3:26">
      <c r="C269" s="275"/>
      <c r="D269" s="275"/>
      <c r="E269" s="275"/>
      <c r="F269" s="275"/>
      <c r="G269" s="275"/>
      <c r="H269" s="275"/>
      <c r="I269" s="275"/>
      <c r="J269" s="275"/>
      <c r="K269" s="275"/>
      <c r="L269" s="275"/>
      <c r="M269" s="275"/>
      <c r="N269" s="275"/>
      <c r="O269" s="275"/>
      <c r="P269" s="275"/>
      <c r="Q269" s="275"/>
      <c r="R269" s="275"/>
      <c r="S269" s="275"/>
      <c r="T269" s="275"/>
      <c r="U269" s="275"/>
      <c r="V269" s="275"/>
      <c r="W269" s="275"/>
      <c r="X269" s="275"/>
      <c r="Y269" s="275"/>
      <c r="Z269" s="275"/>
    </row>
    <row r="270" spans="3:26">
      <c r="C270" s="275"/>
      <c r="D270" s="275"/>
      <c r="E270" s="275"/>
      <c r="F270" s="275"/>
      <c r="G270" s="275"/>
      <c r="H270" s="275"/>
      <c r="I270" s="275"/>
      <c r="J270" s="275"/>
      <c r="K270" s="275"/>
      <c r="L270" s="275"/>
      <c r="M270" s="275"/>
      <c r="N270" s="275"/>
      <c r="O270" s="275"/>
      <c r="P270" s="275"/>
      <c r="Q270" s="275"/>
      <c r="R270" s="275"/>
      <c r="S270" s="275"/>
      <c r="T270" s="275"/>
      <c r="U270" s="275"/>
      <c r="V270" s="275"/>
      <c r="W270" s="275"/>
      <c r="X270" s="275"/>
      <c r="Y270" s="275"/>
      <c r="Z270" s="275"/>
    </row>
    <row r="271" spans="3:26">
      <c r="C271" s="275"/>
      <c r="D271" s="275"/>
      <c r="E271" s="275"/>
      <c r="F271" s="275"/>
      <c r="G271" s="275"/>
      <c r="H271" s="275"/>
      <c r="I271" s="275"/>
      <c r="J271" s="275"/>
      <c r="K271" s="275"/>
      <c r="L271" s="275"/>
      <c r="M271" s="275"/>
      <c r="N271" s="275"/>
      <c r="O271" s="275"/>
      <c r="P271" s="275"/>
      <c r="Q271" s="275"/>
      <c r="R271" s="275"/>
      <c r="S271" s="275"/>
      <c r="T271" s="275"/>
      <c r="U271" s="275"/>
      <c r="V271" s="275"/>
      <c r="W271" s="275"/>
      <c r="X271" s="275"/>
      <c r="Y271" s="275"/>
      <c r="Z271" s="275"/>
    </row>
    <row r="272" spans="3:26">
      <c r="C272" s="275"/>
      <c r="D272" s="275"/>
      <c r="E272" s="275"/>
      <c r="F272" s="275"/>
      <c r="G272" s="275"/>
      <c r="H272" s="275"/>
      <c r="I272" s="275"/>
      <c r="J272" s="275"/>
      <c r="K272" s="275"/>
      <c r="L272" s="275"/>
      <c r="M272" s="275"/>
      <c r="N272" s="275"/>
      <c r="O272" s="275"/>
      <c r="P272" s="275"/>
      <c r="Q272" s="275"/>
      <c r="R272" s="275"/>
      <c r="S272" s="275"/>
      <c r="T272" s="275"/>
      <c r="U272" s="275"/>
      <c r="V272" s="275"/>
      <c r="W272" s="275"/>
      <c r="X272" s="275"/>
      <c r="Y272" s="275"/>
      <c r="Z272" s="275"/>
    </row>
    <row r="273" spans="3:26">
      <c r="C273" s="275"/>
      <c r="D273" s="275"/>
      <c r="E273" s="275"/>
      <c r="F273" s="275"/>
      <c r="G273" s="275"/>
      <c r="H273" s="275"/>
      <c r="I273" s="275"/>
      <c r="J273" s="275"/>
      <c r="K273" s="275"/>
      <c r="L273" s="275"/>
      <c r="M273" s="275"/>
      <c r="N273" s="275"/>
      <c r="O273" s="275"/>
      <c r="P273" s="275"/>
      <c r="Q273" s="275"/>
      <c r="R273" s="275"/>
      <c r="S273" s="275"/>
      <c r="T273" s="275"/>
      <c r="U273" s="275"/>
      <c r="V273" s="275"/>
      <c r="W273" s="275"/>
      <c r="X273" s="275"/>
      <c r="Y273" s="275"/>
      <c r="Z273" s="275"/>
    </row>
    <row r="274" spans="3:26">
      <c r="C274" s="275"/>
      <c r="D274" s="275"/>
      <c r="E274" s="275"/>
      <c r="F274" s="275"/>
      <c r="G274" s="275"/>
      <c r="H274" s="275"/>
      <c r="I274" s="275"/>
      <c r="J274" s="275"/>
      <c r="K274" s="275"/>
      <c r="L274" s="275"/>
      <c r="M274" s="275"/>
      <c r="N274" s="275"/>
      <c r="O274" s="275"/>
      <c r="P274" s="275"/>
      <c r="Q274" s="275"/>
      <c r="R274" s="275"/>
      <c r="S274" s="275"/>
      <c r="T274" s="275"/>
      <c r="U274" s="275"/>
      <c r="V274" s="275"/>
      <c r="W274" s="275"/>
      <c r="X274" s="275"/>
      <c r="Y274" s="275"/>
      <c r="Z274" s="275"/>
    </row>
    <row r="275" spans="3:26">
      <c r="C275" s="275"/>
      <c r="D275" s="275"/>
      <c r="E275" s="275"/>
      <c r="F275" s="275"/>
      <c r="G275" s="275"/>
      <c r="H275" s="275"/>
      <c r="I275" s="275"/>
      <c r="J275" s="275"/>
      <c r="K275" s="275"/>
      <c r="L275" s="275"/>
      <c r="M275" s="275"/>
      <c r="N275" s="275"/>
      <c r="O275" s="275"/>
      <c r="P275" s="275"/>
      <c r="Q275" s="275"/>
      <c r="R275" s="275"/>
      <c r="S275" s="275"/>
      <c r="T275" s="275"/>
      <c r="U275" s="275"/>
      <c r="V275" s="275"/>
      <c r="W275" s="275"/>
      <c r="X275" s="275"/>
      <c r="Y275" s="275"/>
      <c r="Z275" s="275"/>
    </row>
    <row r="276" spans="3:26">
      <c r="C276" s="275"/>
      <c r="D276" s="275"/>
      <c r="E276" s="275"/>
      <c r="F276" s="275"/>
      <c r="G276" s="275"/>
      <c r="H276" s="275"/>
      <c r="I276" s="275"/>
      <c r="J276" s="275"/>
      <c r="K276" s="275"/>
      <c r="L276" s="275"/>
      <c r="M276" s="275"/>
      <c r="N276" s="275"/>
      <c r="O276" s="275"/>
      <c r="P276" s="275"/>
      <c r="Q276" s="275"/>
      <c r="R276" s="275"/>
      <c r="S276" s="275"/>
      <c r="T276" s="275"/>
      <c r="U276" s="275"/>
      <c r="V276" s="275"/>
      <c r="W276" s="275"/>
      <c r="X276" s="275"/>
      <c r="Y276" s="275"/>
      <c r="Z276" s="275"/>
    </row>
    <row r="277" spans="3:26">
      <c r="C277" s="275"/>
      <c r="D277" s="275"/>
      <c r="E277" s="275"/>
      <c r="F277" s="275"/>
      <c r="G277" s="275"/>
      <c r="H277" s="275"/>
      <c r="I277" s="275"/>
      <c r="J277" s="275"/>
      <c r="K277" s="275"/>
      <c r="L277" s="275"/>
      <c r="M277" s="275"/>
      <c r="N277" s="275"/>
      <c r="O277" s="275"/>
      <c r="P277" s="275"/>
      <c r="Q277" s="275"/>
      <c r="R277" s="275"/>
      <c r="S277" s="275"/>
      <c r="T277" s="275"/>
      <c r="U277" s="275"/>
      <c r="V277" s="275"/>
      <c r="W277" s="275"/>
      <c r="X277" s="275"/>
      <c r="Y277" s="275"/>
      <c r="Z277" s="275"/>
    </row>
    <row r="278" spans="3:26">
      <c r="C278" s="275"/>
      <c r="D278" s="275"/>
      <c r="E278" s="275"/>
      <c r="F278" s="275"/>
      <c r="G278" s="275"/>
      <c r="H278" s="275"/>
      <c r="I278" s="275"/>
      <c r="J278" s="275"/>
      <c r="K278" s="275"/>
      <c r="L278" s="275"/>
      <c r="M278" s="275"/>
      <c r="N278" s="275"/>
      <c r="O278" s="275"/>
      <c r="P278" s="275"/>
      <c r="Q278" s="275"/>
      <c r="R278" s="275"/>
      <c r="S278" s="275"/>
      <c r="T278" s="275"/>
      <c r="U278" s="275"/>
      <c r="V278" s="275"/>
      <c r="W278" s="275"/>
      <c r="X278" s="275"/>
      <c r="Y278" s="275"/>
      <c r="Z278" s="275"/>
    </row>
    <row r="279" spans="3:26">
      <c r="C279" s="275"/>
      <c r="D279" s="275"/>
      <c r="E279" s="275"/>
      <c r="F279" s="275"/>
      <c r="G279" s="275"/>
      <c r="H279" s="275"/>
      <c r="I279" s="275"/>
      <c r="J279" s="275"/>
      <c r="K279" s="275"/>
      <c r="L279" s="275"/>
      <c r="M279" s="275"/>
      <c r="N279" s="275"/>
      <c r="O279" s="275"/>
      <c r="P279" s="275"/>
      <c r="Q279" s="275"/>
      <c r="R279" s="275"/>
      <c r="S279" s="275"/>
      <c r="T279" s="275"/>
      <c r="U279" s="275"/>
      <c r="V279" s="275"/>
      <c r="W279" s="275"/>
      <c r="X279" s="275"/>
      <c r="Y279" s="275"/>
      <c r="Z279" s="275"/>
    </row>
    <row r="280" spans="3:26">
      <c r="C280" s="275"/>
      <c r="D280" s="275"/>
      <c r="E280" s="275"/>
      <c r="F280" s="275"/>
      <c r="G280" s="275"/>
      <c r="H280" s="275"/>
      <c r="I280" s="275"/>
      <c r="J280" s="275"/>
      <c r="K280" s="275"/>
      <c r="L280" s="275"/>
      <c r="M280" s="275"/>
      <c r="N280" s="275"/>
      <c r="O280" s="275"/>
      <c r="P280" s="275"/>
      <c r="Q280" s="275"/>
      <c r="R280" s="275"/>
      <c r="S280" s="275"/>
      <c r="T280" s="275"/>
      <c r="U280" s="275"/>
      <c r="V280" s="275"/>
      <c r="W280" s="275"/>
      <c r="X280" s="275"/>
      <c r="Y280" s="275"/>
      <c r="Z280" s="275"/>
    </row>
    <row r="281" spans="3:26">
      <c r="C281" s="275"/>
      <c r="D281" s="275"/>
      <c r="E281" s="275"/>
      <c r="F281" s="275"/>
      <c r="G281" s="275"/>
      <c r="H281" s="275"/>
      <c r="I281" s="275"/>
      <c r="J281" s="275"/>
      <c r="K281" s="275"/>
      <c r="L281" s="275"/>
      <c r="M281" s="275"/>
      <c r="N281" s="275"/>
      <c r="O281" s="275"/>
      <c r="P281" s="275"/>
      <c r="Q281" s="275"/>
      <c r="R281" s="275"/>
      <c r="S281" s="275"/>
      <c r="T281" s="275"/>
      <c r="U281" s="275"/>
      <c r="V281" s="275"/>
      <c r="W281" s="275"/>
      <c r="X281" s="275"/>
      <c r="Y281" s="275"/>
      <c r="Z281" s="275"/>
    </row>
    <row r="282" spans="3:26">
      <c r="C282" s="275"/>
      <c r="D282" s="275"/>
      <c r="E282" s="275"/>
      <c r="F282" s="275"/>
      <c r="G282" s="275"/>
      <c r="H282" s="275"/>
      <c r="I282" s="275"/>
      <c r="J282" s="275"/>
      <c r="K282" s="275"/>
      <c r="L282" s="275"/>
      <c r="M282" s="275"/>
      <c r="N282" s="275"/>
      <c r="O282" s="275"/>
      <c r="P282" s="275"/>
      <c r="Q282" s="275"/>
      <c r="R282" s="275"/>
      <c r="S282" s="275"/>
      <c r="T282" s="275"/>
      <c r="U282" s="275"/>
      <c r="V282" s="275"/>
      <c r="W282" s="275"/>
      <c r="X282" s="275"/>
      <c r="Y282" s="275"/>
      <c r="Z282" s="275"/>
    </row>
    <row r="283" spans="3:26">
      <c r="C283" s="275"/>
      <c r="D283" s="275"/>
      <c r="E283" s="275"/>
      <c r="F283" s="275"/>
      <c r="G283" s="275"/>
      <c r="H283" s="275"/>
      <c r="I283" s="275"/>
      <c r="J283" s="275"/>
      <c r="K283" s="275"/>
      <c r="L283" s="275"/>
      <c r="M283" s="275"/>
      <c r="N283" s="275"/>
      <c r="O283" s="275"/>
      <c r="P283" s="275"/>
      <c r="Q283" s="275"/>
      <c r="R283" s="275"/>
      <c r="S283" s="275"/>
      <c r="T283" s="275"/>
      <c r="U283" s="275"/>
      <c r="V283" s="275"/>
      <c r="W283" s="275"/>
      <c r="X283" s="275"/>
      <c r="Y283" s="275"/>
      <c r="Z283" s="275"/>
    </row>
    <row r="284" spans="3:26">
      <c r="C284" s="275"/>
      <c r="D284" s="275"/>
      <c r="E284" s="275"/>
      <c r="F284" s="275"/>
      <c r="G284" s="275"/>
      <c r="H284" s="275"/>
      <c r="I284" s="275"/>
      <c r="J284" s="275"/>
      <c r="K284" s="275"/>
      <c r="L284" s="275"/>
      <c r="M284" s="275"/>
      <c r="N284" s="275"/>
      <c r="O284" s="275"/>
      <c r="P284" s="275"/>
      <c r="Q284" s="275"/>
      <c r="R284" s="275"/>
      <c r="S284" s="275"/>
      <c r="T284" s="275"/>
      <c r="U284" s="275"/>
      <c r="V284" s="275"/>
      <c r="W284" s="275"/>
      <c r="X284" s="275"/>
      <c r="Y284" s="275"/>
      <c r="Z284" s="275"/>
    </row>
    <row r="285" spans="3:26">
      <c r="C285" s="275"/>
      <c r="D285" s="275"/>
      <c r="E285" s="275"/>
      <c r="F285" s="275"/>
      <c r="G285" s="275"/>
      <c r="H285" s="275"/>
      <c r="I285" s="275"/>
      <c r="J285" s="275"/>
      <c r="K285" s="275"/>
      <c r="L285" s="275"/>
      <c r="M285" s="275"/>
      <c r="N285" s="275"/>
      <c r="O285" s="275"/>
      <c r="P285" s="275"/>
      <c r="Q285" s="275"/>
      <c r="R285" s="275"/>
      <c r="S285" s="275"/>
      <c r="T285" s="275"/>
      <c r="U285" s="275"/>
      <c r="V285" s="275"/>
      <c r="W285" s="275"/>
      <c r="X285" s="275"/>
      <c r="Y285" s="275"/>
      <c r="Z285" s="275"/>
    </row>
    <row r="286" spans="3:26">
      <c r="C286" s="275"/>
      <c r="D286" s="275"/>
      <c r="E286" s="275"/>
      <c r="F286" s="275"/>
      <c r="G286" s="275"/>
      <c r="H286" s="275"/>
      <c r="I286" s="275"/>
      <c r="J286" s="275"/>
      <c r="K286" s="275"/>
      <c r="L286" s="275"/>
      <c r="M286" s="275"/>
      <c r="N286" s="275"/>
      <c r="O286" s="275"/>
      <c r="P286" s="275"/>
      <c r="Q286" s="275"/>
      <c r="R286" s="275"/>
      <c r="S286" s="275"/>
      <c r="T286" s="275"/>
      <c r="U286" s="275"/>
      <c r="V286" s="275"/>
      <c r="W286" s="275"/>
      <c r="X286" s="275"/>
      <c r="Y286" s="275"/>
      <c r="Z286" s="275"/>
    </row>
    <row r="287" spans="3:26">
      <c r="C287" s="275"/>
      <c r="D287" s="275"/>
      <c r="E287" s="275"/>
      <c r="F287" s="275"/>
      <c r="G287" s="275"/>
      <c r="H287" s="275"/>
      <c r="I287" s="275"/>
      <c r="J287" s="275"/>
      <c r="K287" s="275"/>
      <c r="L287" s="275"/>
      <c r="M287" s="275"/>
      <c r="N287" s="275"/>
      <c r="O287" s="275"/>
      <c r="P287" s="275"/>
      <c r="Q287" s="275"/>
      <c r="R287" s="275"/>
      <c r="S287" s="275"/>
      <c r="T287" s="275"/>
      <c r="U287" s="275"/>
      <c r="V287" s="275"/>
      <c r="W287" s="275"/>
      <c r="X287" s="275"/>
      <c r="Y287" s="275"/>
      <c r="Z287" s="275"/>
    </row>
    <row r="288" spans="3:26">
      <c r="C288" s="275"/>
      <c r="D288" s="275"/>
      <c r="E288" s="275"/>
      <c r="F288" s="275"/>
      <c r="G288" s="275"/>
      <c r="H288" s="275"/>
      <c r="I288" s="275"/>
      <c r="J288" s="275"/>
      <c r="K288" s="275"/>
      <c r="L288" s="275"/>
      <c r="M288" s="275"/>
      <c r="N288" s="275"/>
      <c r="O288" s="275"/>
      <c r="P288" s="275"/>
      <c r="Q288" s="275"/>
      <c r="R288" s="275"/>
      <c r="S288" s="275"/>
      <c r="T288" s="275"/>
      <c r="U288" s="275"/>
      <c r="V288" s="275"/>
      <c r="W288" s="275"/>
      <c r="X288" s="275"/>
      <c r="Y288" s="275"/>
      <c r="Z288" s="275"/>
    </row>
    <row r="289" spans="3:26">
      <c r="C289" s="275"/>
      <c r="D289" s="275"/>
      <c r="E289" s="275"/>
      <c r="F289" s="275"/>
      <c r="G289" s="275"/>
      <c r="H289" s="275"/>
      <c r="I289" s="275"/>
      <c r="J289" s="275"/>
      <c r="K289" s="275"/>
      <c r="L289" s="275"/>
      <c r="M289" s="275"/>
      <c r="N289" s="275"/>
      <c r="O289" s="275"/>
      <c r="P289" s="275"/>
      <c r="Q289" s="275"/>
      <c r="R289" s="275"/>
      <c r="S289" s="275"/>
      <c r="T289" s="275"/>
      <c r="U289" s="275"/>
      <c r="V289" s="275"/>
      <c r="W289" s="275"/>
      <c r="X289" s="275"/>
      <c r="Y289" s="275"/>
      <c r="Z289" s="275"/>
    </row>
    <row r="290" spans="3:26">
      <c r="C290" s="275"/>
      <c r="D290" s="275"/>
      <c r="E290" s="275"/>
      <c r="F290" s="275"/>
      <c r="G290" s="275"/>
      <c r="H290" s="275"/>
      <c r="I290" s="275"/>
      <c r="J290" s="275"/>
      <c r="K290" s="275"/>
      <c r="L290" s="275"/>
      <c r="M290" s="275"/>
      <c r="N290" s="275"/>
      <c r="O290" s="275"/>
      <c r="P290" s="275"/>
      <c r="Q290" s="275"/>
      <c r="R290" s="275"/>
      <c r="S290" s="275"/>
      <c r="T290" s="275"/>
      <c r="U290" s="275"/>
      <c r="V290" s="275"/>
      <c r="W290" s="275"/>
      <c r="X290" s="275"/>
      <c r="Y290" s="275"/>
      <c r="Z290" s="275"/>
    </row>
    <row r="291" spans="3:26">
      <c r="C291" s="275"/>
      <c r="D291" s="275"/>
      <c r="E291" s="275"/>
      <c r="F291" s="275"/>
      <c r="G291" s="275"/>
      <c r="H291" s="275"/>
      <c r="I291" s="275"/>
      <c r="J291" s="275"/>
      <c r="K291" s="275"/>
      <c r="L291" s="275"/>
      <c r="M291" s="275"/>
      <c r="N291" s="275"/>
      <c r="O291" s="275"/>
      <c r="P291" s="275"/>
      <c r="Q291" s="275"/>
      <c r="R291" s="275"/>
      <c r="S291" s="275"/>
      <c r="T291" s="275"/>
      <c r="U291" s="275"/>
      <c r="V291" s="275"/>
      <c r="W291" s="275"/>
      <c r="X291" s="275"/>
      <c r="Y291" s="275"/>
      <c r="Z291" s="275"/>
    </row>
    <row r="292" spans="3:26">
      <c r="C292" s="275"/>
      <c r="D292" s="275"/>
      <c r="E292" s="275"/>
      <c r="F292" s="275"/>
      <c r="G292" s="275"/>
      <c r="H292" s="275"/>
      <c r="I292" s="275"/>
      <c r="J292" s="275"/>
      <c r="K292" s="275"/>
      <c r="L292" s="275"/>
      <c r="M292" s="275"/>
      <c r="N292" s="275"/>
      <c r="O292" s="275"/>
      <c r="P292" s="275"/>
      <c r="Q292" s="275"/>
      <c r="R292" s="275"/>
      <c r="S292" s="275"/>
      <c r="T292" s="275"/>
      <c r="U292" s="275"/>
      <c r="V292" s="275"/>
      <c r="W292" s="275"/>
      <c r="X292" s="275"/>
      <c r="Y292" s="275"/>
      <c r="Z292" s="275"/>
    </row>
    <row r="293" spans="3:26">
      <c r="C293" s="275"/>
      <c r="D293" s="275"/>
      <c r="E293" s="275"/>
      <c r="F293" s="275"/>
      <c r="G293" s="275"/>
      <c r="H293" s="275"/>
      <c r="I293" s="275"/>
      <c r="J293" s="275"/>
      <c r="K293" s="275"/>
      <c r="L293" s="275"/>
      <c r="M293" s="275"/>
      <c r="N293" s="275"/>
      <c r="O293" s="275"/>
      <c r="P293" s="275"/>
      <c r="Q293" s="275"/>
      <c r="R293" s="275"/>
      <c r="S293" s="275"/>
      <c r="T293" s="275"/>
      <c r="U293" s="275"/>
      <c r="V293" s="275"/>
      <c r="W293" s="275"/>
      <c r="X293" s="275"/>
      <c r="Y293" s="275"/>
      <c r="Z293" s="275"/>
    </row>
    <row r="294" spans="3:26">
      <c r="C294" s="275"/>
      <c r="D294" s="275"/>
      <c r="E294" s="275"/>
      <c r="F294" s="275"/>
      <c r="G294" s="275"/>
      <c r="H294" s="275"/>
      <c r="I294" s="275"/>
      <c r="J294" s="275"/>
      <c r="K294" s="275"/>
      <c r="L294" s="275"/>
      <c r="M294" s="275"/>
      <c r="N294" s="275"/>
      <c r="O294" s="275"/>
      <c r="P294" s="275"/>
      <c r="Q294" s="275"/>
      <c r="R294" s="275"/>
      <c r="S294" s="275"/>
      <c r="T294" s="275"/>
      <c r="U294" s="275"/>
      <c r="V294" s="275"/>
      <c r="W294" s="275"/>
      <c r="X294" s="275"/>
      <c r="Y294" s="275"/>
      <c r="Z294" s="275"/>
    </row>
    <row r="295" spans="3:26">
      <c r="C295" s="275"/>
      <c r="D295" s="275"/>
      <c r="E295" s="275"/>
      <c r="F295" s="275"/>
      <c r="G295" s="275"/>
      <c r="H295" s="275"/>
      <c r="I295" s="275"/>
      <c r="J295" s="275"/>
      <c r="K295" s="275"/>
      <c r="L295" s="275"/>
      <c r="M295" s="275"/>
      <c r="N295" s="275"/>
      <c r="O295" s="275"/>
      <c r="P295" s="275"/>
      <c r="Q295" s="275"/>
      <c r="R295" s="275"/>
      <c r="S295" s="275"/>
      <c r="T295" s="275"/>
      <c r="U295" s="275"/>
      <c r="V295" s="275"/>
      <c r="W295" s="275"/>
      <c r="X295" s="275"/>
      <c r="Y295" s="275"/>
      <c r="Z295" s="275"/>
    </row>
    <row r="296" spans="3:26">
      <c r="C296" s="275"/>
      <c r="D296" s="275"/>
      <c r="E296" s="275"/>
      <c r="F296" s="275"/>
      <c r="G296" s="275"/>
      <c r="H296" s="275"/>
      <c r="I296" s="275"/>
      <c r="J296" s="275"/>
      <c r="K296" s="275"/>
      <c r="L296" s="275"/>
      <c r="M296" s="275"/>
      <c r="N296" s="275"/>
      <c r="O296" s="275"/>
      <c r="P296" s="275"/>
      <c r="Q296" s="275"/>
      <c r="R296" s="275"/>
      <c r="S296" s="275"/>
      <c r="T296" s="275"/>
      <c r="U296" s="275"/>
      <c r="V296" s="275"/>
      <c r="W296" s="275"/>
      <c r="X296" s="275"/>
      <c r="Y296" s="275"/>
      <c r="Z296" s="275"/>
    </row>
    <row r="297" spans="3:26">
      <c r="C297" s="275"/>
      <c r="D297" s="275"/>
      <c r="E297" s="275"/>
      <c r="F297" s="275"/>
      <c r="G297" s="275"/>
      <c r="H297" s="275"/>
      <c r="I297" s="275"/>
      <c r="J297" s="275"/>
      <c r="K297" s="275"/>
      <c r="L297" s="275"/>
      <c r="M297" s="275"/>
      <c r="N297" s="275"/>
      <c r="O297" s="275"/>
      <c r="P297" s="275"/>
      <c r="Q297" s="275"/>
      <c r="R297" s="275"/>
      <c r="S297" s="275"/>
      <c r="T297" s="275"/>
      <c r="U297" s="275"/>
      <c r="V297" s="275"/>
      <c r="W297" s="275"/>
      <c r="X297" s="275"/>
      <c r="Y297" s="275"/>
      <c r="Z297" s="275"/>
    </row>
    <row r="298" spans="3:26">
      <c r="C298" s="275"/>
      <c r="D298" s="275"/>
      <c r="E298" s="275"/>
      <c r="F298" s="275"/>
      <c r="G298" s="275"/>
      <c r="H298" s="275"/>
      <c r="I298" s="275"/>
      <c r="J298" s="275"/>
      <c r="K298" s="275"/>
      <c r="L298" s="275"/>
      <c r="M298" s="275"/>
      <c r="N298" s="275"/>
      <c r="O298" s="275"/>
      <c r="P298" s="275"/>
      <c r="Q298" s="275"/>
      <c r="R298" s="275"/>
      <c r="S298" s="275"/>
      <c r="T298" s="275"/>
      <c r="U298" s="275"/>
      <c r="V298" s="275"/>
      <c r="W298" s="275"/>
      <c r="X298" s="275"/>
      <c r="Y298" s="275"/>
      <c r="Z298" s="275"/>
    </row>
    <row r="299" spans="3:26">
      <c r="C299" s="275"/>
      <c r="D299" s="275"/>
      <c r="E299" s="275"/>
      <c r="F299" s="275"/>
      <c r="G299" s="275"/>
      <c r="H299" s="275"/>
      <c r="I299" s="275"/>
      <c r="J299" s="275"/>
      <c r="K299" s="275"/>
      <c r="L299" s="275"/>
      <c r="M299" s="275"/>
      <c r="N299" s="275"/>
      <c r="O299" s="275"/>
      <c r="P299" s="275"/>
      <c r="Q299" s="275"/>
      <c r="R299" s="275"/>
      <c r="S299" s="275"/>
      <c r="T299" s="275"/>
      <c r="U299" s="275"/>
      <c r="V299" s="275"/>
      <c r="W299" s="275"/>
      <c r="X299" s="275"/>
      <c r="Y299" s="275"/>
      <c r="Z299" s="275"/>
    </row>
    <row r="300" spans="3:26">
      <c r="C300" s="275"/>
      <c r="D300" s="275"/>
      <c r="E300" s="275"/>
      <c r="F300" s="275"/>
      <c r="G300" s="275"/>
      <c r="H300" s="275"/>
      <c r="I300" s="275"/>
      <c r="J300" s="275"/>
      <c r="K300" s="275"/>
      <c r="L300" s="275"/>
      <c r="M300" s="275"/>
      <c r="N300" s="275"/>
      <c r="O300" s="275"/>
      <c r="P300" s="275"/>
      <c r="Q300" s="275"/>
      <c r="R300" s="275"/>
      <c r="S300" s="275"/>
      <c r="T300" s="275"/>
      <c r="U300" s="275"/>
      <c r="V300" s="275"/>
      <c r="W300" s="275"/>
      <c r="X300" s="275"/>
      <c r="Y300" s="275"/>
      <c r="Z300" s="275"/>
    </row>
    <row r="301" spans="3:26">
      <c r="C301" s="275"/>
      <c r="D301" s="275"/>
      <c r="E301" s="275"/>
      <c r="F301" s="275"/>
      <c r="G301" s="275"/>
      <c r="H301" s="275"/>
      <c r="I301" s="275"/>
      <c r="J301" s="275"/>
      <c r="K301" s="275"/>
      <c r="L301" s="275"/>
      <c r="M301" s="275"/>
      <c r="N301" s="275"/>
      <c r="O301" s="275"/>
      <c r="P301" s="275"/>
      <c r="Q301" s="275"/>
      <c r="R301" s="275"/>
      <c r="S301" s="275"/>
      <c r="T301" s="275"/>
      <c r="U301" s="275"/>
      <c r="V301" s="275"/>
      <c r="W301" s="275"/>
      <c r="X301" s="275"/>
      <c r="Y301" s="275"/>
      <c r="Z301" s="275"/>
    </row>
    <row r="302" spans="3:26">
      <c r="C302" s="275"/>
      <c r="D302" s="275"/>
      <c r="E302" s="275"/>
      <c r="F302" s="275"/>
      <c r="G302" s="275"/>
      <c r="H302" s="275"/>
      <c r="I302" s="275"/>
      <c r="J302" s="275"/>
      <c r="K302" s="275"/>
      <c r="L302" s="275"/>
      <c r="M302" s="275"/>
      <c r="N302" s="275"/>
      <c r="O302" s="275"/>
      <c r="P302" s="275"/>
      <c r="Q302" s="275"/>
      <c r="R302" s="275"/>
      <c r="S302" s="275"/>
      <c r="T302" s="275"/>
      <c r="U302" s="275"/>
      <c r="V302" s="275"/>
      <c r="W302" s="275"/>
      <c r="X302" s="275"/>
      <c r="Y302" s="275"/>
      <c r="Z302" s="275"/>
    </row>
    <row r="303" spans="3:26">
      <c r="C303" s="275"/>
      <c r="D303" s="275"/>
      <c r="E303" s="275"/>
      <c r="F303" s="275"/>
      <c r="G303" s="275"/>
      <c r="H303" s="275"/>
      <c r="I303" s="275"/>
      <c r="J303" s="275"/>
      <c r="K303" s="275"/>
      <c r="L303" s="275"/>
      <c r="M303" s="275"/>
      <c r="N303" s="275"/>
      <c r="O303" s="275"/>
      <c r="P303" s="275"/>
      <c r="Q303" s="275"/>
      <c r="R303" s="275"/>
      <c r="S303" s="275"/>
      <c r="T303" s="275"/>
      <c r="U303" s="275"/>
      <c r="V303" s="275"/>
      <c r="W303" s="275"/>
      <c r="X303" s="275"/>
      <c r="Y303" s="275"/>
      <c r="Z303" s="275"/>
    </row>
    <row r="304" spans="3:26">
      <c r="C304" s="275"/>
      <c r="D304" s="275"/>
      <c r="E304" s="275"/>
      <c r="F304" s="275"/>
      <c r="G304" s="275"/>
      <c r="H304" s="275"/>
      <c r="I304" s="275"/>
      <c r="J304" s="275"/>
      <c r="K304" s="275"/>
      <c r="L304" s="275"/>
      <c r="M304" s="275"/>
      <c r="N304" s="275"/>
      <c r="O304" s="275"/>
      <c r="P304" s="275"/>
      <c r="Q304" s="275"/>
      <c r="R304" s="275"/>
      <c r="S304" s="275"/>
      <c r="T304" s="275"/>
      <c r="U304" s="275"/>
      <c r="V304" s="275"/>
      <c r="W304" s="275"/>
      <c r="X304" s="275"/>
      <c r="Y304" s="275"/>
      <c r="Z304" s="275"/>
    </row>
    <row r="305" spans="3:26">
      <c r="C305" s="275"/>
      <c r="D305" s="275"/>
      <c r="E305" s="275"/>
      <c r="F305" s="275"/>
      <c r="G305" s="275"/>
      <c r="H305" s="275"/>
      <c r="I305" s="275"/>
      <c r="J305" s="275"/>
      <c r="K305" s="275"/>
      <c r="L305" s="275"/>
      <c r="M305" s="275"/>
      <c r="N305" s="275"/>
      <c r="O305" s="275"/>
      <c r="P305" s="275"/>
      <c r="Q305" s="275"/>
      <c r="R305" s="275"/>
      <c r="S305" s="275"/>
      <c r="T305" s="275"/>
      <c r="U305" s="275"/>
      <c r="V305" s="275"/>
      <c r="W305" s="275"/>
      <c r="X305" s="275"/>
      <c r="Y305" s="275"/>
      <c r="Z305" s="275"/>
    </row>
    <row r="306" spans="3:26">
      <c r="C306" s="275"/>
      <c r="D306" s="275"/>
      <c r="E306" s="275"/>
      <c r="F306" s="275"/>
      <c r="G306" s="275"/>
      <c r="H306" s="275"/>
      <c r="I306" s="275"/>
      <c r="J306" s="275"/>
      <c r="K306" s="275"/>
      <c r="L306" s="275"/>
      <c r="M306" s="275"/>
      <c r="N306" s="275"/>
      <c r="O306" s="275"/>
      <c r="P306" s="275"/>
      <c r="Q306" s="275"/>
      <c r="R306" s="275"/>
      <c r="S306" s="275"/>
      <c r="T306" s="275"/>
      <c r="U306" s="275"/>
      <c r="V306" s="275"/>
      <c r="W306" s="275"/>
      <c r="X306" s="275"/>
      <c r="Y306" s="275"/>
      <c r="Z306" s="275"/>
    </row>
    <row r="307" spans="3:26">
      <c r="C307" s="275"/>
      <c r="D307" s="275"/>
      <c r="E307" s="275"/>
      <c r="F307" s="275"/>
      <c r="G307" s="275"/>
      <c r="H307" s="275"/>
      <c r="I307" s="275"/>
      <c r="J307" s="275"/>
      <c r="K307" s="275"/>
      <c r="L307" s="275"/>
      <c r="M307" s="275"/>
      <c r="N307" s="275"/>
      <c r="O307" s="275"/>
      <c r="P307" s="275"/>
      <c r="Q307" s="275"/>
      <c r="R307" s="275"/>
      <c r="S307" s="275"/>
    </row>
    <row r="308" spans="3:26">
      <c r="C308" s="275"/>
      <c r="D308" s="275"/>
      <c r="E308" s="275"/>
      <c r="F308" s="275"/>
      <c r="G308" s="275"/>
      <c r="H308" s="275"/>
      <c r="I308" s="275"/>
      <c r="J308" s="275"/>
      <c r="K308" s="275"/>
      <c r="L308" s="275"/>
      <c r="M308" s="275"/>
      <c r="N308" s="275"/>
      <c r="O308" s="275"/>
      <c r="P308" s="275"/>
      <c r="Q308" s="275"/>
      <c r="R308" s="275"/>
      <c r="S308" s="275"/>
    </row>
    <row r="309" spans="3:26">
      <c r="C309" s="275"/>
      <c r="D309" s="275"/>
      <c r="E309" s="275"/>
      <c r="F309" s="275"/>
      <c r="G309" s="275"/>
      <c r="H309" s="275"/>
      <c r="I309" s="275"/>
      <c r="J309" s="275"/>
      <c r="K309" s="275"/>
      <c r="L309" s="275"/>
      <c r="M309" s="275"/>
      <c r="N309" s="275"/>
      <c r="O309" s="275"/>
      <c r="P309" s="275"/>
      <c r="Q309" s="275"/>
      <c r="R309" s="275"/>
      <c r="S309" s="275"/>
    </row>
    <row r="310" spans="3:26">
      <c r="C310" s="275"/>
      <c r="D310" s="275"/>
      <c r="E310" s="275"/>
      <c r="F310" s="275"/>
      <c r="G310" s="275"/>
      <c r="H310" s="275"/>
      <c r="I310" s="275"/>
      <c r="J310" s="275"/>
      <c r="K310" s="275"/>
      <c r="L310" s="275"/>
      <c r="M310" s="275"/>
      <c r="N310" s="275"/>
      <c r="O310" s="275"/>
      <c r="P310" s="275"/>
      <c r="Q310" s="275"/>
      <c r="R310" s="275"/>
      <c r="S310" s="275"/>
    </row>
    <row r="311" spans="3:26">
      <c r="C311" s="275"/>
      <c r="D311" s="275"/>
      <c r="E311" s="275"/>
      <c r="F311" s="275"/>
      <c r="G311" s="275"/>
      <c r="H311" s="275"/>
      <c r="I311" s="275"/>
      <c r="J311" s="275"/>
      <c r="K311" s="275"/>
      <c r="L311" s="275"/>
      <c r="M311" s="275"/>
      <c r="N311" s="275"/>
      <c r="O311" s="275"/>
      <c r="P311" s="275"/>
      <c r="Q311" s="275"/>
      <c r="R311" s="275"/>
      <c r="S311" s="275"/>
    </row>
    <row r="312" spans="3:26">
      <c r="C312" s="275"/>
      <c r="D312" s="275"/>
      <c r="E312" s="275"/>
      <c r="F312" s="275"/>
      <c r="G312" s="275"/>
      <c r="H312" s="275"/>
      <c r="I312" s="275"/>
      <c r="J312" s="275"/>
      <c r="K312" s="275"/>
      <c r="L312" s="275"/>
      <c r="M312" s="275"/>
      <c r="N312" s="275"/>
      <c r="O312" s="275"/>
      <c r="P312" s="275"/>
      <c r="Q312" s="275"/>
      <c r="R312" s="275"/>
      <c r="S312" s="275"/>
    </row>
    <row r="313" spans="3:26">
      <c r="C313" s="275"/>
      <c r="D313" s="275"/>
      <c r="E313" s="275"/>
      <c r="F313" s="275"/>
      <c r="G313" s="275"/>
      <c r="H313" s="275"/>
      <c r="I313" s="275"/>
      <c r="J313" s="275"/>
      <c r="K313" s="275"/>
      <c r="L313" s="275"/>
      <c r="M313" s="275"/>
      <c r="N313" s="275"/>
      <c r="O313" s="275"/>
      <c r="P313" s="275"/>
      <c r="Q313" s="275"/>
      <c r="R313" s="275"/>
      <c r="S313" s="275"/>
    </row>
    <row r="314" spans="3:26">
      <c r="C314" s="275"/>
      <c r="D314" s="275"/>
      <c r="E314" s="275"/>
      <c r="F314" s="275"/>
      <c r="G314" s="275"/>
      <c r="H314" s="275"/>
      <c r="I314" s="275"/>
      <c r="J314" s="275"/>
      <c r="K314" s="275"/>
      <c r="L314" s="275"/>
      <c r="M314" s="275"/>
      <c r="N314" s="275"/>
      <c r="O314" s="275"/>
      <c r="P314" s="275"/>
      <c r="Q314" s="275"/>
      <c r="R314" s="275"/>
      <c r="S314" s="275"/>
    </row>
  </sheetData>
  <mergeCells count="11">
    <mergeCell ref="C116:S116"/>
    <mergeCell ref="C112:S112"/>
    <mergeCell ref="C113:S113"/>
    <mergeCell ref="C114:S114"/>
    <mergeCell ref="C115:S115"/>
    <mergeCell ref="C111:S111"/>
    <mergeCell ref="C106:S106"/>
    <mergeCell ref="C107:S107"/>
    <mergeCell ref="C108:S108"/>
    <mergeCell ref="C109:S109"/>
    <mergeCell ref="C110:S110"/>
  </mergeCells>
  <printOptions horizontalCentered="1"/>
  <pageMargins left="0.25" right="0.25" top="0.77" bottom="0.75" header="0.25" footer="0.25"/>
  <pageSetup scale="47" fitToHeight="0" orientation="landscape" horizontalDpi="300" verticalDpi="300" r:id="rId1"/>
  <headerFooter alignWithMargins="0">
    <oddFooter>&amp;RV31
EFF 10.18.14</oddFooter>
  </headerFooter>
  <rowBreaks count="1" manualBreakCount="1">
    <brk id="58"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zoomScale="80" zoomScaleNormal="80" zoomScaleSheetLayoutView="85" workbookViewId="0">
      <pane xSplit="2" ySplit="10" topLeftCell="C11" activePane="bottomRight" state="frozen"/>
      <selection activeCell="B15" sqref="B15"/>
      <selection pane="topRight" activeCell="B15" sqref="B15"/>
      <selection pane="bottomLeft" activeCell="B15" sqref="B15"/>
      <selection pane="bottomRight" activeCell="C11" sqref="C11"/>
    </sheetView>
  </sheetViews>
  <sheetFormatPr defaultColWidth="9.140625" defaultRowHeight="12.75"/>
  <cols>
    <col min="1" max="1" width="21.28515625" style="360" customWidth="1"/>
    <col min="2" max="2" width="32.85546875" style="360" customWidth="1"/>
    <col min="3" max="10" width="13.85546875" style="361" customWidth="1"/>
    <col min="11" max="11" width="13.85546875" style="362" customWidth="1"/>
    <col min="12" max="22" width="13.85546875" style="360" customWidth="1"/>
    <col min="23" max="16384" width="9.140625" style="360"/>
  </cols>
  <sheetData>
    <row r="1" spans="1:14">
      <c r="C1" s="456">
        <v>1</v>
      </c>
      <c r="D1" s="456">
        <f t="shared" ref="D1:N1" si="0">+C1+1</f>
        <v>2</v>
      </c>
      <c r="E1" s="456">
        <f t="shared" si="0"/>
        <v>3</v>
      </c>
      <c r="F1" s="456">
        <f t="shared" si="0"/>
        <v>4</v>
      </c>
      <c r="G1" s="456">
        <f t="shared" si="0"/>
        <v>5</v>
      </c>
      <c r="H1" s="456">
        <f t="shared" si="0"/>
        <v>6</v>
      </c>
      <c r="I1" s="456">
        <f t="shared" si="0"/>
        <v>7</v>
      </c>
      <c r="J1" s="456">
        <f t="shared" si="0"/>
        <v>8</v>
      </c>
      <c r="K1" s="456">
        <f t="shared" si="0"/>
        <v>9</v>
      </c>
      <c r="L1" s="456">
        <f t="shared" si="0"/>
        <v>10</v>
      </c>
      <c r="M1" s="456">
        <f t="shared" si="0"/>
        <v>11</v>
      </c>
      <c r="N1" s="456">
        <f t="shared" si="0"/>
        <v>12</v>
      </c>
    </row>
    <row r="2" spans="1:14" s="430" customFormat="1" ht="18">
      <c r="A2" s="455" t="s">
        <v>628</v>
      </c>
      <c r="K2" s="454"/>
    </row>
    <row r="3" spans="1:14">
      <c r="A3" s="395"/>
      <c r="C3" s="360"/>
      <c r="D3" s="360"/>
      <c r="E3" s="360"/>
      <c r="F3" s="360"/>
      <c r="G3" s="360"/>
      <c r="H3" s="360"/>
      <c r="I3" s="360"/>
      <c r="J3" s="360"/>
      <c r="K3" s="408"/>
    </row>
    <row r="4" spans="1:14">
      <c r="A4" s="452" t="s">
        <v>622</v>
      </c>
      <c r="B4" s="453">
        <v>2016</v>
      </c>
      <c r="C4" s="450"/>
      <c r="D4" s="450"/>
      <c r="E4" s="450"/>
      <c r="F4" s="360"/>
      <c r="G4" s="450"/>
      <c r="H4" s="450"/>
      <c r="I4" s="450"/>
      <c r="J4" s="360"/>
      <c r="K4" s="408"/>
    </row>
    <row r="5" spans="1:14">
      <c r="A5" s="395"/>
      <c r="B5" s="450"/>
      <c r="C5" s="450"/>
      <c r="D5" s="450"/>
      <c r="E5" s="450"/>
      <c r="F5" s="360"/>
      <c r="G5" s="450"/>
      <c r="H5" s="450"/>
      <c r="I5" s="450"/>
      <c r="J5" s="360"/>
      <c r="K5" s="408"/>
    </row>
    <row r="6" spans="1:14">
      <c r="A6" s="452" t="s">
        <v>621</v>
      </c>
      <c r="B6" s="451" t="s">
        <v>620</v>
      </c>
      <c r="C6" s="450"/>
      <c r="D6" s="450"/>
      <c r="E6" s="450"/>
      <c r="F6" s="360"/>
      <c r="G6" s="450"/>
      <c r="H6" s="450"/>
      <c r="I6" s="450"/>
      <c r="J6" s="360"/>
      <c r="K6" s="408"/>
    </row>
    <row r="7" spans="1:14">
      <c r="A7" s="395"/>
      <c r="B7" s="450"/>
      <c r="C7" s="433"/>
      <c r="D7" s="363"/>
      <c r="E7" s="363"/>
      <c r="F7" s="363"/>
      <c r="G7" s="363"/>
      <c r="H7" s="363"/>
      <c r="I7" s="363"/>
      <c r="J7" s="363"/>
      <c r="K7" s="363"/>
      <c r="L7" s="363"/>
      <c r="M7" s="363"/>
      <c r="N7" s="363"/>
    </row>
    <row r="8" spans="1:14">
      <c r="A8" s="447"/>
      <c r="B8" s="446" t="s">
        <v>619</v>
      </c>
      <c r="C8" s="779">
        <v>3127</v>
      </c>
      <c r="D8" s="779">
        <v>2844</v>
      </c>
      <c r="E8" s="449" t="s">
        <v>432</v>
      </c>
      <c r="F8" s="449" t="s">
        <v>618</v>
      </c>
      <c r="G8" s="449" t="s">
        <v>617</v>
      </c>
      <c r="H8" s="449" t="s">
        <v>616</v>
      </c>
      <c r="I8" s="449" t="s">
        <v>615</v>
      </c>
      <c r="J8" s="449" t="s">
        <v>614</v>
      </c>
      <c r="K8" s="449" t="s">
        <v>613</v>
      </c>
      <c r="L8" s="449" t="s">
        <v>612</v>
      </c>
      <c r="M8" s="449" t="s">
        <v>611</v>
      </c>
      <c r="N8" s="449" t="s">
        <v>610</v>
      </c>
    </row>
    <row r="9" spans="1:14">
      <c r="A9" s="447"/>
      <c r="B9" s="446" t="s">
        <v>609</v>
      </c>
      <c r="C9" s="780" t="s">
        <v>620</v>
      </c>
      <c r="D9" s="780" t="s">
        <v>620</v>
      </c>
      <c r="E9" s="448" t="s">
        <v>608</v>
      </c>
      <c r="F9" s="448" t="s">
        <v>608</v>
      </c>
      <c r="G9" s="448" t="s">
        <v>608</v>
      </c>
      <c r="H9" s="448" t="s">
        <v>608</v>
      </c>
      <c r="I9" s="448" t="s">
        <v>608</v>
      </c>
      <c r="J9" s="448" t="s">
        <v>608</v>
      </c>
      <c r="K9" s="448" t="s">
        <v>608</v>
      </c>
      <c r="L9" s="448" t="s">
        <v>608</v>
      </c>
      <c r="M9" s="448" t="s">
        <v>608</v>
      </c>
      <c r="N9" s="448" t="s">
        <v>608</v>
      </c>
    </row>
    <row r="10" spans="1:14" ht="15" customHeight="1">
      <c r="A10" s="447"/>
      <c r="B10" s="446" t="s">
        <v>607</v>
      </c>
      <c r="C10" s="445" t="s">
        <v>627</v>
      </c>
      <c r="D10" s="445" t="s">
        <v>627</v>
      </c>
      <c r="E10" s="445" t="s">
        <v>627</v>
      </c>
      <c r="F10" s="445" t="s">
        <v>627</v>
      </c>
      <c r="G10" s="445" t="s">
        <v>627</v>
      </c>
      <c r="H10" s="445" t="s">
        <v>627</v>
      </c>
      <c r="I10" s="445" t="s">
        <v>627</v>
      </c>
      <c r="J10" s="445" t="s">
        <v>627</v>
      </c>
      <c r="K10" s="445" t="s">
        <v>627</v>
      </c>
      <c r="L10" s="445" t="s">
        <v>627</v>
      </c>
      <c r="M10" s="445" t="s">
        <v>627</v>
      </c>
      <c r="N10" s="445" t="s">
        <v>627</v>
      </c>
    </row>
    <row r="11" spans="1:14">
      <c r="A11" s="416" t="s">
        <v>605</v>
      </c>
      <c r="B11" s="415" t="str">
        <f>"December "&amp;B4-1</f>
        <v>December 2015</v>
      </c>
      <c r="C11" s="372">
        <v>16115512.83</v>
      </c>
      <c r="D11" s="373">
        <v>33530245.149999999</v>
      </c>
      <c r="E11" s="372">
        <v>0</v>
      </c>
      <c r="F11" s="373">
        <v>0</v>
      </c>
      <c r="G11" s="372">
        <v>0</v>
      </c>
      <c r="H11" s="373">
        <v>0</v>
      </c>
      <c r="I11" s="372">
        <v>0</v>
      </c>
      <c r="J11" s="373">
        <v>0</v>
      </c>
      <c r="K11" s="372">
        <v>0</v>
      </c>
      <c r="L11" s="373">
        <v>0</v>
      </c>
      <c r="M11" s="372">
        <v>0</v>
      </c>
      <c r="N11" s="371">
        <v>0</v>
      </c>
    </row>
    <row r="12" spans="1:14">
      <c r="A12" s="401" t="s">
        <v>604</v>
      </c>
      <c r="B12" s="414" t="str">
        <f>"January "&amp;B4</f>
        <v>January 2016</v>
      </c>
      <c r="C12" s="372">
        <v>20020252.73</v>
      </c>
      <c r="D12" s="373">
        <v>33530245.149999999</v>
      </c>
      <c r="E12" s="372">
        <v>0</v>
      </c>
      <c r="F12" s="373">
        <v>0</v>
      </c>
      <c r="G12" s="372">
        <v>0</v>
      </c>
      <c r="H12" s="373">
        <v>0</v>
      </c>
      <c r="I12" s="372">
        <v>0</v>
      </c>
      <c r="J12" s="373">
        <v>0</v>
      </c>
      <c r="K12" s="372">
        <v>0</v>
      </c>
      <c r="L12" s="373">
        <v>0</v>
      </c>
      <c r="M12" s="372">
        <v>0</v>
      </c>
      <c r="N12" s="371">
        <v>0</v>
      </c>
    </row>
    <row r="13" spans="1:14">
      <c r="A13" s="401"/>
      <c r="B13" s="421" t="s">
        <v>603</v>
      </c>
      <c r="C13" s="372">
        <v>23495916.449999999</v>
      </c>
      <c r="D13" s="373">
        <v>33530245.149999999</v>
      </c>
      <c r="E13" s="372">
        <v>0</v>
      </c>
      <c r="F13" s="373">
        <v>0</v>
      </c>
      <c r="G13" s="372">
        <v>0</v>
      </c>
      <c r="H13" s="373">
        <v>0</v>
      </c>
      <c r="I13" s="372">
        <v>0</v>
      </c>
      <c r="J13" s="373">
        <v>0</v>
      </c>
      <c r="K13" s="372">
        <v>0</v>
      </c>
      <c r="L13" s="373">
        <v>0</v>
      </c>
      <c r="M13" s="372">
        <v>0</v>
      </c>
      <c r="N13" s="371">
        <v>0</v>
      </c>
    </row>
    <row r="14" spans="1:14">
      <c r="A14" s="401"/>
      <c r="B14" s="421" t="s">
        <v>602</v>
      </c>
      <c r="C14" s="372">
        <v>26332179.27</v>
      </c>
      <c r="D14" s="373">
        <v>33530245.149999999</v>
      </c>
      <c r="E14" s="372">
        <v>0</v>
      </c>
      <c r="F14" s="373">
        <v>0</v>
      </c>
      <c r="G14" s="372">
        <v>0</v>
      </c>
      <c r="H14" s="373">
        <v>0</v>
      </c>
      <c r="I14" s="372">
        <v>0</v>
      </c>
      <c r="J14" s="373">
        <v>0</v>
      </c>
      <c r="K14" s="372">
        <v>0</v>
      </c>
      <c r="L14" s="373">
        <v>0</v>
      </c>
      <c r="M14" s="372">
        <v>0</v>
      </c>
      <c r="N14" s="371">
        <v>0</v>
      </c>
    </row>
    <row r="15" spans="1:14">
      <c r="A15" s="401"/>
      <c r="B15" s="421" t="s">
        <v>601</v>
      </c>
      <c r="C15" s="372">
        <v>29068157.379999999</v>
      </c>
      <c r="D15" s="373">
        <v>33530245.149999999</v>
      </c>
      <c r="E15" s="372">
        <v>0</v>
      </c>
      <c r="F15" s="373">
        <v>0</v>
      </c>
      <c r="G15" s="372">
        <v>0</v>
      </c>
      <c r="H15" s="373">
        <v>0</v>
      </c>
      <c r="I15" s="372">
        <v>0</v>
      </c>
      <c r="J15" s="373">
        <v>0</v>
      </c>
      <c r="K15" s="372">
        <v>0</v>
      </c>
      <c r="L15" s="373">
        <v>0</v>
      </c>
      <c r="M15" s="372">
        <v>0</v>
      </c>
      <c r="N15" s="371">
        <v>0</v>
      </c>
    </row>
    <row r="16" spans="1:14">
      <c r="A16" s="401"/>
      <c r="B16" s="421" t="s">
        <v>600</v>
      </c>
      <c r="C16" s="372">
        <v>34640997.100000001</v>
      </c>
      <c r="D16" s="373">
        <v>33530245.149999999</v>
      </c>
      <c r="E16" s="372">
        <v>0</v>
      </c>
      <c r="F16" s="373">
        <v>0</v>
      </c>
      <c r="G16" s="372">
        <v>0</v>
      </c>
      <c r="H16" s="373">
        <v>0</v>
      </c>
      <c r="I16" s="372">
        <v>0</v>
      </c>
      <c r="J16" s="373">
        <v>0</v>
      </c>
      <c r="K16" s="372">
        <v>0</v>
      </c>
      <c r="L16" s="373">
        <v>0</v>
      </c>
      <c r="M16" s="372">
        <v>0</v>
      </c>
      <c r="N16" s="371">
        <v>0</v>
      </c>
    </row>
    <row r="17" spans="1:14">
      <c r="A17" s="401"/>
      <c r="B17" s="421" t="s">
        <v>599</v>
      </c>
      <c r="C17" s="372">
        <v>43478402.789999999</v>
      </c>
      <c r="D17" s="373">
        <v>33530245.149999999</v>
      </c>
      <c r="E17" s="372">
        <v>0</v>
      </c>
      <c r="F17" s="373">
        <v>0</v>
      </c>
      <c r="G17" s="372">
        <v>0</v>
      </c>
      <c r="H17" s="373">
        <v>0</v>
      </c>
      <c r="I17" s="372">
        <v>0</v>
      </c>
      <c r="J17" s="373">
        <v>0</v>
      </c>
      <c r="K17" s="372">
        <v>0</v>
      </c>
      <c r="L17" s="373">
        <v>0</v>
      </c>
      <c r="M17" s="372">
        <v>0</v>
      </c>
      <c r="N17" s="371">
        <v>0</v>
      </c>
    </row>
    <row r="18" spans="1:14">
      <c r="A18" s="401"/>
      <c r="B18" s="421" t="s">
        <v>598</v>
      </c>
      <c r="C18" s="372">
        <v>52975744.740000002</v>
      </c>
      <c r="D18" s="373">
        <v>33530245.149999999</v>
      </c>
      <c r="E18" s="372">
        <v>0</v>
      </c>
      <c r="F18" s="373">
        <v>0</v>
      </c>
      <c r="G18" s="372">
        <v>0</v>
      </c>
      <c r="H18" s="373">
        <v>0</v>
      </c>
      <c r="I18" s="372">
        <v>0</v>
      </c>
      <c r="J18" s="373">
        <v>0</v>
      </c>
      <c r="K18" s="372">
        <v>0</v>
      </c>
      <c r="L18" s="373">
        <v>0</v>
      </c>
      <c r="M18" s="372">
        <v>0</v>
      </c>
      <c r="N18" s="371">
        <v>0</v>
      </c>
    </row>
    <row r="19" spans="1:14">
      <c r="A19" s="401"/>
      <c r="B19" s="421" t="s">
        <v>597</v>
      </c>
      <c r="C19" s="372">
        <v>61513746.729999997</v>
      </c>
      <c r="D19" s="373">
        <v>33530245.149999999</v>
      </c>
      <c r="E19" s="372">
        <v>0</v>
      </c>
      <c r="F19" s="373">
        <v>0</v>
      </c>
      <c r="G19" s="372">
        <v>0</v>
      </c>
      <c r="H19" s="373">
        <v>0</v>
      </c>
      <c r="I19" s="372">
        <v>0</v>
      </c>
      <c r="J19" s="373">
        <v>0</v>
      </c>
      <c r="K19" s="372">
        <v>0</v>
      </c>
      <c r="L19" s="373">
        <v>0</v>
      </c>
      <c r="M19" s="372">
        <v>0</v>
      </c>
      <c r="N19" s="371">
        <v>0</v>
      </c>
    </row>
    <row r="20" spans="1:14">
      <c r="A20" s="401"/>
      <c r="B20" s="421" t="s">
        <v>596</v>
      </c>
      <c r="C20" s="372">
        <v>68758726.180000007</v>
      </c>
      <c r="D20" s="373">
        <v>33530245.149999999</v>
      </c>
      <c r="E20" s="372">
        <v>0</v>
      </c>
      <c r="F20" s="373">
        <v>0</v>
      </c>
      <c r="G20" s="372">
        <v>0</v>
      </c>
      <c r="H20" s="373">
        <v>0</v>
      </c>
      <c r="I20" s="372">
        <v>0</v>
      </c>
      <c r="J20" s="373">
        <v>0</v>
      </c>
      <c r="K20" s="372">
        <v>0</v>
      </c>
      <c r="L20" s="373">
        <v>0</v>
      </c>
      <c r="M20" s="372">
        <v>0</v>
      </c>
      <c r="N20" s="371">
        <v>0</v>
      </c>
    </row>
    <row r="21" spans="1:14">
      <c r="A21" s="401"/>
      <c r="B21" s="421" t="s">
        <v>595</v>
      </c>
      <c r="C21" s="372">
        <v>78957728.329999998</v>
      </c>
      <c r="D21" s="373">
        <v>33530245.149999999</v>
      </c>
      <c r="E21" s="372">
        <v>0</v>
      </c>
      <c r="F21" s="373">
        <v>0</v>
      </c>
      <c r="G21" s="372">
        <v>0</v>
      </c>
      <c r="H21" s="373">
        <v>0</v>
      </c>
      <c r="I21" s="372">
        <v>0</v>
      </c>
      <c r="J21" s="373">
        <v>0</v>
      </c>
      <c r="K21" s="372">
        <v>0</v>
      </c>
      <c r="L21" s="373">
        <v>0</v>
      </c>
      <c r="M21" s="372">
        <v>0</v>
      </c>
      <c r="N21" s="371">
        <v>0</v>
      </c>
    </row>
    <row r="22" spans="1:14">
      <c r="A22" s="401"/>
      <c r="B22" s="421" t="s">
        <v>594</v>
      </c>
      <c r="C22" s="372">
        <v>84817625.189999998</v>
      </c>
      <c r="D22" s="373">
        <v>33530245.149999999</v>
      </c>
      <c r="E22" s="372">
        <v>0</v>
      </c>
      <c r="F22" s="373">
        <v>0</v>
      </c>
      <c r="G22" s="372">
        <v>0</v>
      </c>
      <c r="H22" s="373">
        <v>0</v>
      </c>
      <c r="I22" s="372">
        <v>0</v>
      </c>
      <c r="J22" s="373">
        <v>0</v>
      </c>
      <c r="K22" s="372">
        <v>0</v>
      </c>
      <c r="L22" s="373">
        <v>0</v>
      </c>
      <c r="M22" s="372">
        <v>0</v>
      </c>
      <c r="N22" s="371">
        <v>0</v>
      </c>
    </row>
    <row r="23" spans="1:14">
      <c r="A23" s="376"/>
      <c r="B23" s="420" t="str">
        <f>"December "&amp;B4</f>
        <v>December 2016</v>
      </c>
      <c r="C23" s="372">
        <v>91448232.439999998</v>
      </c>
      <c r="D23" s="373">
        <v>33530245.149999995</v>
      </c>
      <c r="E23" s="372">
        <v>0</v>
      </c>
      <c r="F23" s="373">
        <v>0</v>
      </c>
      <c r="G23" s="372">
        <v>0</v>
      </c>
      <c r="H23" s="373">
        <v>0</v>
      </c>
      <c r="I23" s="372">
        <v>0</v>
      </c>
      <c r="J23" s="373">
        <v>0</v>
      </c>
      <c r="K23" s="372">
        <v>0</v>
      </c>
      <c r="L23" s="373">
        <v>0</v>
      </c>
      <c r="M23" s="372">
        <v>0</v>
      </c>
      <c r="N23" s="371">
        <v>0</v>
      </c>
    </row>
    <row r="24" spans="1:14">
      <c r="A24" s="387"/>
      <c r="B24" s="394" t="s">
        <v>589</v>
      </c>
      <c r="C24" s="396">
        <f t="shared" ref="C24:N24" si="1">AVERAGE(C11:C23)</f>
        <v>48586401.704615392</v>
      </c>
      <c r="D24" s="396">
        <f t="shared" si="1"/>
        <v>33530245.149999995</v>
      </c>
      <c r="E24" s="396">
        <f t="shared" si="1"/>
        <v>0</v>
      </c>
      <c r="F24" s="396">
        <f t="shared" si="1"/>
        <v>0</v>
      </c>
      <c r="G24" s="396">
        <f t="shared" si="1"/>
        <v>0</v>
      </c>
      <c r="H24" s="396">
        <f t="shared" si="1"/>
        <v>0</v>
      </c>
      <c r="I24" s="396">
        <f t="shared" si="1"/>
        <v>0</v>
      </c>
      <c r="J24" s="396">
        <f t="shared" si="1"/>
        <v>0</v>
      </c>
      <c r="K24" s="396">
        <f t="shared" si="1"/>
        <v>0</v>
      </c>
      <c r="L24" s="396">
        <f t="shared" si="1"/>
        <v>0</v>
      </c>
      <c r="M24" s="396">
        <f t="shared" si="1"/>
        <v>0</v>
      </c>
      <c r="N24" s="397">
        <f t="shared" si="1"/>
        <v>0</v>
      </c>
    </row>
    <row r="25" spans="1:14">
      <c r="A25" s="387"/>
      <c r="B25" s="394"/>
      <c r="C25" s="394"/>
      <c r="D25" s="394"/>
      <c r="E25" s="394"/>
      <c r="F25" s="394"/>
      <c r="G25" s="394"/>
      <c r="H25" s="394"/>
      <c r="I25" s="394"/>
      <c r="J25" s="394"/>
      <c r="K25" s="394"/>
      <c r="L25" s="394"/>
    </row>
    <row r="26" spans="1:14">
      <c r="A26" s="387"/>
      <c r="B26" s="394"/>
      <c r="C26" s="394"/>
      <c r="D26" s="394"/>
      <c r="E26" s="394"/>
      <c r="F26" s="394"/>
      <c r="G26" s="394"/>
      <c r="H26" s="394"/>
      <c r="I26" s="394"/>
      <c r="J26" s="394"/>
      <c r="K26" s="394"/>
      <c r="L26" s="394"/>
    </row>
    <row r="27" spans="1:14">
      <c r="A27" s="416" t="s">
        <v>593</v>
      </c>
      <c r="B27" s="415" t="str">
        <f t="shared" ref="B27:B39" si="2">+B11</f>
        <v>December 2015</v>
      </c>
      <c r="C27" s="378">
        <f t="shared" ref="C27:N27" si="3">+C11-C44</f>
        <v>0</v>
      </c>
      <c r="D27" s="379">
        <f t="shared" si="3"/>
        <v>1543997.1999999993</v>
      </c>
      <c r="E27" s="378">
        <f t="shared" si="3"/>
        <v>0</v>
      </c>
      <c r="F27" s="379">
        <f t="shared" si="3"/>
        <v>0</v>
      </c>
      <c r="G27" s="378">
        <f t="shared" si="3"/>
        <v>0</v>
      </c>
      <c r="H27" s="379">
        <f t="shared" si="3"/>
        <v>0</v>
      </c>
      <c r="I27" s="378">
        <f t="shared" si="3"/>
        <v>0</v>
      </c>
      <c r="J27" s="379">
        <f t="shared" si="3"/>
        <v>0</v>
      </c>
      <c r="K27" s="378">
        <f t="shared" si="3"/>
        <v>0</v>
      </c>
      <c r="L27" s="379">
        <f t="shared" si="3"/>
        <v>0</v>
      </c>
      <c r="M27" s="378">
        <f t="shared" si="3"/>
        <v>0</v>
      </c>
      <c r="N27" s="377">
        <f t="shared" si="3"/>
        <v>0</v>
      </c>
    </row>
    <row r="28" spans="1:14">
      <c r="A28" s="401" t="s">
        <v>592</v>
      </c>
      <c r="B28" s="414" t="str">
        <f t="shared" si="2"/>
        <v>January 2016</v>
      </c>
      <c r="C28" s="372">
        <f t="shared" ref="C28:N28" si="4">+C12-C45</f>
        <v>0</v>
      </c>
      <c r="D28" s="373">
        <f t="shared" si="4"/>
        <v>1607749.8100000024</v>
      </c>
      <c r="E28" s="372">
        <f t="shared" si="4"/>
        <v>0</v>
      </c>
      <c r="F28" s="373">
        <f t="shared" si="4"/>
        <v>0</v>
      </c>
      <c r="G28" s="372">
        <f t="shared" si="4"/>
        <v>0</v>
      </c>
      <c r="H28" s="373">
        <f t="shared" si="4"/>
        <v>0</v>
      </c>
      <c r="I28" s="372">
        <f t="shared" si="4"/>
        <v>0</v>
      </c>
      <c r="J28" s="373">
        <f t="shared" si="4"/>
        <v>0</v>
      </c>
      <c r="K28" s="372">
        <f t="shared" si="4"/>
        <v>0</v>
      </c>
      <c r="L28" s="373">
        <f t="shared" si="4"/>
        <v>0</v>
      </c>
      <c r="M28" s="372">
        <f t="shared" si="4"/>
        <v>0</v>
      </c>
      <c r="N28" s="371">
        <f t="shared" si="4"/>
        <v>0</v>
      </c>
    </row>
    <row r="29" spans="1:14">
      <c r="A29" s="401"/>
      <c r="B29" s="414" t="str">
        <f t="shared" si="2"/>
        <v>February</v>
      </c>
      <c r="C29" s="372">
        <f t="shared" ref="C29:N29" si="5">+C13-C46</f>
        <v>0</v>
      </c>
      <c r="D29" s="373">
        <f t="shared" si="5"/>
        <v>1671502.4200000018</v>
      </c>
      <c r="E29" s="372">
        <f t="shared" si="5"/>
        <v>0</v>
      </c>
      <c r="F29" s="373">
        <f t="shared" si="5"/>
        <v>0</v>
      </c>
      <c r="G29" s="372">
        <f t="shared" si="5"/>
        <v>0</v>
      </c>
      <c r="H29" s="373">
        <f t="shared" si="5"/>
        <v>0</v>
      </c>
      <c r="I29" s="372">
        <f t="shared" si="5"/>
        <v>0</v>
      </c>
      <c r="J29" s="373">
        <f t="shared" si="5"/>
        <v>0</v>
      </c>
      <c r="K29" s="372">
        <f t="shared" si="5"/>
        <v>0</v>
      </c>
      <c r="L29" s="373">
        <f t="shared" si="5"/>
        <v>0</v>
      </c>
      <c r="M29" s="372">
        <f t="shared" si="5"/>
        <v>0</v>
      </c>
      <c r="N29" s="371">
        <f t="shared" si="5"/>
        <v>0</v>
      </c>
    </row>
    <row r="30" spans="1:14">
      <c r="A30" s="401"/>
      <c r="B30" s="414" t="str">
        <f t="shared" si="2"/>
        <v xml:space="preserve">March </v>
      </c>
      <c r="C30" s="372">
        <f t="shared" ref="C30:N30" si="6">+C14-C47</f>
        <v>0</v>
      </c>
      <c r="D30" s="373">
        <f t="shared" si="6"/>
        <v>1735255.0300000012</v>
      </c>
      <c r="E30" s="372">
        <f t="shared" si="6"/>
        <v>0</v>
      </c>
      <c r="F30" s="373">
        <f t="shared" si="6"/>
        <v>0</v>
      </c>
      <c r="G30" s="372">
        <f t="shared" si="6"/>
        <v>0</v>
      </c>
      <c r="H30" s="373">
        <f t="shared" si="6"/>
        <v>0</v>
      </c>
      <c r="I30" s="372">
        <f t="shared" si="6"/>
        <v>0</v>
      </c>
      <c r="J30" s="373">
        <f t="shared" si="6"/>
        <v>0</v>
      </c>
      <c r="K30" s="372">
        <f t="shared" si="6"/>
        <v>0</v>
      </c>
      <c r="L30" s="373">
        <f t="shared" si="6"/>
        <v>0</v>
      </c>
      <c r="M30" s="372">
        <f t="shared" si="6"/>
        <v>0</v>
      </c>
      <c r="N30" s="371">
        <f t="shared" si="6"/>
        <v>0</v>
      </c>
    </row>
    <row r="31" spans="1:14">
      <c r="A31" s="401"/>
      <c r="B31" s="414" t="str">
        <f t="shared" si="2"/>
        <v>April</v>
      </c>
      <c r="C31" s="372">
        <f t="shared" ref="C31:N31" si="7">+C15-C48</f>
        <v>0</v>
      </c>
      <c r="D31" s="373">
        <f t="shared" si="7"/>
        <v>1799007.6400000006</v>
      </c>
      <c r="E31" s="372">
        <f t="shared" si="7"/>
        <v>0</v>
      </c>
      <c r="F31" s="373">
        <f t="shared" si="7"/>
        <v>0</v>
      </c>
      <c r="G31" s="372">
        <f t="shared" si="7"/>
        <v>0</v>
      </c>
      <c r="H31" s="373">
        <f t="shared" si="7"/>
        <v>0</v>
      </c>
      <c r="I31" s="372">
        <f t="shared" si="7"/>
        <v>0</v>
      </c>
      <c r="J31" s="373">
        <f t="shared" si="7"/>
        <v>0</v>
      </c>
      <c r="K31" s="372">
        <f t="shared" si="7"/>
        <v>0</v>
      </c>
      <c r="L31" s="373">
        <f t="shared" si="7"/>
        <v>0</v>
      </c>
      <c r="M31" s="372">
        <f t="shared" si="7"/>
        <v>0</v>
      </c>
      <c r="N31" s="371">
        <f t="shared" si="7"/>
        <v>0</v>
      </c>
    </row>
    <row r="32" spans="1:14">
      <c r="A32" s="401"/>
      <c r="B32" s="414" t="str">
        <f t="shared" si="2"/>
        <v>May</v>
      </c>
      <c r="C32" s="372">
        <f t="shared" ref="C32:N32" si="8">+C16-C49</f>
        <v>0</v>
      </c>
      <c r="D32" s="373">
        <f t="shared" si="8"/>
        <v>1862760.25</v>
      </c>
      <c r="E32" s="372">
        <f t="shared" si="8"/>
        <v>0</v>
      </c>
      <c r="F32" s="373">
        <f t="shared" si="8"/>
        <v>0</v>
      </c>
      <c r="G32" s="372">
        <f t="shared" si="8"/>
        <v>0</v>
      </c>
      <c r="H32" s="373">
        <f t="shared" si="8"/>
        <v>0</v>
      </c>
      <c r="I32" s="372">
        <f t="shared" si="8"/>
        <v>0</v>
      </c>
      <c r="J32" s="373">
        <f t="shared" si="8"/>
        <v>0</v>
      </c>
      <c r="K32" s="372">
        <f t="shared" si="8"/>
        <v>0</v>
      </c>
      <c r="L32" s="373">
        <f t="shared" si="8"/>
        <v>0</v>
      </c>
      <c r="M32" s="372">
        <f t="shared" si="8"/>
        <v>0</v>
      </c>
      <c r="N32" s="371">
        <f t="shared" si="8"/>
        <v>0</v>
      </c>
    </row>
    <row r="33" spans="1:22">
      <c r="A33" s="401"/>
      <c r="B33" s="414" t="str">
        <f t="shared" si="2"/>
        <v>June</v>
      </c>
      <c r="C33" s="372">
        <f t="shared" ref="C33:N33" si="9">+C17-C50</f>
        <v>0</v>
      </c>
      <c r="D33" s="373">
        <f t="shared" si="9"/>
        <v>1926512.8599999994</v>
      </c>
      <c r="E33" s="372">
        <f t="shared" si="9"/>
        <v>0</v>
      </c>
      <c r="F33" s="373">
        <f t="shared" si="9"/>
        <v>0</v>
      </c>
      <c r="G33" s="372">
        <f t="shared" si="9"/>
        <v>0</v>
      </c>
      <c r="H33" s="373">
        <f t="shared" si="9"/>
        <v>0</v>
      </c>
      <c r="I33" s="372">
        <f t="shared" si="9"/>
        <v>0</v>
      </c>
      <c r="J33" s="373">
        <f t="shared" si="9"/>
        <v>0</v>
      </c>
      <c r="K33" s="372">
        <f t="shared" si="9"/>
        <v>0</v>
      </c>
      <c r="L33" s="373">
        <f t="shared" si="9"/>
        <v>0</v>
      </c>
      <c r="M33" s="372">
        <f t="shared" si="9"/>
        <v>0</v>
      </c>
      <c r="N33" s="371">
        <f t="shared" si="9"/>
        <v>0</v>
      </c>
    </row>
    <row r="34" spans="1:22">
      <c r="A34" s="401"/>
      <c r="B34" s="414" t="str">
        <f t="shared" si="2"/>
        <v>July</v>
      </c>
      <c r="C34" s="372">
        <f t="shared" ref="C34:N34" si="10">+C18-C51</f>
        <v>0</v>
      </c>
      <c r="D34" s="373">
        <f t="shared" si="10"/>
        <v>1990265.4700000025</v>
      </c>
      <c r="E34" s="372">
        <f t="shared" si="10"/>
        <v>0</v>
      </c>
      <c r="F34" s="373">
        <f t="shared" si="10"/>
        <v>0</v>
      </c>
      <c r="G34" s="372">
        <f t="shared" si="10"/>
        <v>0</v>
      </c>
      <c r="H34" s="373">
        <f t="shared" si="10"/>
        <v>0</v>
      </c>
      <c r="I34" s="372">
        <f t="shared" si="10"/>
        <v>0</v>
      </c>
      <c r="J34" s="373">
        <f t="shared" si="10"/>
        <v>0</v>
      </c>
      <c r="K34" s="372">
        <f t="shared" si="10"/>
        <v>0</v>
      </c>
      <c r="L34" s="373">
        <f t="shared" si="10"/>
        <v>0</v>
      </c>
      <c r="M34" s="372">
        <f t="shared" si="10"/>
        <v>0</v>
      </c>
      <c r="N34" s="371">
        <f t="shared" si="10"/>
        <v>0</v>
      </c>
    </row>
    <row r="35" spans="1:22">
      <c r="A35" s="401"/>
      <c r="B35" s="414" t="str">
        <f t="shared" si="2"/>
        <v xml:space="preserve">August </v>
      </c>
      <c r="C35" s="372">
        <f t="shared" ref="C35:N35" si="11">+C19-C52</f>
        <v>0</v>
      </c>
      <c r="D35" s="373">
        <f t="shared" si="11"/>
        <v>2054018.0800000019</v>
      </c>
      <c r="E35" s="372">
        <f t="shared" si="11"/>
        <v>0</v>
      </c>
      <c r="F35" s="373">
        <f t="shared" si="11"/>
        <v>0</v>
      </c>
      <c r="G35" s="372">
        <f t="shared" si="11"/>
        <v>0</v>
      </c>
      <c r="H35" s="373">
        <f t="shared" si="11"/>
        <v>0</v>
      </c>
      <c r="I35" s="372">
        <f t="shared" si="11"/>
        <v>0</v>
      </c>
      <c r="J35" s="373">
        <f t="shared" si="11"/>
        <v>0</v>
      </c>
      <c r="K35" s="372">
        <f t="shared" si="11"/>
        <v>0</v>
      </c>
      <c r="L35" s="373">
        <f t="shared" si="11"/>
        <v>0</v>
      </c>
      <c r="M35" s="372">
        <f t="shared" si="11"/>
        <v>0</v>
      </c>
      <c r="N35" s="371">
        <f t="shared" si="11"/>
        <v>0</v>
      </c>
    </row>
    <row r="36" spans="1:22">
      <c r="A36" s="401"/>
      <c r="B36" s="414" t="str">
        <f t="shared" si="2"/>
        <v>September</v>
      </c>
      <c r="C36" s="372">
        <f t="shared" ref="C36:N36" si="12">+C20-C53</f>
        <v>0</v>
      </c>
      <c r="D36" s="373">
        <f t="shared" si="12"/>
        <v>2117770.6900000013</v>
      </c>
      <c r="E36" s="372">
        <f t="shared" si="12"/>
        <v>0</v>
      </c>
      <c r="F36" s="373">
        <f t="shared" si="12"/>
        <v>0</v>
      </c>
      <c r="G36" s="372">
        <f t="shared" si="12"/>
        <v>0</v>
      </c>
      <c r="H36" s="373">
        <f t="shared" si="12"/>
        <v>0</v>
      </c>
      <c r="I36" s="372">
        <f t="shared" si="12"/>
        <v>0</v>
      </c>
      <c r="J36" s="373">
        <f t="shared" si="12"/>
        <v>0</v>
      </c>
      <c r="K36" s="372">
        <f t="shared" si="12"/>
        <v>0</v>
      </c>
      <c r="L36" s="373">
        <f t="shared" si="12"/>
        <v>0</v>
      </c>
      <c r="M36" s="372">
        <f t="shared" si="12"/>
        <v>0</v>
      </c>
      <c r="N36" s="371">
        <f t="shared" si="12"/>
        <v>0</v>
      </c>
    </row>
    <row r="37" spans="1:22">
      <c r="A37" s="401"/>
      <c r="B37" s="414" t="str">
        <f t="shared" si="2"/>
        <v>October</v>
      </c>
      <c r="C37" s="372">
        <f t="shared" ref="C37:N37" si="13">+C21-C54</f>
        <v>0</v>
      </c>
      <c r="D37" s="373">
        <f t="shared" si="13"/>
        <v>2181523.3000000007</v>
      </c>
      <c r="E37" s="372">
        <f t="shared" si="13"/>
        <v>0</v>
      </c>
      <c r="F37" s="373">
        <f t="shared" si="13"/>
        <v>0</v>
      </c>
      <c r="G37" s="372">
        <f t="shared" si="13"/>
        <v>0</v>
      </c>
      <c r="H37" s="373">
        <f t="shared" si="13"/>
        <v>0</v>
      </c>
      <c r="I37" s="372">
        <f t="shared" si="13"/>
        <v>0</v>
      </c>
      <c r="J37" s="373">
        <f t="shared" si="13"/>
        <v>0</v>
      </c>
      <c r="K37" s="372">
        <f t="shared" si="13"/>
        <v>0</v>
      </c>
      <c r="L37" s="373">
        <f t="shared" si="13"/>
        <v>0</v>
      </c>
      <c r="M37" s="372">
        <f t="shared" si="13"/>
        <v>0</v>
      </c>
      <c r="N37" s="371">
        <f t="shared" si="13"/>
        <v>0</v>
      </c>
    </row>
    <row r="38" spans="1:22">
      <c r="A38" s="401"/>
      <c r="B38" s="414" t="str">
        <f t="shared" si="2"/>
        <v>November</v>
      </c>
      <c r="C38" s="372">
        <f t="shared" ref="C38:N38" si="14">+C22-C55</f>
        <v>0</v>
      </c>
      <c r="D38" s="373">
        <f t="shared" si="14"/>
        <v>2245275.91</v>
      </c>
      <c r="E38" s="372">
        <f t="shared" si="14"/>
        <v>0</v>
      </c>
      <c r="F38" s="373">
        <f t="shared" si="14"/>
        <v>0</v>
      </c>
      <c r="G38" s="372">
        <f t="shared" si="14"/>
        <v>0</v>
      </c>
      <c r="H38" s="373">
        <f t="shared" si="14"/>
        <v>0</v>
      </c>
      <c r="I38" s="372">
        <f t="shared" si="14"/>
        <v>0</v>
      </c>
      <c r="J38" s="373">
        <f t="shared" si="14"/>
        <v>0</v>
      </c>
      <c r="K38" s="372">
        <f t="shared" si="14"/>
        <v>0</v>
      </c>
      <c r="L38" s="373">
        <f t="shared" si="14"/>
        <v>0</v>
      </c>
      <c r="M38" s="372">
        <f t="shared" si="14"/>
        <v>0</v>
      </c>
      <c r="N38" s="371">
        <f t="shared" si="14"/>
        <v>0</v>
      </c>
    </row>
    <row r="39" spans="1:22">
      <c r="A39" s="376"/>
      <c r="B39" s="414" t="str">
        <f t="shared" si="2"/>
        <v>December 2016</v>
      </c>
      <c r="C39" s="411">
        <f t="shared" ref="C39:N39" si="15">+C23-C56</f>
        <v>0</v>
      </c>
      <c r="D39" s="412">
        <f t="shared" si="15"/>
        <v>2309028.5199999996</v>
      </c>
      <c r="E39" s="411">
        <f t="shared" si="15"/>
        <v>0</v>
      </c>
      <c r="F39" s="412">
        <f t="shared" si="15"/>
        <v>0</v>
      </c>
      <c r="G39" s="411">
        <f t="shared" si="15"/>
        <v>0</v>
      </c>
      <c r="H39" s="412">
        <f t="shared" si="15"/>
        <v>0</v>
      </c>
      <c r="I39" s="411">
        <f t="shared" si="15"/>
        <v>0</v>
      </c>
      <c r="J39" s="412">
        <f t="shared" si="15"/>
        <v>0</v>
      </c>
      <c r="K39" s="411">
        <f t="shared" si="15"/>
        <v>0</v>
      </c>
      <c r="L39" s="412">
        <f t="shared" si="15"/>
        <v>0</v>
      </c>
      <c r="M39" s="411">
        <f t="shared" si="15"/>
        <v>0</v>
      </c>
      <c r="N39" s="410">
        <f t="shared" si="15"/>
        <v>0</v>
      </c>
    </row>
    <row r="40" spans="1:22">
      <c r="A40" s="387"/>
      <c r="B40" s="398" t="s">
        <v>589</v>
      </c>
      <c r="C40" s="396">
        <f t="shared" ref="C40:N40" si="16">AVERAGE(C27:C39)</f>
        <v>0</v>
      </c>
      <c r="D40" s="396">
        <f t="shared" si="16"/>
        <v>1926512.8600000008</v>
      </c>
      <c r="E40" s="396">
        <f t="shared" si="16"/>
        <v>0</v>
      </c>
      <c r="F40" s="396">
        <f t="shared" si="16"/>
        <v>0</v>
      </c>
      <c r="G40" s="396">
        <f t="shared" si="16"/>
        <v>0</v>
      </c>
      <c r="H40" s="396">
        <f t="shared" si="16"/>
        <v>0</v>
      </c>
      <c r="I40" s="396">
        <f t="shared" si="16"/>
        <v>0</v>
      </c>
      <c r="J40" s="396">
        <f t="shared" si="16"/>
        <v>0</v>
      </c>
      <c r="K40" s="396">
        <f t="shared" si="16"/>
        <v>0</v>
      </c>
      <c r="L40" s="396">
        <f t="shared" si="16"/>
        <v>0</v>
      </c>
      <c r="M40" s="396">
        <f t="shared" si="16"/>
        <v>0</v>
      </c>
      <c r="N40" s="397">
        <f t="shared" si="16"/>
        <v>0</v>
      </c>
    </row>
    <row r="41" spans="1:22" s="408" customFormat="1">
      <c r="A41" s="409"/>
      <c r="B41" s="444"/>
      <c r="C41" s="436"/>
      <c r="D41" s="436"/>
      <c r="E41" s="436"/>
      <c r="F41" s="436"/>
      <c r="G41" s="436"/>
      <c r="H41" s="443"/>
      <c r="I41" s="443"/>
      <c r="J41" s="443"/>
      <c r="K41" s="436"/>
      <c r="O41" s="360"/>
      <c r="P41" s="360"/>
      <c r="Q41" s="360"/>
      <c r="R41" s="360"/>
      <c r="S41" s="360"/>
      <c r="T41" s="360"/>
      <c r="U41" s="360"/>
      <c r="V41" s="360"/>
    </row>
    <row r="42" spans="1:22">
      <c r="A42" s="387"/>
      <c r="B42" s="393"/>
      <c r="C42" s="442"/>
      <c r="D42" s="442"/>
      <c r="E42" s="442"/>
      <c r="F42" s="442"/>
      <c r="G42" s="442"/>
      <c r="H42" s="442"/>
      <c r="I42" s="442"/>
      <c r="J42" s="442"/>
      <c r="K42" s="441"/>
    </row>
    <row r="43" spans="1:22">
      <c r="A43" s="405"/>
      <c r="B43" s="440"/>
      <c r="C43" s="439"/>
      <c r="D43" s="438"/>
      <c r="E43" s="438"/>
      <c r="F43" s="438"/>
      <c r="G43" s="438"/>
      <c r="H43" s="438"/>
      <c r="I43" s="438"/>
      <c r="J43" s="438"/>
      <c r="K43" s="437"/>
      <c r="L43" s="434"/>
      <c r="M43" s="434"/>
      <c r="N43" s="434"/>
    </row>
    <row r="44" spans="1:22">
      <c r="A44" s="401" t="s">
        <v>591</v>
      </c>
      <c r="B44" s="400" t="str">
        <f t="shared" ref="B44:B56" si="17">+B11</f>
        <v>December 2015</v>
      </c>
      <c r="C44" s="378">
        <v>16115512.83</v>
      </c>
      <c r="D44" s="379">
        <v>31986247.949999999</v>
      </c>
      <c r="E44" s="378">
        <v>0</v>
      </c>
      <c r="F44" s="379">
        <v>0</v>
      </c>
      <c r="G44" s="378">
        <v>0</v>
      </c>
      <c r="H44" s="379">
        <v>0</v>
      </c>
      <c r="I44" s="378">
        <v>0</v>
      </c>
      <c r="J44" s="379">
        <v>0</v>
      </c>
      <c r="K44" s="378">
        <v>0</v>
      </c>
      <c r="L44" s="379">
        <v>0</v>
      </c>
      <c r="M44" s="378">
        <v>0</v>
      </c>
      <c r="N44" s="377">
        <v>0</v>
      </c>
    </row>
    <row r="45" spans="1:22">
      <c r="A45" s="401" t="s">
        <v>626</v>
      </c>
      <c r="B45" s="400" t="str">
        <f t="shared" si="17"/>
        <v>January 2016</v>
      </c>
      <c r="C45" s="372">
        <v>20020252.73</v>
      </c>
      <c r="D45" s="373">
        <v>31922495.339999996</v>
      </c>
      <c r="E45" s="372">
        <v>0</v>
      </c>
      <c r="F45" s="373">
        <v>0</v>
      </c>
      <c r="G45" s="372">
        <v>0</v>
      </c>
      <c r="H45" s="373">
        <v>0</v>
      </c>
      <c r="I45" s="372">
        <v>0</v>
      </c>
      <c r="J45" s="373">
        <v>0</v>
      </c>
      <c r="K45" s="372">
        <v>0</v>
      </c>
      <c r="L45" s="373">
        <v>0</v>
      </c>
      <c r="M45" s="372">
        <v>0</v>
      </c>
      <c r="N45" s="371">
        <v>0</v>
      </c>
    </row>
    <row r="46" spans="1:22">
      <c r="A46" s="401"/>
      <c r="B46" s="400" t="str">
        <f t="shared" si="17"/>
        <v>February</v>
      </c>
      <c r="C46" s="372">
        <v>23495916.449999999</v>
      </c>
      <c r="D46" s="373">
        <v>31858742.729999997</v>
      </c>
      <c r="E46" s="372">
        <v>0</v>
      </c>
      <c r="F46" s="373">
        <v>0</v>
      </c>
      <c r="G46" s="372">
        <v>0</v>
      </c>
      <c r="H46" s="373">
        <v>0</v>
      </c>
      <c r="I46" s="372">
        <v>0</v>
      </c>
      <c r="J46" s="373">
        <v>0</v>
      </c>
      <c r="K46" s="372">
        <v>0</v>
      </c>
      <c r="L46" s="373">
        <v>0</v>
      </c>
      <c r="M46" s="372">
        <v>0</v>
      </c>
      <c r="N46" s="371">
        <v>0</v>
      </c>
    </row>
    <row r="47" spans="1:22">
      <c r="A47" s="401"/>
      <c r="B47" s="400" t="str">
        <f t="shared" si="17"/>
        <v xml:space="preserve">March </v>
      </c>
      <c r="C47" s="372">
        <v>26332179.27</v>
      </c>
      <c r="D47" s="373">
        <v>31794990.119999997</v>
      </c>
      <c r="E47" s="372">
        <v>0</v>
      </c>
      <c r="F47" s="373">
        <v>0</v>
      </c>
      <c r="G47" s="372">
        <v>0</v>
      </c>
      <c r="H47" s="373">
        <v>0</v>
      </c>
      <c r="I47" s="372">
        <v>0</v>
      </c>
      <c r="J47" s="373">
        <v>0</v>
      </c>
      <c r="K47" s="372">
        <v>0</v>
      </c>
      <c r="L47" s="373">
        <v>0</v>
      </c>
      <c r="M47" s="372">
        <v>0</v>
      </c>
      <c r="N47" s="371">
        <v>0</v>
      </c>
    </row>
    <row r="48" spans="1:22">
      <c r="A48" s="401"/>
      <c r="B48" s="400" t="str">
        <f t="shared" si="17"/>
        <v>April</v>
      </c>
      <c r="C48" s="372">
        <v>29068157.379999999</v>
      </c>
      <c r="D48" s="373">
        <v>31731237.509999998</v>
      </c>
      <c r="E48" s="372">
        <v>0</v>
      </c>
      <c r="F48" s="373">
        <v>0</v>
      </c>
      <c r="G48" s="372">
        <v>0</v>
      </c>
      <c r="H48" s="373">
        <v>0</v>
      </c>
      <c r="I48" s="372">
        <v>0</v>
      </c>
      <c r="J48" s="373">
        <v>0</v>
      </c>
      <c r="K48" s="372">
        <v>0</v>
      </c>
      <c r="L48" s="373">
        <v>0</v>
      </c>
      <c r="M48" s="372">
        <v>0</v>
      </c>
      <c r="N48" s="371">
        <v>0</v>
      </c>
    </row>
    <row r="49" spans="1:14">
      <c r="A49" s="401"/>
      <c r="B49" s="400" t="str">
        <f t="shared" si="17"/>
        <v>May</v>
      </c>
      <c r="C49" s="372">
        <v>34640997.100000001</v>
      </c>
      <c r="D49" s="373">
        <v>31667484.899999999</v>
      </c>
      <c r="E49" s="372">
        <v>0</v>
      </c>
      <c r="F49" s="373">
        <v>0</v>
      </c>
      <c r="G49" s="372">
        <v>0</v>
      </c>
      <c r="H49" s="373">
        <v>0</v>
      </c>
      <c r="I49" s="372">
        <v>0</v>
      </c>
      <c r="J49" s="373">
        <v>0</v>
      </c>
      <c r="K49" s="372">
        <v>0</v>
      </c>
      <c r="L49" s="373">
        <v>0</v>
      </c>
      <c r="M49" s="372">
        <v>0</v>
      </c>
      <c r="N49" s="371">
        <v>0</v>
      </c>
    </row>
    <row r="50" spans="1:14">
      <c r="A50" s="401"/>
      <c r="B50" s="400" t="str">
        <f t="shared" si="17"/>
        <v>June</v>
      </c>
      <c r="C50" s="372">
        <v>43478402.789999999</v>
      </c>
      <c r="D50" s="373">
        <v>31603732.289999999</v>
      </c>
      <c r="E50" s="372">
        <v>0</v>
      </c>
      <c r="F50" s="373">
        <v>0</v>
      </c>
      <c r="G50" s="372">
        <v>0</v>
      </c>
      <c r="H50" s="373">
        <v>0</v>
      </c>
      <c r="I50" s="372">
        <v>0</v>
      </c>
      <c r="J50" s="373">
        <v>0</v>
      </c>
      <c r="K50" s="372">
        <v>0</v>
      </c>
      <c r="L50" s="373">
        <v>0</v>
      </c>
      <c r="M50" s="372">
        <v>0</v>
      </c>
      <c r="N50" s="371">
        <v>0</v>
      </c>
    </row>
    <row r="51" spans="1:14">
      <c r="A51" s="401"/>
      <c r="B51" s="400" t="str">
        <f t="shared" si="17"/>
        <v>July</v>
      </c>
      <c r="C51" s="372">
        <v>52975744.740000002</v>
      </c>
      <c r="D51" s="373">
        <v>31539979.679999996</v>
      </c>
      <c r="E51" s="372">
        <v>0</v>
      </c>
      <c r="F51" s="373">
        <v>0</v>
      </c>
      <c r="G51" s="372">
        <v>0</v>
      </c>
      <c r="H51" s="373">
        <v>0</v>
      </c>
      <c r="I51" s="372">
        <v>0</v>
      </c>
      <c r="J51" s="373">
        <v>0</v>
      </c>
      <c r="K51" s="372">
        <v>0</v>
      </c>
      <c r="L51" s="373">
        <v>0</v>
      </c>
      <c r="M51" s="372">
        <v>0</v>
      </c>
      <c r="N51" s="371">
        <v>0</v>
      </c>
    </row>
    <row r="52" spans="1:14">
      <c r="A52" s="401"/>
      <c r="B52" s="400" t="str">
        <f t="shared" si="17"/>
        <v xml:space="preserve">August </v>
      </c>
      <c r="C52" s="372">
        <v>61513746.729999997</v>
      </c>
      <c r="D52" s="373">
        <v>31476227.069999997</v>
      </c>
      <c r="E52" s="372">
        <v>0</v>
      </c>
      <c r="F52" s="373">
        <v>0</v>
      </c>
      <c r="G52" s="372">
        <v>0</v>
      </c>
      <c r="H52" s="373">
        <v>0</v>
      </c>
      <c r="I52" s="372">
        <v>0</v>
      </c>
      <c r="J52" s="373">
        <v>0</v>
      </c>
      <c r="K52" s="372">
        <v>0</v>
      </c>
      <c r="L52" s="373">
        <v>0</v>
      </c>
      <c r="M52" s="372">
        <v>0</v>
      </c>
      <c r="N52" s="371">
        <v>0</v>
      </c>
    </row>
    <row r="53" spans="1:14">
      <c r="A53" s="401"/>
      <c r="B53" s="400" t="str">
        <f t="shared" si="17"/>
        <v>September</v>
      </c>
      <c r="C53" s="372">
        <v>68758726.180000007</v>
      </c>
      <c r="D53" s="373">
        <v>31412474.459999997</v>
      </c>
      <c r="E53" s="372">
        <v>0</v>
      </c>
      <c r="F53" s="373">
        <v>0</v>
      </c>
      <c r="G53" s="372">
        <v>0</v>
      </c>
      <c r="H53" s="373">
        <v>0</v>
      </c>
      <c r="I53" s="372">
        <v>0</v>
      </c>
      <c r="J53" s="373">
        <v>0</v>
      </c>
      <c r="K53" s="372">
        <v>0</v>
      </c>
      <c r="L53" s="373">
        <v>0</v>
      </c>
      <c r="M53" s="372">
        <v>0</v>
      </c>
      <c r="N53" s="371">
        <v>0</v>
      </c>
    </row>
    <row r="54" spans="1:14">
      <c r="A54" s="401"/>
      <c r="B54" s="400" t="str">
        <f t="shared" si="17"/>
        <v>October</v>
      </c>
      <c r="C54" s="372">
        <v>78957728.329999998</v>
      </c>
      <c r="D54" s="373">
        <v>31348721.849999998</v>
      </c>
      <c r="E54" s="372">
        <v>0</v>
      </c>
      <c r="F54" s="373">
        <v>0</v>
      </c>
      <c r="G54" s="372">
        <v>0</v>
      </c>
      <c r="H54" s="373">
        <v>0</v>
      </c>
      <c r="I54" s="372">
        <v>0</v>
      </c>
      <c r="J54" s="373">
        <v>0</v>
      </c>
      <c r="K54" s="372">
        <v>0</v>
      </c>
      <c r="L54" s="373">
        <v>0</v>
      </c>
      <c r="M54" s="372">
        <v>0</v>
      </c>
      <c r="N54" s="371">
        <v>0</v>
      </c>
    </row>
    <row r="55" spans="1:14">
      <c r="A55" s="401"/>
      <c r="B55" s="400" t="str">
        <f t="shared" si="17"/>
        <v>November</v>
      </c>
      <c r="C55" s="372">
        <v>84817625.189999998</v>
      </c>
      <c r="D55" s="373">
        <v>31284969.239999998</v>
      </c>
      <c r="E55" s="372">
        <v>0</v>
      </c>
      <c r="F55" s="373">
        <v>0</v>
      </c>
      <c r="G55" s="372">
        <v>0</v>
      </c>
      <c r="H55" s="373">
        <v>0</v>
      </c>
      <c r="I55" s="372">
        <v>0</v>
      </c>
      <c r="J55" s="373">
        <v>0</v>
      </c>
      <c r="K55" s="372">
        <v>0</v>
      </c>
      <c r="L55" s="373">
        <v>0</v>
      </c>
      <c r="M55" s="372">
        <v>0</v>
      </c>
      <c r="N55" s="371">
        <v>0</v>
      </c>
    </row>
    <row r="56" spans="1:14">
      <c r="A56" s="401"/>
      <c r="B56" s="400" t="str">
        <f t="shared" si="17"/>
        <v>December 2016</v>
      </c>
      <c r="C56" s="411">
        <v>91448232.439999998</v>
      </c>
      <c r="D56" s="412">
        <v>31221216.629999995</v>
      </c>
      <c r="E56" s="411">
        <v>0</v>
      </c>
      <c r="F56" s="412">
        <v>0</v>
      </c>
      <c r="G56" s="411">
        <v>0</v>
      </c>
      <c r="H56" s="412">
        <v>0</v>
      </c>
      <c r="I56" s="411">
        <v>0</v>
      </c>
      <c r="J56" s="412">
        <v>0</v>
      </c>
      <c r="K56" s="411">
        <v>0</v>
      </c>
      <c r="L56" s="412">
        <v>0</v>
      </c>
      <c r="M56" s="411">
        <v>0</v>
      </c>
      <c r="N56" s="410">
        <v>0</v>
      </c>
    </row>
    <row r="57" spans="1:14">
      <c r="A57" s="399"/>
      <c r="B57" s="398" t="s">
        <v>589</v>
      </c>
      <c r="C57" s="396">
        <f t="shared" ref="C57:N57" si="18">AVERAGE(C44:C56)</f>
        <v>48586401.704615392</v>
      </c>
      <c r="D57" s="396">
        <f t="shared" si="18"/>
        <v>31603732.289999999</v>
      </c>
      <c r="E57" s="396">
        <f t="shared" si="18"/>
        <v>0</v>
      </c>
      <c r="F57" s="396">
        <f t="shared" si="18"/>
        <v>0</v>
      </c>
      <c r="G57" s="396">
        <f t="shared" si="18"/>
        <v>0</v>
      </c>
      <c r="H57" s="396">
        <f t="shared" si="18"/>
        <v>0</v>
      </c>
      <c r="I57" s="396">
        <f t="shared" si="18"/>
        <v>0</v>
      </c>
      <c r="J57" s="396">
        <f t="shared" si="18"/>
        <v>0</v>
      </c>
      <c r="K57" s="396">
        <f t="shared" si="18"/>
        <v>0</v>
      </c>
      <c r="L57" s="396">
        <f t="shared" si="18"/>
        <v>0</v>
      </c>
      <c r="M57" s="396">
        <f t="shared" si="18"/>
        <v>0</v>
      </c>
      <c r="N57" s="397">
        <f t="shared" si="18"/>
        <v>0</v>
      </c>
    </row>
    <row r="58" spans="1:14">
      <c r="A58" s="387"/>
      <c r="B58" s="393"/>
      <c r="C58" s="392"/>
      <c r="D58" s="392"/>
      <c r="E58" s="392"/>
      <c r="F58" s="392"/>
      <c r="G58" s="392"/>
      <c r="H58" s="388"/>
      <c r="I58" s="388"/>
      <c r="J58" s="388"/>
      <c r="K58" s="436"/>
    </row>
    <row r="59" spans="1:14">
      <c r="A59" s="387"/>
      <c r="B59" s="386"/>
      <c r="C59" s="383"/>
      <c r="D59" s="383"/>
      <c r="E59" s="383"/>
      <c r="F59" s="383"/>
      <c r="G59" s="383"/>
      <c r="H59" s="383"/>
      <c r="I59" s="383"/>
      <c r="J59" s="383"/>
      <c r="K59" s="435"/>
      <c r="L59" s="434"/>
      <c r="M59" s="434"/>
      <c r="N59" s="434"/>
    </row>
    <row r="60" spans="1:14">
      <c r="A60" s="382" t="s">
        <v>588</v>
      </c>
      <c r="B60" s="381" t="s">
        <v>417</v>
      </c>
      <c r="C60" s="378">
        <v>0</v>
      </c>
      <c r="D60" s="379">
        <v>765031.32</v>
      </c>
      <c r="E60" s="378">
        <v>0</v>
      </c>
      <c r="F60" s="379">
        <v>0</v>
      </c>
      <c r="G60" s="378">
        <v>0</v>
      </c>
      <c r="H60" s="379">
        <v>0</v>
      </c>
      <c r="I60" s="378">
        <v>0</v>
      </c>
      <c r="J60" s="379">
        <v>0</v>
      </c>
      <c r="K60" s="378">
        <v>0</v>
      </c>
      <c r="L60" s="379">
        <v>0</v>
      </c>
      <c r="M60" s="378">
        <v>0</v>
      </c>
      <c r="N60" s="377">
        <v>0</v>
      </c>
    </row>
    <row r="61" spans="1:14">
      <c r="A61" s="376" t="s">
        <v>625</v>
      </c>
      <c r="B61" s="375" t="s">
        <v>586</v>
      </c>
      <c r="C61" s="372">
        <v>0</v>
      </c>
      <c r="D61" s="373">
        <v>0</v>
      </c>
      <c r="E61" s="372">
        <v>0</v>
      </c>
      <c r="F61" s="373">
        <v>0</v>
      </c>
      <c r="G61" s="372">
        <v>0</v>
      </c>
      <c r="H61" s="373">
        <v>0</v>
      </c>
      <c r="I61" s="372">
        <v>0</v>
      </c>
      <c r="J61" s="373">
        <v>0</v>
      </c>
      <c r="K61" s="372">
        <v>0</v>
      </c>
      <c r="L61" s="373">
        <v>0</v>
      </c>
      <c r="M61" s="372">
        <v>0</v>
      </c>
      <c r="N61" s="371">
        <v>0</v>
      </c>
    </row>
    <row r="62" spans="1:14">
      <c r="A62" s="395"/>
      <c r="B62" s="394" t="s">
        <v>585</v>
      </c>
      <c r="C62" s="368">
        <f t="shared" ref="C62:N62" si="19">SUM(C60:C61)</f>
        <v>0</v>
      </c>
      <c r="D62" s="368">
        <f t="shared" si="19"/>
        <v>765031.32</v>
      </c>
      <c r="E62" s="368">
        <f t="shared" si="19"/>
        <v>0</v>
      </c>
      <c r="F62" s="368">
        <f t="shared" si="19"/>
        <v>0</v>
      </c>
      <c r="G62" s="368">
        <f t="shared" si="19"/>
        <v>0</v>
      </c>
      <c r="H62" s="368">
        <f t="shared" si="19"/>
        <v>0</v>
      </c>
      <c r="I62" s="368">
        <f t="shared" si="19"/>
        <v>0</v>
      </c>
      <c r="J62" s="368">
        <f t="shared" si="19"/>
        <v>0</v>
      </c>
      <c r="K62" s="368">
        <f t="shared" si="19"/>
        <v>0</v>
      </c>
      <c r="L62" s="368">
        <f t="shared" si="19"/>
        <v>0</v>
      </c>
      <c r="M62" s="368">
        <f t="shared" si="19"/>
        <v>0</v>
      </c>
      <c r="N62" s="367">
        <f t="shared" si="19"/>
        <v>0</v>
      </c>
    </row>
    <row r="63" spans="1:14">
      <c r="A63" s="387"/>
      <c r="B63" s="393"/>
      <c r="C63" s="392"/>
      <c r="D63" s="392"/>
      <c r="E63" s="392"/>
      <c r="F63" s="392"/>
      <c r="G63" s="392"/>
      <c r="H63" s="388"/>
      <c r="I63" s="388"/>
      <c r="J63" s="388"/>
      <c r="K63" s="436"/>
    </row>
    <row r="64" spans="1:14">
      <c r="A64" s="387"/>
      <c r="B64" s="386"/>
      <c r="C64" s="383"/>
      <c r="D64" s="383"/>
      <c r="E64" s="383"/>
      <c r="F64" s="383"/>
      <c r="G64" s="383"/>
      <c r="H64" s="383"/>
      <c r="I64" s="383"/>
      <c r="J64" s="383"/>
      <c r="K64" s="435"/>
      <c r="L64" s="434"/>
      <c r="M64" s="434"/>
      <c r="N64" s="434"/>
    </row>
    <row r="65" spans="1:14">
      <c r="A65" s="382" t="s">
        <v>584</v>
      </c>
      <c r="B65" s="381" t="s">
        <v>583</v>
      </c>
      <c r="C65" s="378">
        <v>1337936.42</v>
      </c>
      <c r="D65" s="379">
        <v>0</v>
      </c>
      <c r="E65" s="378">
        <v>0</v>
      </c>
      <c r="F65" s="379">
        <v>0</v>
      </c>
      <c r="G65" s="378">
        <v>0</v>
      </c>
      <c r="H65" s="379">
        <v>0</v>
      </c>
      <c r="I65" s="378">
        <v>0</v>
      </c>
      <c r="J65" s="379">
        <v>0</v>
      </c>
      <c r="K65" s="378">
        <v>0</v>
      </c>
      <c r="L65" s="379">
        <v>0</v>
      </c>
      <c r="M65" s="378">
        <v>0</v>
      </c>
      <c r="N65" s="377">
        <v>0</v>
      </c>
    </row>
    <row r="66" spans="1:14">
      <c r="A66" s="376" t="s">
        <v>624</v>
      </c>
      <c r="B66" s="375"/>
      <c r="C66" s="372">
        <v>0</v>
      </c>
      <c r="D66" s="373">
        <v>0</v>
      </c>
      <c r="E66" s="372">
        <v>0</v>
      </c>
      <c r="F66" s="373">
        <v>0</v>
      </c>
      <c r="G66" s="372">
        <v>0</v>
      </c>
      <c r="H66" s="373">
        <v>0</v>
      </c>
      <c r="I66" s="372">
        <v>0</v>
      </c>
      <c r="J66" s="373">
        <v>0</v>
      </c>
      <c r="K66" s="372">
        <v>0</v>
      </c>
      <c r="L66" s="373">
        <v>0</v>
      </c>
      <c r="M66" s="372">
        <v>0</v>
      </c>
      <c r="N66" s="371">
        <v>0</v>
      </c>
    </row>
    <row r="67" spans="1:14">
      <c r="A67" s="395"/>
      <c r="B67" s="394" t="s">
        <v>581</v>
      </c>
      <c r="C67" s="368">
        <f t="shared" ref="C67:N67" si="20">SUM(C65:C66)</f>
        <v>1337936.42</v>
      </c>
      <c r="D67" s="368">
        <f t="shared" si="20"/>
        <v>0</v>
      </c>
      <c r="E67" s="368">
        <f t="shared" si="20"/>
        <v>0</v>
      </c>
      <c r="F67" s="368">
        <f t="shared" si="20"/>
        <v>0</v>
      </c>
      <c r="G67" s="368">
        <f t="shared" si="20"/>
        <v>0</v>
      </c>
      <c r="H67" s="368">
        <f t="shared" si="20"/>
        <v>0</v>
      </c>
      <c r="I67" s="368">
        <f t="shared" si="20"/>
        <v>0</v>
      </c>
      <c r="J67" s="368">
        <f t="shared" si="20"/>
        <v>0</v>
      </c>
      <c r="K67" s="368">
        <f t="shared" si="20"/>
        <v>0</v>
      </c>
      <c r="L67" s="368">
        <f t="shared" si="20"/>
        <v>0</v>
      </c>
      <c r="M67" s="368">
        <f t="shared" si="20"/>
        <v>0</v>
      </c>
      <c r="N67" s="367">
        <f t="shared" si="20"/>
        <v>0</v>
      </c>
    </row>
  </sheetData>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H36"/>
  <sheetViews>
    <sheetView zoomScale="90" zoomScaleNormal="90" workbookViewId="0"/>
  </sheetViews>
  <sheetFormatPr defaultColWidth="9.140625" defaultRowHeight="15"/>
  <cols>
    <col min="1" max="1" width="5.5703125" style="338" customWidth="1"/>
    <col min="2" max="2" width="19.140625" style="336" customWidth="1"/>
    <col min="3" max="3" width="16.42578125" style="336" customWidth="1"/>
    <col min="4" max="4" width="15.28515625" style="336" customWidth="1"/>
    <col min="5" max="5" width="37.42578125" style="336" bestFit="1" customWidth="1"/>
    <col min="6" max="6" width="4" style="336" customWidth="1"/>
    <col min="7" max="7" width="12.7109375" style="336" customWidth="1"/>
    <col min="8" max="8" width="9.140625" style="337"/>
    <col min="9" max="16384" width="9.140625" style="336"/>
  </cols>
  <sheetData>
    <row r="2" spans="1:7" ht="18.75">
      <c r="B2" s="356" t="s">
        <v>566</v>
      </c>
    </row>
    <row r="4" spans="1:7">
      <c r="B4" s="336" t="s">
        <v>565</v>
      </c>
      <c r="C4" s="355" t="s">
        <v>564</v>
      </c>
      <c r="D4" s="354"/>
      <c r="E4" s="345"/>
    </row>
    <row r="6" spans="1:7">
      <c r="B6" s="336" t="s">
        <v>563</v>
      </c>
      <c r="C6" s="353">
        <v>2016</v>
      </c>
    </row>
    <row r="7" spans="1:7">
      <c r="B7" s="336" t="s">
        <v>562</v>
      </c>
      <c r="C7" s="353">
        <v>2014</v>
      </c>
      <c r="D7" s="336" t="s">
        <v>23</v>
      </c>
    </row>
    <row r="8" spans="1:7">
      <c r="C8" s="338"/>
    </row>
    <row r="9" spans="1:7">
      <c r="B9" s="336" t="s">
        <v>561</v>
      </c>
      <c r="C9" s="353" t="s">
        <v>630</v>
      </c>
    </row>
    <row r="11" spans="1:7">
      <c r="B11" s="351" t="s">
        <v>49</v>
      </c>
      <c r="C11" s="352"/>
      <c r="D11" s="352"/>
      <c r="E11" s="351" t="s">
        <v>50</v>
      </c>
      <c r="F11" s="352"/>
      <c r="G11" s="351" t="s">
        <v>51</v>
      </c>
    </row>
    <row r="12" spans="1:7">
      <c r="A12" s="336"/>
      <c r="E12" s="348" t="s">
        <v>54</v>
      </c>
      <c r="G12" s="348" t="s">
        <v>560</v>
      </c>
    </row>
    <row r="13" spans="1:7">
      <c r="A13" s="350" t="s">
        <v>4</v>
      </c>
      <c r="E13" s="348" t="s">
        <v>56</v>
      </c>
      <c r="G13" s="348" t="s">
        <v>10</v>
      </c>
    </row>
    <row r="14" spans="1:7">
      <c r="A14" s="349" t="s">
        <v>6</v>
      </c>
      <c r="E14" s="348"/>
      <c r="G14" s="348"/>
    </row>
    <row r="15" spans="1:7">
      <c r="A15" s="338">
        <v>1</v>
      </c>
      <c r="B15" s="336" t="s">
        <v>559</v>
      </c>
      <c r="E15" s="336" t="s">
        <v>558</v>
      </c>
      <c r="G15" s="344">
        <v>3411633.75</v>
      </c>
    </row>
    <row r="16" spans="1:7">
      <c r="A16" s="338">
        <v>2</v>
      </c>
      <c r="B16" s="336" t="s">
        <v>557</v>
      </c>
      <c r="E16" s="336" t="s">
        <v>556</v>
      </c>
      <c r="G16" s="344">
        <v>12633280</v>
      </c>
    </row>
    <row r="17" spans="1:7">
      <c r="A17" s="338">
        <v>3</v>
      </c>
      <c r="B17" s="336" t="s">
        <v>555</v>
      </c>
      <c r="E17" s="336" t="s">
        <v>554</v>
      </c>
      <c r="G17" s="344">
        <v>0</v>
      </c>
    </row>
    <row r="18" spans="1:7">
      <c r="A18" s="338">
        <v>4</v>
      </c>
      <c r="B18" s="336" t="s">
        <v>553</v>
      </c>
      <c r="E18" s="336" t="s">
        <v>552</v>
      </c>
      <c r="G18" s="347">
        <f>SUM(G15:G17)</f>
        <v>16044913.75</v>
      </c>
    </row>
    <row r="20" spans="1:7">
      <c r="A20" s="338">
        <v>5</v>
      </c>
      <c r="B20" s="336" t="s">
        <v>551</v>
      </c>
      <c r="E20" s="336" t="s">
        <v>550</v>
      </c>
      <c r="G20" s="344">
        <v>0</v>
      </c>
    </row>
    <row r="22" spans="1:7">
      <c r="A22" s="346">
        <v>6</v>
      </c>
      <c r="B22" s="345" t="s">
        <v>549</v>
      </c>
      <c r="C22" s="345"/>
      <c r="D22" s="345"/>
      <c r="G22" s="344">
        <v>0</v>
      </c>
    </row>
    <row r="24" spans="1:7">
      <c r="A24" s="338">
        <v>7</v>
      </c>
      <c r="B24" s="336" t="s">
        <v>548</v>
      </c>
      <c r="E24" s="336" t="str">
        <f>"(Line "&amp;A18&amp;" - Line "&amp;A20&amp;" - Line "&amp;A22&amp;")"</f>
        <v>(Line 4 - Line 5 - Line 6)</v>
      </c>
      <c r="G24" s="343">
        <f>+G18-G20-G22</f>
        <v>16044913.75</v>
      </c>
    </row>
    <row r="26" spans="1:7">
      <c r="A26" s="338">
        <v>8</v>
      </c>
      <c r="B26" s="336" t="s">
        <v>547</v>
      </c>
      <c r="G26" s="457">
        <f>'ATC Sch 1 True up Int 2014'!E36</f>
        <v>4892510.1339082392</v>
      </c>
    </row>
    <row r="28" spans="1:7">
      <c r="A28" s="338">
        <v>9</v>
      </c>
      <c r="B28" s="336" t="s">
        <v>546</v>
      </c>
      <c r="E28" s="336" t="str">
        <f>"(Line "&amp;A24&amp;" + Line "&amp;A26&amp;")"</f>
        <v>(Line 7 + Line 8)</v>
      </c>
      <c r="G28" s="343">
        <f>+G24+G26</f>
        <v>20937423.883908238</v>
      </c>
    </row>
    <row r="29" spans="1:7">
      <c r="G29" s="342"/>
    </row>
    <row r="31" spans="1:7">
      <c r="A31" s="341" t="s">
        <v>180</v>
      </c>
    </row>
    <row r="32" spans="1:7">
      <c r="A32" s="340" t="s">
        <v>181</v>
      </c>
    </row>
    <row r="33" spans="1:7" ht="15" customHeight="1">
      <c r="A33" s="339" t="s">
        <v>182</v>
      </c>
      <c r="B33" s="992" t="s">
        <v>545</v>
      </c>
      <c r="C33" s="992"/>
      <c r="D33" s="992"/>
      <c r="E33" s="992"/>
      <c r="F33" s="992"/>
      <c r="G33" s="992"/>
    </row>
    <row r="34" spans="1:7" ht="32.25" customHeight="1">
      <c r="A34" s="339" t="s">
        <v>183</v>
      </c>
      <c r="B34" s="992" t="s">
        <v>544</v>
      </c>
      <c r="C34" s="992"/>
      <c r="D34" s="992"/>
      <c r="E34" s="992"/>
      <c r="F34" s="992"/>
      <c r="G34" s="992"/>
    </row>
    <row r="35" spans="1:7" ht="62.25" customHeight="1">
      <c r="A35" s="339" t="s">
        <v>184</v>
      </c>
      <c r="B35" s="992" t="s">
        <v>543</v>
      </c>
      <c r="C35" s="992"/>
      <c r="D35" s="992"/>
      <c r="E35" s="992"/>
      <c r="F35" s="992"/>
      <c r="G35" s="992"/>
    </row>
    <row r="36" spans="1:7" ht="32.25" customHeight="1">
      <c r="A36" s="339" t="s">
        <v>185</v>
      </c>
      <c r="B36" s="992" t="s">
        <v>542</v>
      </c>
      <c r="C36" s="992"/>
      <c r="D36" s="992"/>
      <c r="E36" s="992"/>
      <c r="F36" s="992"/>
      <c r="G36" s="992"/>
    </row>
  </sheetData>
  <mergeCells count="4">
    <mergeCell ref="B33:G33"/>
    <mergeCell ref="B34:G34"/>
    <mergeCell ref="B35:G35"/>
    <mergeCell ref="B36:G36"/>
  </mergeCells>
  <pageMargins left="0.5" right="0.19" top="0.8" bottom="0.5" header="0.3" footer="0.3"/>
  <pageSetup scale="90" orientation="portrait" r:id="rId1"/>
  <headerFooter>
    <oddHeader xml:space="preserve">&amp;RPage &amp;P of &amp;N
</oddHead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8"/>
  <sheetViews>
    <sheetView zoomScale="90" zoomScaleNormal="90" workbookViewId="0"/>
  </sheetViews>
  <sheetFormatPr defaultColWidth="9.140625" defaultRowHeight="15"/>
  <cols>
    <col min="1" max="1" width="5.5703125" style="338" customWidth="1"/>
    <col min="2" max="2" width="19.140625" style="336" customWidth="1"/>
    <col min="3" max="3" width="20.28515625" style="336" customWidth="1"/>
    <col min="4" max="4" width="15.28515625" style="336" customWidth="1"/>
    <col min="5" max="5" width="37.42578125" style="336" bestFit="1" customWidth="1"/>
    <col min="6" max="6" width="4" style="336" customWidth="1"/>
    <col min="7" max="7" width="12.7109375" style="336" customWidth="1"/>
    <col min="8" max="8" width="9.140625" style="337"/>
    <col min="9" max="16384" width="9.140625" style="336"/>
  </cols>
  <sheetData>
    <row r="2" spans="1:7" ht="18.75">
      <c r="B2" s="356" t="s">
        <v>580</v>
      </c>
    </row>
    <row r="4" spans="1:7">
      <c r="B4" s="336" t="s">
        <v>565</v>
      </c>
      <c r="C4" s="355" t="s">
        <v>564</v>
      </c>
      <c r="D4" s="355"/>
    </row>
    <row r="6" spans="1:7">
      <c r="B6" s="336" t="s">
        <v>562</v>
      </c>
      <c r="C6" s="353">
        <v>2014</v>
      </c>
    </row>
    <row r="9" spans="1:7">
      <c r="B9" s="359" t="s">
        <v>49</v>
      </c>
      <c r="E9" s="359" t="s">
        <v>50</v>
      </c>
      <c r="G9" s="359" t="s">
        <v>51</v>
      </c>
    </row>
    <row r="10" spans="1:7">
      <c r="E10" s="348" t="s">
        <v>54</v>
      </c>
      <c r="G10" s="348" t="s">
        <v>560</v>
      </c>
    </row>
    <row r="11" spans="1:7">
      <c r="A11" s="338" t="s">
        <v>4</v>
      </c>
      <c r="E11" s="348" t="s">
        <v>56</v>
      </c>
      <c r="G11" s="348" t="s">
        <v>10</v>
      </c>
    </row>
    <row r="12" spans="1:7">
      <c r="A12" s="340" t="s">
        <v>6</v>
      </c>
    </row>
    <row r="13" spans="1:7">
      <c r="A13" s="338">
        <v>1</v>
      </c>
      <c r="B13" s="336" t="s">
        <v>579</v>
      </c>
      <c r="E13" s="336" t="s">
        <v>558</v>
      </c>
      <c r="G13" s="344">
        <v>3452898.46</v>
      </c>
    </row>
    <row r="14" spans="1:7">
      <c r="A14" s="338">
        <f>+A13+1</f>
        <v>2</v>
      </c>
      <c r="B14" s="336" t="s">
        <v>557</v>
      </c>
      <c r="E14" s="336" t="s">
        <v>556</v>
      </c>
      <c r="G14" s="344">
        <v>12519279.060000001</v>
      </c>
    </row>
    <row r="15" spans="1:7">
      <c r="A15" s="338">
        <f>+A14+1</f>
        <v>3</v>
      </c>
      <c r="B15" s="336" t="s">
        <v>555</v>
      </c>
      <c r="E15" s="336" t="s">
        <v>554</v>
      </c>
      <c r="G15" s="344">
        <v>0</v>
      </c>
    </row>
    <row r="16" spans="1:7">
      <c r="A16" s="338">
        <f>+A15+1</f>
        <v>4</v>
      </c>
      <c r="B16" s="336" t="s">
        <v>578</v>
      </c>
      <c r="G16" s="347">
        <f>SUM(G13:G15)</f>
        <v>15972177.52</v>
      </c>
    </row>
    <row r="18" spans="1:8">
      <c r="A18" s="338">
        <f>+A16+1</f>
        <v>5</v>
      </c>
      <c r="B18" s="336" t="s">
        <v>577</v>
      </c>
      <c r="E18" s="336" t="s">
        <v>576</v>
      </c>
      <c r="G18" s="344">
        <v>0</v>
      </c>
    </row>
    <row r="19" spans="1:8">
      <c r="H19" s="336"/>
    </row>
    <row r="20" spans="1:8">
      <c r="A20" s="338">
        <f>+A18+1</f>
        <v>6</v>
      </c>
      <c r="B20" s="345" t="s">
        <v>575</v>
      </c>
      <c r="C20" s="345"/>
      <c r="D20" s="345"/>
      <c r="E20" s="336" t="str">
        <f>"(Line "&amp;A16&amp;" - Line "&amp;A18&amp;")"</f>
        <v>(Line 4 - Line 5)</v>
      </c>
      <c r="G20" s="343">
        <f>+G16-G18</f>
        <v>15972177.52</v>
      </c>
    </row>
    <row r="21" spans="1:8">
      <c r="B21" s="338"/>
      <c r="C21" s="338"/>
      <c r="D21" s="338"/>
      <c r="G21" s="358"/>
    </row>
    <row r="22" spans="1:8">
      <c r="A22" s="338">
        <f>+A20+1</f>
        <v>7</v>
      </c>
      <c r="B22" s="336" t="s">
        <v>574</v>
      </c>
      <c r="E22" s="336" t="s">
        <v>573</v>
      </c>
      <c r="G22" s="344">
        <v>11100014.65</v>
      </c>
    </row>
    <row r="24" spans="1:8">
      <c r="A24" s="338">
        <f>A22+1</f>
        <v>8</v>
      </c>
      <c r="B24" s="336" t="s">
        <v>572</v>
      </c>
      <c r="E24" s="336" t="str">
        <f>"(Line "&amp;A20&amp;" - Line "&amp;A22&amp;")"</f>
        <v>(Line 6 - Line 7)</v>
      </c>
      <c r="G24" s="342">
        <f>+G20-G22</f>
        <v>4872162.8699999992</v>
      </c>
    </row>
    <row r="26" spans="1:8">
      <c r="A26" s="341"/>
      <c r="B26" s="357"/>
      <c r="C26" s="357"/>
      <c r="D26" s="357"/>
      <c r="E26" s="357"/>
      <c r="F26" s="357"/>
      <c r="G26" s="357"/>
    </row>
    <row r="27" spans="1:8">
      <c r="A27" s="338" t="s">
        <v>181</v>
      </c>
    </row>
    <row r="28" spans="1:8">
      <c r="A28" s="340" t="s">
        <v>180</v>
      </c>
    </row>
    <row r="29" spans="1:8">
      <c r="A29" s="339" t="s">
        <v>182</v>
      </c>
      <c r="B29" s="993" t="s">
        <v>571</v>
      </c>
      <c r="C29" s="993"/>
      <c r="D29" s="993"/>
      <c r="E29" s="993"/>
      <c r="F29" s="993"/>
      <c r="G29" s="993"/>
    </row>
    <row r="30" spans="1:8">
      <c r="A30" s="339" t="s">
        <v>183</v>
      </c>
      <c r="B30" s="993" t="s">
        <v>570</v>
      </c>
      <c r="C30" s="993"/>
      <c r="D30" s="993"/>
      <c r="E30" s="993"/>
      <c r="F30" s="993"/>
      <c r="G30" s="993"/>
    </row>
    <row r="31" spans="1:8">
      <c r="A31" s="339" t="s">
        <v>184</v>
      </c>
      <c r="B31" s="993" t="s">
        <v>569</v>
      </c>
      <c r="C31" s="993"/>
      <c r="D31" s="993"/>
      <c r="E31" s="993"/>
      <c r="F31" s="993"/>
      <c r="G31" s="993"/>
    </row>
    <row r="32" spans="1:8" ht="15" customHeight="1">
      <c r="A32" s="339" t="s">
        <v>185</v>
      </c>
      <c r="B32" s="993" t="s">
        <v>568</v>
      </c>
      <c r="C32" s="993"/>
      <c r="D32" s="993"/>
      <c r="E32" s="993"/>
      <c r="F32" s="993"/>
      <c r="G32" s="993"/>
    </row>
    <row r="33" spans="1:7" ht="30" customHeight="1">
      <c r="A33" s="339" t="s">
        <v>186</v>
      </c>
      <c r="B33" s="993" t="s">
        <v>567</v>
      </c>
      <c r="C33" s="993"/>
      <c r="D33" s="993"/>
      <c r="E33" s="993"/>
      <c r="F33" s="993"/>
      <c r="G33" s="993"/>
    </row>
    <row r="34" spans="1:7" ht="15" customHeight="1">
      <c r="A34" s="339"/>
      <c r="B34" s="993"/>
      <c r="C34" s="993"/>
      <c r="D34" s="993"/>
      <c r="E34" s="993"/>
      <c r="F34" s="993"/>
      <c r="G34" s="993"/>
    </row>
    <row r="35" spans="1:7">
      <c r="A35" s="339"/>
      <c r="B35" s="993"/>
      <c r="C35" s="993"/>
      <c r="D35" s="993"/>
      <c r="E35" s="993"/>
      <c r="F35" s="993"/>
      <c r="G35" s="993"/>
    </row>
    <row r="37" spans="1:7">
      <c r="G37" s="342"/>
    </row>
    <row r="38" spans="1:7">
      <c r="B38" s="338"/>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&amp;RPage &amp;P of &amp;N
</oddHeader>
  </headerFooter>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14</vt:i4>
      </vt:variant>
    </vt:vector>
  </HeadingPairs>
  <TitlesOfParts>
    <vt:vector size="37" baseType="lpstr">
      <vt:lpstr>Network True-up</vt:lpstr>
      <vt:lpstr>ATC Attach O ER15-358</vt:lpstr>
      <vt:lpstr>Revenue Breakout</vt:lpstr>
      <vt:lpstr>ATC Attach GG ER15-123</vt:lpstr>
      <vt:lpstr>GG Support Data</vt:lpstr>
      <vt:lpstr>Attach MM ER15-123</vt:lpstr>
      <vt:lpstr>MM Support Data</vt:lpstr>
      <vt:lpstr>ATC Sch 1 - Recoverable Exp</vt:lpstr>
      <vt:lpstr>ATC Sch1 - True-Up Adj 2014</vt:lpstr>
      <vt:lpstr>ATC Sch 1 True up Int 2014</vt:lpstr>
      <vt:lpstr>ATC Sch1 - True-Up Adj 2016</vt:lpstr>
      <vt:lpstr>Common Equity</vt:lpstr>
      <vt:lpstr>CWIP</vt:lpstr>
      <vt:lpstr>Def. Tax Avg Calc</vt:lpstr>
      <vt:lpstr>Calc. of Wgt. Avg. Debt Rate</vt:lpstr>
      <vt:lpstr>Permanent</vt:lpstr>
      <vt:lpstr>Excess Deferreds</vt:lpstr>
      <vt:lpstr>SIT</vt:lpstr>
      <vt:lpstr>TEP</vt:lpstr>
      <vt:lpstr>2014 Sch. 26 True-up Adj</vt:lpstr>
      <vt:lpstr>352 Correction (Sch 26)</vt:lpstr>
      <vt:lpstr>GIP Dep Correction (Sch 26)</vt:lpstr>
      <vt:lpstr>2014 Sch.26A True-up Adj</vt:lpstr>
      <vt:lpstr>'2014 Sch. 26 True-up Adj'!Print_Area</vt:lpstr>
      <vt:lpstr>'2014 Sch.26A True-up Adj'!Print_Area</vt:lpstr>
      <vt:lpstr>'352 Correction (Sch 26)'!Print_Area</vt:lpstr>
      <vt:lpstr>'ATC Attach GG ER15-123'!Print_Area</vt:lpstr>
      <vt:lpstr>'ATC Attach O ER15-358'!Print_Area</vt:lpstr>
      <vt:lpstr>'ATC Sch 1 - Recoverable Exp'!Print_Area</vt:lpstr>
      <vt:lpstr>'ATC Sch1 - True-Up Adj 2014'!Print_Area</vt:lpstr>
      <vt:lpstr>'ATC Sch1 - True-Up Adj 2016'!Print_Area</vt:lpstr>
      <vt:lpstr>'Attach MM ER15-123'!Print_Area</vt:lpstr>
      <vt:lpstr>'Calc. of Wgt. Avg. Debt Rate'!Print_Area</vt:lpstr>
      <vt:lpstr>'GG Support Data'!Print_Area</vt:lpstr>
      <vt:lpstr>'GIP Dep Correction (Sch 26)'!Print_Area</vt:lpstr>
      <vt:lpstr>'MM Support Data'!Print_Area</vt:lpstr>
      <vt:lpstr>TEP!Print_Area</vt:lpstr>
    </vt:vector>
  </TitlesOfParts>
  <Manager> </Manager>
  <Company>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Figliuzzi, Tiffany</dc:creator>
  <cp:keywords> </cp:keywords>
  <dc:description> </dc:description>
  <cp:lastModifiedBy>Louden, Marcia</cp:lastModifiedBy>
  <cp:lastPrinted>2017-01-27T14:26:53Z</cp:lastPrinted>
  <dcterms:created xsi:type="dcterms:W3CDTF">2008-04-02T18:54:14Z</dcterms:created>
  <dcterms:modified xsi:type="dcterms:W3CDTF">2017-05-31T16:46:14Z</dcterms:modified>
  <cp:category> </cp:category>
</cp:coreProperties>
</file>