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K:\CPK Attachment O posting files\2018 Postings\"/>
    </mc:Choice>
  </mc:AlternateContent>
  <bookViews>
    <workbookView xWindow="0" yWindow="0" windowWidth="24915" windowHeight="9855" tabRatio="723"/>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s>
  <definedNames>
    <definedName name="AdminGeneralTotal">'S5_A&amp;G'!$B$5</definedName>
    <definedName name="AdminLabor">S3_Labor!$C$10</definedName>
    <definedName name="AttachO_Fees">S6_Other!$B$16</definedName>
    <definedName name="AveragePeak">PeakLoad!$B$5</definedName>
    <definedName name="CapitalizedLabor">S3_Labor!#REF!</definedName>
    <definedName name="CustomerAccountExpenses">'S5_A&amp;G'!$C$29</definedName>
    <definedName name="CWIP">S1_Plant!$G$12</definedName>
    <definedName name="Debt">S2_Debt!$B$6</definedName>
    <definedName name="DistributionLabor">S3_Labor!$C$8</definedName>
    <definedName name="DistributionPlant">S1_Plant!$G$9</definedName>
    <definedName name="DistributionPlantAD">S1_Plant!$L$9</definedName>
    <definedName name="ElectricRent">'412IS'!$C$17</definedName>
    <definedName name="EntityName">'412BS'!$A$1</definedName>
    <definedName name="Equity">'412BS'!$F$12</definedName>
    <definedName name="FilingDate">'412BS'!$A$4</definedName>
    <definedName name="GeneralDepreciation">S1_Plant!$I$10</definedName>
    <definedName name="GeneralPlant">S1_Plant!$G$10</definedName>
    <definedName name="GeneralPlantAD">S1_Plant!$L$10</definedName>
    <definedName name="InterestExpense">S2_Debt!$B$5</definedName>
    <definedName name="LaborTotal">S3_Labor!$C$11</definedName>
    <definedName name="LaborTotalNoAdmin">S3_Labor!$D$11</definedName>
    <definedName name="NetworkRevenue">Rev_9!$F$18</definedName>
    <definedName name="NonNetworkRevenue">'Rev_7&amp;8'!$F$32</definedName>
    <definedName name="OtherLabor">S3_Labor!$C$9</definedName>
    <definedName name="PayrollTaxes">S6_Other!$B$10</definedName>
    <definedName name="PILOT">S6_Other!$B$5</definedName>
    <definedName name="Prepayments">'412BS'!$C$43</definedName>
    <definedName name="_xlnm.Print_Area" localSheetId="0">Nonlevelized_EIA412!$A$1:$K$316</definedName>
    <definedName name="ProductionLabor">S3_Labor!$C$6</definedName>
    <definedName name="ProductionPlant">S1_Plant!$G$7</definedName>
    <definedName name="ProductionPlantAD">S1_Plant!$L$7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$5:$5,'Rev_7&amp;8'!$6:$6,'Rev_7&amp;8'!$7:$7,'Rev_7&amp;8'!$8:$8,'Rev_7&amp;8'!$9:$9,'Rev_7&amp;8'!$10:$10,'Rev_7&amp;8'!$11:$11,'Rev_7&amp;8'!$12:$12,'Rev_7&amp;8'!$13:$13,'Rev_7&amp;8'!$14:$14,'Rev_7&amp;8'!$15:$15,'Rev_7&amp;8'!$16:$16,'Rev_7&amp;8'!#REF!,'Rev_7&amp;8'!#REF!,'Rev_7&amp;8'!#REF!,'Rev_7&amp;8'!#REF!</definedName>
    <definedName name="QB_DATA_1" localSheetId="12" hidden="1">'Rev_7&amp;8'!#REF!,'Rev_7&amp;8'!#REF!,'Rev_7&amp;8'!#REF!,'Rev_7&amp;8'!#REF!,'Rev_7&amp;8'!#REF!,'Rev_7&amp;8'!#REF!,'Rev_7&amp;8'!#REF!,'Rev_7&amp;8'!#REF!,'Rev_7&amp;8'!$19:$19,'Rev_7&amp;8'!$20:$20,'Rev_7&amp;8'!$21:$21,'Rev_7&amp;8'!$22:$22,'Rev_7&amp;8'!$23:$23,'Rev_7&amp;8'!$24:$24,'Rev_7&amp;8'!$25:$25,'Rev_7&amp;8'!$26:$26</definedName>
    <definedName name="QB_DATA_2" localSheetId="12" hidden="1">'Rev_7&amp;8'!$27:$27,'Rev_7&amp;8'!$28:$28,'Rev_7&amp;8'!$29:$29,'Rev_7&amp;8'!$30:$30,'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'S5_A&amp;G'!$C$28:$C$28</definedName>
    <definedName name="TransmissionDepreciation">S1_Plant!$I$8</definedName>
    <definedName name="TransmissionLabor">S3_Labor!$C$7</definedName>
    <definedName name="TransmissionOM">S4_TransOM!$B$5</definedName>
    <definedName name="TransmissionPlant">S1_Plant!$G$8</definedName>
    <definedName name="TransmissionPlantAD">S1_Plant!$L$8</definedName>
    <definedName name="TransmissionRent">S6_Other!$B$13</definedName>
  </definedNames>
  <calcPr calcId="171027"/>
</workbook>
</file>

<file path=xl/calcChain.xml><?xml version="1.0" encoding="utf-8"?>
<calcChain xmlns="http://schemas.openxmlformats.org/spreadsheetml/2006/main">
  <c r="D33" i="18" l="1"/>
  <c r="H11" i="13" l="1"/>
  <c r="G11" i="13"/>
  <c r="E23" i="8" l="1"/>
  <c r="C19" i="5"/>
  <c r="D23" i="8"/>
  <c r="G29" i="11" l="1"/>
  <c r="G28" i="11"/>
  <c r="G27" i="11"/>
  <c r="G26" i="11"/>
  <c r="G25" i="11"/>
  <c r="G24" i="11"/>
  <c r="F30" i="11"/>
  <c r="F29" i="11"/>
  <c r="F28" i="11"/>
  <c r="F27" i="11"/>
  <c r="F26" i="11"/>
  <c r="E25" i="11"/>
  <c r="E24" i="11"/>
  <c r="D30" i="11"/>
  <c r="D29" i="11"/>
  <c r="D28" i="11"/>
  <c r="D27" i="11"/>
  <c r="D26" i="11"/>
  <c r="D25" i="11"/>
  <c r="D24" i="11"/>
  <c r="G31" i="11" l="1"/>
  <c r="F31" i="11"/>
  <c r="E31" i="11"/>
  <c r="D31" i="11"/>
  <c r="H25" i="11"/>
  <c r="H26" i="11"/>
  <c r="H27" i="11"/>
  <c r="H28" i="11"/>
  <c r="H29" i="11"/>
  <c r="H30" i="11"/>
  <c r="H24" i="11"/>
  <c r="H23" i="11"/>
  <c r="H31" i="11" l="1"/>
  <c r="H12" i="11"/>
  <c r="H13" i="11"/>
  <c r="H14" i="11"/>
  <c r="H15" i="11"/>
  <c r="H16" i="11"/>
  <c r="H17" i="11"/>
  <c r="J17" i="11" s="1"/>
  <c r="H18" i="11"/>
  <c r="H11" i="11"/>
  <c r="I11" i="11"/>
  <c r="L8" i="16" l="1"/>
  <c r="L9" i="16"/>
  <c r="G9" i="16"/>
  <c r="G8" i="16"/>
  <c r="D8" i="16"/>
  <c r="D25" i="8" l="1"/>
  <c r="E18" i="8"/>
  <c r="D18" i="8" s="1"/>
  <c r="C25" i="5" l="1"/>
  <c r="F50" i="4"/>
  <c r="F44" i="4"/>
  <c r="F36" i="4"/>
  <c r="F22" i="4"/>
  <c r="C53" i="4"/>
  <c r="C35" i="4"/>
  <c r="C33" i="4"/>
  <c r="C28" i="17" l="1"/>
  <c r="D28" i="8" l="1"/>
  <c r="D9" i="13" l="1"/>
  <c r="D8" i="13"/>
  <c r="D6" i="13"/>
  <c r="D7" i="13"/>
  <c r="I261" i="1" l="1"/>
  <c r="C31" i="11" l="1"/>
  <c r="L10" i="16" l="1"/>
  <c r="L7" i="16"/>
  <c r="G12" i="16"/>
  <c r="G10" i="16"/>
  <c r="G7" i="16"/>
  <c r="J15" i="11" l="1"/>
  <c r="J14" i="11"/>
  <c r="J13" i="11"/>
  <c r="J18" i="11"/>
  <c r="J16" i="11"/>
  <c r="B1" i="21" l="1"/>
  <c r="F19" i="21"/>
  <c r="F18" i="21"/>
  <c r="F17" i="21"/>
  <c r="F16" i="21"/>
  <c r="F15" i="21"/>
  <c r="F14" i="21"/>
  <c r="F13" i="21"/>
  <c r="F12" i="21"/>
  <c r="F11" i="21"/>
  <c r="F10" i="21"/>
  <c r="F9" i="21"/>
  <c r="F8" i="21"/>
  <c r="B3" i="21"/>
  <c r="F20" i="21" l="1"/>
  <c r="B5" i="21" s="1"/>
  <c r="I27" i="1" s="1"/>
  <c r="F18" i="20" l="1"/>
  <c r="I265" i="1" s="1"/>
  <c r="B3" i="20"/>
  <c r="B1" i="20"/>
  <c r="F32" i="19"/>
  <c r="G31" i="19"/>
  <c r="G18" i="19"/>
  <c r="I264" i="1" l="1"/>
  <c r="G32" i="19"/>
  <c r="G6" i="9" l="1"/>
  <c r="A1" i="9"/>
  <c r="C22" i="17" l="1"/>
  <c r="B16" i="18"/>
  <c r="C30" i="17" s="1"/>
  <c r="C31" i="17" l="1"/>
  <c r="G25" i="12"/>
  <c r="C14" i="5"/>
  <c r="D168" i="1"/>
  <c r="D174" i="1"/>
  <c r="D249" i="1"/>
  <c r="D162" i="1"/>
  <c r="D161" i="1"/>
  <c r="D119" i="1"/>
  <c r="D94" i="1"/>
  <c r="D93" i="1"/>
  <c r="D92" i="1"/>
  <c r="D91" i="1"/>
  <c r="D86" i="1"/>
  <c r="D85" i="1"/>
  <c r="D84" i="1"/>
  <c r="D83" i="1"/>
  <c r="C11" i="13"/>
  <c r="G24" i="6" l="1"/>
  <c r="G23" i="6"/>
  <c r="G22" i="6"/>
  <c r="G13" i="6"/>
  <c r="G12" i="6"/>
  <c r="G11" i="6"/>
  <c r="L11" i="16" l="1"/>
  <c r="C15" i="4" s="1"/>
  <c r="J11" i="16"/>
  <c r="I11" i="16"/>
  <c r="C12" i="5" s="1"/>
  <c r="H11" i="16"/>
  <c r="G11" i="16"/>
  <c r="E11" i="16"/>
  <c r="D11" i="16"/>
  <c r="C11" i="16"/>
  <c r="E17" i="6"/>
  <c r="D17" i="6"/>
  <c r="E27" i="6"/>
  <c r="D27" i="6"/>
  <c r="C27" i="6"/>
  <c r="G9" i="6"/>
  <c r="E19" i="6"/>
  <c r="D19" i="6"/>
  <c r="E18" i="6"/>
  <c r="D18" i="6"/>
  <c r="E14" i="6"/>
  <c r="G27" i="6" l="1"/>
  <c r="C12" i="4" s="1"/>
  <c r="M8" i="16"/>
  <c r="J13" i="16" l="1"/>
  <c r="I13" i="16"/>
  <c r="C17" i="6"/>
  <c r="G17" i="6" s="1"/>
  <c r="C14" i="6"/>
  <c r="C18" i="6"/>
  <c r="G18" i="6" s="1"/>
  <c r="C19" i="6"/>
  <c r="G19" i="6" s="1"/>
  <c r="E13" i="16" l="1"/>
  <c r="M9" i="16" l="1"/>
  <c r="M10" i="16"/>
  <c r="D13" i="16"/>
  <c r="D14" i="6"/>
  <c r="G14" i="6" s="1"/>
  <c r="G13" i="16" l="1"/>
  <c r="M7" i="16"/>
  <c r="M11" i="16" s="1"/>
  <c r="J12" i="11"/>
  <c r="J11" i="11" l="1"/>
  <c r="B5" i="11" s="1"/>
  <c r="D245" i="1"/>
  <c r="B3" i="19"/>
  <c r="B1" i="19"/>
  <c r="B3" i="18" l="1"/>
  <c r="B1" i="18"/>
  <c r="B3" i="17"/>
  <c r="B1" i="17"/>
  <c r="B3" i="16"/>
  <c r="B1" i="16"/>
  <c r="B3" i="13"/>
  <c r="B1" i="13"/>
  <c r="B3" i="12"/>
  <c r="B1" i="12"/>
  <c r="B3" i="11"/>
  <c r="B1" i="11"/>
  <c r="G8" i="12"/>
  <c r="G9" i="12"/>
  <c r="G10" i="12"/>
  <c r="G11" i="12"/>
  <c r="G12" i="12"/>
  <c r="G13" i="12"/>
  <c r="G14" i="12"/>
  <c r="G15" i="12"/>
  <c r="G16" i="12"/>
  <c r="G17" i="12"/>
  <c r="G18" i="12"/>
  <c r="G19" i="12"/>
  <c r="G20" i="12"/>
  <c r="G21" i="12"/>
  <c r="G22" i="12"/>
  <c r="G23" i="12"/>
  <c r="G24" i="12" l="1"/>
  <c r="B5" i="17"/>
  <c r="B6" i="11"/>
  <c r="D248" i="1" s="1"/>
  <c r="C13" i="16"/>
  <c r="L13" i="16"/>
  <c r="M13" i="16" s="1"/>
  <c r="H13" i="16"/>
  <c r="D152" i="1" l="1"/>
  <c r="D29" i="8"/>
  <c r="A1" i="8" l="1"/>
  <c r="A4" i="8"/>
  <c r="F10" i="8"/>
  <c r="F11" i="8"/>
  <c r="F13" i="8"/>
  <c r="F15" i="8"/>
  <c r="F16" i="8"/>
  <c r="C19" i="8"/>
  <c r="E19" i="8"/>
  <c r="F27" i="8"/>
  <c r="F28" i="8"/>
  <c r="F29" i="8"/>
  <c r="A1" i="6"/>
  <c r="A4" i="6"/>
  <c r="C15" i="6"/>
  <c r="D15" i="6"/>
  <c r="D20" i="6" s="1"/>
  <c r="D25" i="6" s="1"/>
  <c r="D28" i="6" s="1"/>
  <c r="E15" i="6"/>
  <c r="E20" i="6" s="1"/>
  <c r="E25" i="6" s="1"/>
  <c r="E28" i="6" s="1"/>
  <c r="F15" i="6"/>
  <c r="F20" i="6" s="1"/>
  <c r="F25" i="6"/>
  <c r="F28" i="6"/>
  <c r="A1" i="5"/>
  <c r="A4" i="5"/>
  <c r="C27" i="5"/>
  <c r="F16" i="4"/>
  <c r="F28" i="4"/>
  <c r="C30" i="4"/>
  <c r="F33" i="4"/>
  <c r="F45" i="4"/>
  <c r="C46" i="4"/>
  <c r="C54" i="4"/>
  <c r="F54" i="4"/>
  <c r="G15" i="6" l="1"/>
  <c r="G20" i="6" s="1"/>
  <c r="F56" i="4"/>
  <c r="C20" i="6"/>
  <c r="C25" i="6" s="1"/>
  <c r="I252" i="1"/>
  <c r="G25" i="6" l="1"/>
  <c r="C11" i="4" s="1"/>
  <c r="C16" i="4" s="1"/>
  <c r="C22" i="4" s="1"/>
  <c r="C56" i="4" s="1"/>
  <c r="F57" i="4" s="1"/>
  <c r="C28" i="6"/>
  <c r="G28" i="6" s="1"/>
  <c r="I22" i="1"/>
  <c r="G31" i="6" l="1"/>
  <c r="I268" i="1"/>
  <c r="D88" i="1" l="1"/>
  <c r="D239" i="1" s="1"/>
  <c r="D242" i="1" s="1"/>
  <c r="G240" i="1" s="1"/>
  <c r="I215" i="1"/>
  <c r="D99" i="1"/>
  <c r="D100" i="1"/>
  <c r="D101" i="1"/>
  <c r="D102" i="1"/>
  <c r="G248" i="1"/>
  <c r="D250" i="1"/>
  <c r="E248" i="1" s="1"/>
  <c r="G249" i="1"/>
  <c r="I34"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I248" i="1"/>
  <c r="E250" i="1" l="1"/>
  <c r="G84" i="1"/>
  <c r="G14" i="1"/>
  <c r="G16" i="1" s="1"/>
  <c r="I16" i="1" s="1"/>
  <c r="E233" i="1"/>
  <c r="I228" i="1"/>
  <c r="I250" i="1"/>
  <c r="G17" i="1"/>
  <c r="I17" i="1" s="1"/>
  <c r="I14" i="1" l="1"/>
  <c r="D179" i="1"/>
  <c r="I253" i="1"/>
  <c r="G15" i="1"/>
  <c r="I15" i="1" s="1"/>
  <c r="G92" i="1"/>
  <c r="I84" i="1"/>
  <c r="I18" i="1" l="1"/>
  <c r="I92" i="1"/>
  <c r="I100" i="1" s="1"/>
  <c r="G114" i="1"/>
  <c r="I114" i="1" l="1"/>
  <c r="G161" i="1"/>
  <c r="I161" i="1" s="1"/>
  <c r="F18" i="8"/>
  <c r="D232" i="1"/>
  <c r="D19" i="8" l="1"/>
  <c r="G232" i="1"/>
  <c r="F19" i="8" l="1"/>
  <c r="G26" i="12"/>
  <c r="G27" i="12" s="1"/>
  <c r="B5" i="12" s="1"/>
  <c r="D233" i="1"/>
  <c r="G233" i="1" s="1"/>
  <c r="D149" i="1" l="1"/>
  <c r="E21" i="8"/>
  <c r="F21" i="8" l="1"/>
  <c r="E31" i="8"/>
  <c r="C11" i="5" s="1"/>
  <c r="D158" i="1"/>
  <c r="D117" i="1" s="1"/>
  <c r="D120" i="1" s="1"/>
  <c r="D122" i="1" s="1"/>
  <c r="D189" i="1" s="1"/>
  <c r="I223" i="1"/>
  <c r="I225" i="1" l="1"/>
  <c r="I227" i="1" s="1"/>
  <c r="I229" i="1" s="1"/>
  <c r="D185" i="1"/>
  <c r="D187" i="1" s="1"/>
  <c r="D192" i="1" s="1"/>
  <c r="D201" i="1" s="1"/>
  <c r="G118" i="1" l="1"/>
  <c r="I118" i="1" s="1"/>
  <c r="G149" i="1"/>
  <c r="G151" i="1" l="1"/>
  <c r="I151" i="1" s="1"/>
  <c r="G155" i="1"/>
  <c r="I155" i="1" s="1"/>
  <c r="I149" i="1"/>
  <c r="F23" i="8"/>
  <c r="D234" i="1"/>
  <c r="G234" i="1" s="1"/>
  <c r="D11" i="13"/>
  <c r="E7" i="13" s="1"/>
  <c r="F25" i="8"/>
  <c r="D235" i="1"/>
  <c r="G235" i="1" s="1"/>
  <c r="F31" i="8" l="1"/>
  <c r="G236" i="1"/>
  <c r="E9" i="13"/>
  <c r="E8" i="13"/>
  <c r="E6" i="13"/>
  <c r="D236" i="1"/>
  <c r="D31" i="8"/>
  <c r="C10" i="5" s="1"/>
  <c r="C15" i="5" s="1"/>
  <c r="C16" i="5" s="1"/>
  <c r="C18" i="5" s="1"/>
  <c r="C23" i="5" s="1"/>
  <c r="C28" i="5" s="1"/>
  <c r="C31" i="5" s="1"/>
  <c r="I236" i="1" l="1"/>
  <c r="G86" i="1" s="1"/>
  <c r="E11" i="13"/>
  <c r="I240" i="1" l="1"/>
  <c r="K240" i="1" s="1"/>
  <c r="G156" i="1" s="1"/>
  <c r="G154" i="1"/>
  <c r="I154" i="1" s="1"/>
  <c r="G152" i="1"/>
  <c r="I152" i="1" s="1"/>
  <c r="G153" i="1"/>
  <c r="I153" i="1" s="1"/>
  <c r="G94" i="1"/>
  <c r="I94" i="1" s="1"/>
  <c r="I86" i="1"/>
  <c r="G162" i="1" l="1"/>
  <c r="G168" i="1" s="1"/>
  <c r="G87" i="1"/>
  <c r="G95" i="1" s="1"/>
  <c r="I95" i="1" s="1"/>
  <c r="I96" i="1" s="1"/>
  <c r="G163" i="1"/>
  <c r="I163" i="1" s="1"/>
  <c r="I156" i="1"/>
  <c r="I158" i="1" s="1"/>
  <c r="I117" i="1" s="1"/>
  <c r="I102" i="1"/>
  <c r="I162" i="1"/>
  <c r="I87" i="1" l="1"/>
  <c r="I88" i="1" s="1"/>
  <c r="G88" i="1" s="1"/>
  <c r="G119" i="1" s="1"/>
  <c r="I119" i="1" s="1"/>
  <c r="I120" i="1" s="1"/>
  <c r="I164" i="1"/>
  <c r="G169" i="1"/>
  <c r="I169" i="1" s="1"/>
  <c r="I168" i="1"/>
  <c r="I103" i="1" l="1"/>
  <c r="I104" i="1" s="1"/>
  <c r="G104" i="1" s="1"/>
  <c r="G186" i="1" s="1"/>
  <c r="I186" i="1" s="1"/>
  <c r="G171" i="1"/>
  <c r="I171" i="1" s="1"/>
  <c r="G173" i="1" l="1"/>
  <c r="G174" i="1" s="1"/>
  <c r="I174" i="1" s="1"/>
  <c r="G108" i="1"/>
  <c r="I108" i="1" s="1"/>
  <c r="I173" i="1" l="1"/>
  <c r="I175" i="1" s="1"/>
  <c r="G109" i="1"/>
  <c r="I109" i="1" s="1"/>
  <c r="G111" i="1" l="1"/>
  <c r="I111" i="1" s="1"/>
  <c r="G110" i="1"/>
  <c r="I110" i="1" s="1"/>
  <c r="I112" i="1" s="1"/>
  <c r="I122" i="1" s="1"/>
  <c r="I189" i="1" s="1"/>
  <c r="I185" i="1" s="1"/>
  <c r="I187" i="1" s="1"/>
  <c r="I192" i="1" s="1"/>
  <c r="I201" i="1" s="1"/>
  <c r="I11" i="1" s="1"/>
  <c r="I24" i="1" s="1"/>
  <c r="D36" i="1" s="1"/>
  <c r="I42" i="1" l="1"/>
  <c r="D40" i="1"/>
  <c r="D42" i="1"/>
  <c r="I41" i="1"/>
  <c r="I40" i="1"/>
  <c r="D41" i="1"/>
  <c r="D37" i="1"/>
</calcChain>
</file>

<file path=xl/sharedStrings.xml><?xml version="1.0" encoding="utf-8"?>
<sst xmlns="http://schemas.openxmlformats.org/spreadsheetml/2006/main" count="890" uniqueCount="646">
  <si>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</si>
  <si>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</si>
  <si>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</si>
  <si>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</si>
  <si>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</si>
  <si>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</si>
  <si>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</si>
  <si>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</si>
  <si>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</si>
  <si>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</si>
  <si>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</si>
  <si>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</si>
  <si>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</si>
  <si>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</si>
  <si>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</si>
  <si>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</si>
  <si>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</si>
  <si>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</si>
  <si>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</si>
  <si>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</si>
  <si>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</si>
  <si>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</si>
  <si>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</si>
  <si>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</si>
  <si>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</si>
  <si>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</si>
  <si>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</si>
  <si>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</si>
  <si>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</si>
  <si>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</si>
  <si>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</si>
  <si>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</si>
  <si>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</si>
  <si>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</si>
  <si>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</si>
  <si>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</si>
  <si>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</si>
  <si>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</si>
  <si>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</si>
  <si>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</si>
  <si>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</si>
  <si>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</si>
  <si>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</si>
  <si>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</si>
  <si>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</si>
  <si>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</si>
  <si>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</si>
  <si>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</si>
  <si>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</si>
  <si>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</si>
  <si>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</si>
  <si>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</si>
  <si>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</si>
  <si>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</si>
  <si>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</si>
  <si>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</si>
  <si>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</si>
  <si>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</si>
  <si>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</si>
  <si>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</si>
  <si>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</si>
  <si>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</si>
  <si>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</si>
  <si>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</si>
  <si>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</si>
  <si>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</si>
  <si>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</si>
  <si>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</si>
  <si>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</si>
  <si>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</si>
  <si>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</si>
  <si>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</si>
  <si>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</si>
  <si>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</si>
  <si>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</si>
  <si>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</si>
  <si>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</si>
  <si>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</si>
  <si>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</si>
  <si>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</si>
  <si>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</si>
  <si>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</si>
  <si>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</si>
  <si>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</si>
  <si>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</si>
  <si>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</si>
  <si>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</si>
  <si>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</si>
  <si>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</si>
  <si>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</si>
  <si>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</si>
  <si>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</si>
  <si>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</si>
  <si>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</si>
  <si>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</si>
  <si>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</si>
  <si>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</si>
  <si>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</si>
  <si>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</si>
  <si>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</si>
  <si>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</si>
  <si>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</si>
  <si>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</si>
  <si>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</si>
  <si>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</si>
  <si>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</si>
  <si>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</si>
  <si>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</si>
  <si>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</si>
  <si>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</si>
  <si>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</si>
  <si>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</si>
  <si>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</si>
  <si>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</si>
  <si>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</si>
  <si>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</si>
  <si>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</si>
  <si>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</si>
  <si>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</si>
  <si>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</si>
  <si>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</si>
  <si>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</si>
  <si>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</si>
  <si>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</si>
  <si>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</si>
  <si>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</si>
  <si>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</si>
  <si>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</si>
  <si>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</si>
  <si>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</si>
  <si>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</si>
  <si>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</si>
  <si>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</si>
  <si>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</si>
  <si>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</si>
  <si>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</si>
  <si>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</si>
  <si>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</si>
  <si>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</si>
  <si>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</si>
  <si>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</si>
  <si>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</si>
  <si>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</si>
  <si>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</si>
  <si>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</si>
  <si>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</si>
  <si>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</si>
  <si>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</si>
  <si>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</si>
  <si>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</si>
  <si>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</si>
  <si>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</si>
  <si>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</si>
  <si>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</si>
  <si>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</si>
  <si>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</si>
  <si>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</si>
  <si>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</si>
  <si>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</si>
  <si>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</si>
  <si>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</si>
  <si>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</si>
  <si>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</si>
  <si>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</si>
  <si>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</si>
  <si>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</si>
  <si>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</si>
  <si>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</si>
  <si>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</si>
  <si>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</si>
  <si>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</si>
  <si>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</si>
  <si>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</si>
  <si>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</si>
  <si>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</si>
  <si>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</si>
  <si>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</si>
  <si>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</si>
  <si>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</si>
  <si>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</si>
  <si>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</si>
  <si>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</si>
  <si>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</si>
  <si>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</si>
  <si>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</si>
  <si>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</si>
  <si>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</si>
  <si>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</si>
  <si>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</si>
  <si>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</si>
  <si>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</si>
  <si>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</si>
  <si>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</si>
  <si>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</si>
  <si>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</si>
  <si>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</si>
  <si>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</si>
  <si>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</si>
  <si>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</si>
  <si>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</si>
  <si>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</si>
  <si>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</si>
  <si>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</si>
  <si>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</si>
  <si>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</si>
  <si>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</si>
  <si>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</si>
  <si>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</si>
  <si>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</si>
  <si>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</si>
  <si>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</si>
  <si>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</si>
  <si>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</si>
  <si>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</si>
  <si>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</si>
  <si>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</si>
  <si>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</si>
  <si>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</si>
  <si>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</si>
  <si>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</si>
  <si>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</si>
  <si>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</si>
  <si>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</si>
  <si>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</si>
  <si>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</si>
  <si>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</si>
  <si>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</si>
  <si>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</si>
  <si>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</si>
  <si>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</si>
  <si>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</si>
  <si>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</si>
  <si>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</si>
  <si>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</si>
  <si>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</si>
  <si>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</si>
  <si>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</si>
  <si>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</si>
  <si>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</si>
  <si>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</si>
  <si>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</si>
  <si>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</si>
  <si>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</si>
  <si>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</si>
  <si>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</si>
  <si>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</si>
  <si>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</si>
  <si>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</si>
  <si>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</si>
  <si>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</si>
  <si>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</si>
  <si>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</si>
  <si>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</si>
  <si>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</si>
  <si>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</si>
  <si>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</si>
  <si>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</si>
  <si>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</si>
  <si>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</si>
  <si>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</si>
  <si>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</si>
  <si>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</si>
  <si>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</si>
  <si>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</si>
  <si>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</si>
  <si>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</si>
  <si>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</si>
  <si>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</si>
  <si>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</si>
  <si>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</si>
  <si>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</si>
  <si>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</si>
  <si>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</si>
  <si>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</si>
  <si>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</si>
  <si>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</si>
  <si>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</si>
  <si>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</si>
  <si>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</si>
  <si>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</si>
  <si>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</si>
  <si>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</si>
  <si>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</si>
  <si>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</si>
  <si>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</si>
  <si>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</si>
  <si>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</si>
  <si>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</si>
  <si>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</si>
  <si>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</si>
  <si>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</si>
  <si>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</si>
  <si>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</si>
  <si>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</si>
  <si>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</si>
  <si>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</si>
  <si>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</si>
  <si>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</si>
  <si>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</si>
  <si>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</si>
  <si>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</si>
  <si>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</si>
  <si>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</si>
  <si>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</si>
  <si>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</si>
  <si>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</si>
  <si>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</si>
  <si>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</si>
  <si>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</si>
  <si>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</si>
  <si>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</si>
  <si>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</si>
  <si>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</si>
  <si>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</si>
  <si>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</si>
  <si>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</si>
  <si>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</si>
  <si>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</si>
  <si>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</si>
  <si>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</si>
  <si>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</si>
  <si>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</si>
  <si>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</si>
  <si>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</si>
  <si>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</si>
  <si>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</si>
  <si>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</si>
  <si>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</si>
  <si>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</si>
  <si>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</si>
  <si>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</si>
  <si>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</si>
  <si>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</si>
  <si>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</si>
  <si>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</si>
  <si>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</si>
  <si>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</si>
  <si>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</si>
  <si>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</si>
  <si>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</si>
  <si>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</si>
  <si>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</si>
  <si>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</si>
  <si>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</si>
  <si>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</si>
  <si>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</si>
  <si>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</si>
  <si>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</si>
  <si>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</si>
  <si>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</si>
  <si>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</si>
  <si>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</si>
  <si>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</si>
  <si>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</si>
  <si>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</si>
  <si>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</si>
  <si>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</si>
  <si>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</si>
  <si>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</si>
  <si>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</si>
  <si>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</si>
  <si>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</si>
  <si>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</si>
  <si>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</si>
  <si>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</si>
  <si>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</si>
  <si>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</si>
  <si>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</si>
  <si>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</si>
  <si>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</si>
  <si>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</si>
  <si>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</si>
  <si>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</si>
  <si>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</si>
  <si>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</si>
  <si>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</si>
  <si>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</si>
  <si>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</si>
  <si>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</si>
  <si>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</si>
  <si>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</si>
  <si>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</si>
  <si>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</si>
  <si>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</si>
  <si>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</si>
  <si>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</si>
  <si>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</si>
  <si>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</si>
  <si>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</si>
  <si>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</si>
  <si>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</si>
  <si>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</si>
  <si>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</si>
  <si>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</si>
  <si>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</si>
  <si>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</si>
  <si>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</si>
  <si>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</si>
  <si>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</si>
  <si>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</si>
  <si>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</si>
  <si>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</si>
  <si>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</si>
  <si>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</si>
  <si>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</si>
  <si>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</si>
  <si>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</si>
  <si>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</si>
  <si>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</si>
  <si>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</si>
  <si>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</si>
  <si>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</si>
  <si>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</si>
  <si>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</si>
  <si>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</si>
  <si>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</si>
  <si>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</si>
  <si>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</si>
  <si>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</si>
  <si>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</si>
  <si>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</si>
  <si>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</si>
  <si>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</si>
  <si>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</si>
  <si>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</si>
  <si>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</si>
  <si>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</si>
  <si>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</si>
  <si>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</si>
  <si>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</si>
  <si>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</si>
  <si>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</si>
  <si>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</si>
  <si>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</si>
  <si>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</si>
  <si>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</si>
  <si>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</si>
  <si>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</si>
  <si>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</si>
  <si>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</si>
  <si>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</si>
  <si>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</si>
  <si>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</si>
  <si>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</si>
  <si>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</si>
  <si>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</si>
  <si>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</si>
  <si>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</si>
  <si>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</si>
  <si>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</si>
  <si>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</si>
  <si>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</si>
  <si>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</si>
  <si>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</si>
  <si>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</si>
  <si>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</si>
  <si>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</si>
  <si>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</si>
  <si>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</si>
  <si>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</si>
  <si>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</si>
  <si>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</si>
  <si>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</si>
  <si>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</si>
  <si>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</si>
  <si>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</si>
  <si>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</si>
  <si>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</si>
  <si>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</si>
  <si>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</si>
  <si>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</si>
  <si>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</si>
  <si>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</si>
  <si>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</si>
  <si>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</si>
  <si>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</si>
  <si>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</si>
  <si>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</si>
  <si>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</si>
  <si>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</si>
  <si>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</si>
  <si>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</si>
  <si>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</si>
  <si>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</si>
  <si>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</si>
  <si>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</si>
  <si>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</si>
  <si>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</si>
  <si>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</si>
  <si>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</si>
  <si>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</si>
  <si>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</si>
  <si>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</si>
  <si>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</si>
  <si>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</si>
  <si>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</si>
  <si>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</si>
  <si>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</si>
  <si>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</si>
  <si>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</si>
  <si>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Year</t>
  </si>
  <si>
    <t>Principal</t>
  </si>
  <si>
    <t>Total Interest</t>
  </si>
  <si>
    <t>Interest Expense</t>
  </si>
  <si>
    <t>Transmission Labor</t>
  </si>
  <si>
    <t>Transmission Prof Fees</t>
  </si>
  <si>
    <t>Tools - Warehouse</t>
  </si>
  <si>
    <t>Tools - Power Plant</t>
  </si>
  <si>
    <t>Power Plant Utilities</t>
  </si>
  <si>
    <t>Transportation Expense - Fuel</t>
  </si>
  <si>
    <t>Truck/Vehicle Maintenance</t>
  </si>
  <si>
    <t>Gasoline - Equipment</t>
  </si>
  <si>
    <t>Misc Power Plant Maintenance</t>
  </si>
  <si>
    <t>Power Plant Structures Maint</t>
  </si>
  <si>
    <t>Transmission/Substation Expense</t>
  </si>
  <si>
    <t>Electric Dept Equipment Repair</t>
  </si>
  <si>
    <t>Warehouse Maintenance</t>
  </si>
  <si>
    <t>Transformer Maintenance</t>
  </si>
  <si>
    <t>Substation/Switchgear Maint</t>
  </si>
  <si>
    <t>Overhead Line Maintenance</t>
  </si>
  <si>
    <t>SCADA Material/Maintenance</t>
  </si>
  <si>
    <t>Communications Equip Maint</t>
  </si>
  <si>
    <t>CostAlloc</t>
  </si>
  <si>
    <t>factor</t>
  </si>
  <si>
    <t>Description</t>
  </si>
  <si>
    <t>Account</t>
  </si>
  <si>
    <t>HE</t>
  </si>
  <si>
    <t>Date</t>
  </si>
  <si>
    <t>cwip</t>
  </si>
  <si>
    <t>NBV</t>
  </si>
  <si>
    <t>Transmission Professional Fees</t>
  </si>
  <si>
    <t>to Sales Expenses</t>
  </si>
  <si>
    <t>to Customer Account Expenses</t>
  </si>
  <si>
    <t>Lease/Rental Expenses reported separately</t>
  </si>
  <si>
    <t>Insurance</t>
  </si>
  <si>
    <t>Conservation/Rebate program</t>
  </si>
  <si>
    <t>Dues and subscriptions</t>
  </si>
  <si>
    <t>Advertising and promotional</t>
  </si>
  <si>
    <t>Meetings, travel and mileage</t>
  </si>
  <si>
    <t>Legal and Professional</t>
  </si>
  <si>
    <t>Telephone</t>
  </si>
  <si>
    <t>Debt Detail Schedule</t>
  </si>
  <si>
    <t>Transmission O&amp;M Expense</t>
  </si>
  <si>
    <t>Wage and Salary Allocations</t>
  </si>
  <si>
    <t>Fixed Asset Summary</t>
  </si>
  <si>
    <t>A&amp;G Detail</t>
  </si>
  <si>
    <t>GL Period</t>
  </si>
  <si>
    <t>Transmission Tariff Revenue</t>
  </si>
  <si>
    <t>Asset Cost</t>
  </si>
  <si>
    <t>BOY Total</t>
  </si>
  <si>
    <t>Disposals</t>
  </si>
  <si>
    <t>EOY Total</t>
  </si>
  <si>
    <t>Accumulated Depreciation</t>
  </si>
  <si>
    <t xml:space="preserve">   total</t>
  </si>
  <si>
    <t>production</t>
  </si>
  <si>
    <t>distribution</t>
  </si>
  <si>
    <t>general</t>
  </si>
  <si>
    <t>Asset Category</t>
  </si>
  <si>
    <t>admin</t>
  </si>
  <si>
    <t>Function</t>
  </si>
  <si>
    <t>Labor Cost</t>
  </si>
  <si>
    <t>&lt;-- Transmission O&amp;M Total</t>
  </si>
  <si>
    <t>&lt;-- Admin &amp; General Total</t>
  </si>
  <si>
    <t xml:space="preserve"> &lt;-- Taxes in Lieu of Property Taxes:</t>
  </si>
  <si>
    <t xml:space="preserve"> &lt;-- Payroll taxes</t>
  </si>
  <si>
    <t>&lt;-- current year electric interest expense</t>
  </si>
  <si>
    <t>Remaining Principal</t>
  </si>
  <si>
    <t>AccountingPeriod</t>
  </si>
  <si>
    <t>TranDescription</t>
  </si>
  <si>
    <t>OperatingMonth</t>
  </si>
  <si>
    <t>Schedule Total</t>
  </si>
  <si>
    <t>&lt;-- remaining debt at year end</t>
  </si>
  <si>
    <t>reclass</t>
  </si>
  <si>
    <t xml:space="preserve"> &lt;-- recorded on O&amp;M schedule as professional fees</t>
  </si>
  <si>
    <t xml:space="preserve">  Total Plant</t>
  </si>
  <si>
    <t xml:space="preserve">  Sub Total</t>
  </si>
  <si>
    <t>&lt;-- Total attachment O filing fees</t>
  </si>
  <si>
    <t>Expense Item</t>
  </si>
  <si>
    <r>
      <t>Misc Interest</t>
    </r>
    <r>
      <rPr>
        <vertAlign val="superscript"/>
        <sz val="12"/>
        <rFont val="Tahoma"/>
        <family val="2"/>
      </rPr>
      <t>1</t>
    </r>
  </si>
  <si>
    <t>Land Breakout</t>
  </si>
  <si>
    <t xml:space="preserve">   A&amp;G Subtotal</t>
  </si>
  <si>
    <t xml:space="preserve">   A&amp;G less selling expenses</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</si>
  <si>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</si>
  <si>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</si>
  <si>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</si>
  <si>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</si>
  <si>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CMMPA does invoice the city for a preparation fee for their attachment O.  That fee is booked as a</t>
  </si>
  <si>
    <t>transmission expense by the city and a negative transmission expense by CMMPA.</t>
  </si>
  <si>
    <t>The city has no current year GA load or revenue included in their attachment O for current year data.</t>
  </si>
  <si>
    <t>The city has no RecB or other "cost shared" projects' costs reflected in its attachment O.</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</si>
  <si>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</si>
  <si>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</si>
  <si>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</si>
  <si>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</si>
  <si>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t>
  </si>
  <si>
    <t>Peak Loads</t>
  </si>
  <si>
    <t>&lt;-- average of 12 coincident system peaks, MW</t>
  </si>
  <si>
    <t>Load MW</t>
  </si>
  <si>
    <t>Generation MW</t>
  </si>
  <si>
    <t xml:space="preserve">  average</t>
  </si>
  <si>
    <t>Elk River, MN</t>
  </si>
  <si>
    <t>Rev 2007</t>
  </si>
  <si>
    <t>GO 2010</t>
  </si>
  <si>
    <t>Rev 2014</t>
  </si>
  <si>
    <t>to S4_TransOM (agency TO preparation fees)</t>
  </si>
  <si>
    <t xml:space="preserve">  &lt;-- ties fo financial statements, page 20 and 21</t>
  </si>
  <si>
    <t>1 - Defeased interest amortization and discount amortization 2010 Bond</t>
  </si>
  <si>
    <t>Allocation Basis</t>
  </si>
  <si>
    <t>Office utilites and maintenance</t>
  </si>
  <si>
    <t>office supplies and billing expense</t>
  </si>
  <si>
    <t>Salaries</t>
  </si>
  <si>
    <t>Consulting fees</t>
  </si>
  <si>
    <t>Environmental compliance</t>
  </si>
  <si>
    <t>Miscellaneous</t>
  </si>
  <si>
    <t xml:space="preserve"> &lt;-- ties to financial statements, page 51</t>
  </si>
  <si>
    <t>&lt;-- rent from transmission related electric property</t>
  </si>
  <si>
    <t>Taxes, Rents and Other</t>
  </si>
  <si>
    <t>**</t>
  </si>
  <si>
    <t xml:space="preserve"> ** ties to financial statements, page 20</t>
  </si>
  <si>
    <t xml:space="preserve"> **</t>
  </si>
  <si>
    <t xml:space="preserve"> ** ties to financial statements, page 23</t>
  </si>
  <si>
    <t xml:space="preserve"> ***</t>
  </si>
  <si>
    <t xml:space="preserve"> *** ties to financial statements, page 21</t>
  </si>
  <si>
    <t>IC MW</t>
  </si>
  <si>
    <t>W/S Allocator</t>
  </si>
  <si>
    <t>Elk River makes an annual payment to the city general fund in lieu of property taxes</t>
  </si>
  <si>
    <t>Source:  financial statements, page 23</t>
  </si>
  <si>
    <t>Benefits and payroll taxes</t>
  </si>
  <si>
    <t>CIP Expenses</t>
  </si>
  <si>
    <t xml:space="preserve">Connection Charges - $269,197; Customer Penalties - $253,137;  Misc Revenue - $281,702 </t>
  </si>
  <si>
    <t>Line 11 includes revenue from:  Security Systems Sales - $177,572; Landfill Gas Project - $1,087,749; Interest Income - $90,804;</t>
  </si>
  <si>
    <t>For the 12 months ended 12/31/16</t>
  </si>
  <si>
    <t>Line 17 includes deductions from:  Loss on Sale of Capital Assets - $80,126; and Bond Issuance Costs - $85,195</t>
  </si>
  <si>
    <t xml:space="preserve">                               </t>
  </si>
  <si>
    <t>Rev 2016A</t>
  </si>
  <si>
    <t>Rev 2016B</t>
  </si>
  <si>
    <t>2023-2036</t>
  </si>
  <si>
    <t xml:space="preserve">financials, Fixed Expenses page </t>
  </si>
  <si>
    <t xml:space="preserve">  &lt;-- ties to financial statements, page 20</t>
  </si>
  <si>
    <t>Line 21 includes Special Item: Sale of Busines Line</t>
  </si>
  <si>
    <t xml:space="preserve">  &lt;-- ties to financial statements, page 23</t>
  </si>
  <si>
    <t>Admin Fees</t>
  </si>
  <si>
    <t>True-up</t>
  </si>
  <si>
    <t>Revenue</t>
  </si>
  <si>
    <t>Interzonal Revenue</t>
  </si>
  <si>
    <t>Intrazonal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</si>
</sst>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mm/dd/yy;@"/>
  </numFmts>
  <fonts count="40">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u/>
      <sz val="12"/>
      <name val="Arial MT"/>
    </font>
    <font>
      <b/>
      <u/>
      <sz val="12"/>
      <name val="Arial MT"/>
    </font>
    <font>
      <sz val="12"/>
      <color rgb="FFFF0000"/>
      <name val="Arial"/>
      <family val="2"/>
    </font>
    <font>
      <sz val="8"/>
      <name val="Tahoma"/>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7">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7">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12" fillId="0" borderId="0"/>
  </cellStyleXfs>
  <cellXfs count="416">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174" fontId="13" fillId="0" borderId="16" xfId="5" applyNumberFormat="1" applyFont="1" applyBorder="1"/>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174" fontId="14" fillId="0" borderId="18" xfId="5" applyNumberFormat="1" applyFont="1"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37" fontId="0" fillId="0" borderId="18" xfId="5" applyNumberFormat="1" applyFont="1" applyBorder="1"/>
    <xf numFmtId="37" fontId="14" fillId="0" borderId="18" xfId="5" applyNumberFormat="1" applyFont="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174" fontId="19" fillId="0" borderId="8" xfId="5" applyNumberFormat="1" applyFont="1" applyBorder="1"/>
    <xf numFmtId="174" fontId="19" fillId="0" borderId="11" xfId="5" applyNumberFormat="1" applyFont="1" applyBorder="1"/>
    <xf numFmtId="174" fontId="19" fillId="0" borderId="22" xfId="5" applyNumberFormat="1" applyFont="1" applyBorder="1"/>
    <xf numFmtId="0" fontId="12" fillId="0" borderId="22" xfId="4" applyBorder="1"/>
    <xf numFmtId="173" fontId="19" fillId="0" borderId="11" xfId="6" applyNumberFormat="1" applyFont="1"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37" fontId="14" fillId="0" borderId="8" xfId="4" applyNumberFormat="1" applyFont="1" applyBorder="1"/>
    <xf numFmtId="37" fontId="14" fillId="0" borderId="8" xfId="4" applyNumberFormat="1" applyFont="1" applyBorder="1" applyAlignment="1">
      <alignment horizontal="right"/>
    </xf>
    <xf numFmtId="174" fontId="0" fillId="0" borderId="11" xfId="5" applyNumberFormat="1" applyFont="1" applyBorder="1"/>
    <xf numFmtId="174" fontId="14" fillId="0" borderId="22" xfId="5" applyNumberFormat="1" applyFont="1" applyBorder="1"/>
    <xf numFmtId="174" fontId="14" fillId="0" borderId="22" xfId="5" applyNumberFormat="1" applyFont="1" applyBorder="1" applyAlignment="1">
      <alignment horizontal="right"/>
    </xf>
    <xf numFmtId="174" fontId="14" fillId="0" borderId="11" xfId="5" applyNumberFormat="1" applyFont="1" applyBorder="1" applyAlignment="1">
      <alignment horizontal="right"/>
    </xf>
    <xf numFmtId="0" fontId="12" fillId="0" borderId="11" xfId="4" applyBorder="1" applyAlignment="1">
      <alignment horizontal="left" indent="1"/>
    </xf>
    <xf numFmtId="174" fontId="0" fillId="0" borderId="8" xfId="5" applyNumberFormat="1" applyFont="1" applyBorder="1"/>
    <xf numFmtId="174" fontId="14" fillId="0" borderId="8" xfId="5" applyNumberFormat="1" applyFont="1" applyBorder="1" applyAlignment="1">
      <alignment horizontal="right"/>
    </xf>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172" fontId="0" fillId="0" borderId="0" xfId="0" applyFill="1"/>
    <xf numFmtId="0" fontId="17" fillId="0" borderId="0" xfId="7" applyFont="1" applyAlignment="1">
      <alignment horizontal="left" indent="1"/>
    </xf>
    <xf numFmtId="173" fontId="11" fillId="0" borderId="0" xfId="8" applyNumberFormat="1" applyFont="1"/>
    <xf numFmtId="174" fontId="12" fillId="0" borderId="0" xfId="2" applyNumberFormat="1" applyFont="1"/>
    <xf numFmtId="174" fontId="13" fillId="0" borderId="0" xfId="2" applyNumberFormat="1" applyFont="1"/>
    <xf numFmtId="174" fontId="12" fillId="0" borderId="0" xfId="4" applyNumberFormat="1"/>
    <xf numFmtId="37" fontId="0" fillId="8" borderId="19" xfId="5" applyNumberFormat="1" applyFont="1" applyFill="1" applyBorder="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2" fillId="0" borderId="31" xfId="9" applyFont="1" applyFill="1" applyBorder="1" applyAlignment="1">
      <alignment horizontal="center" wrapText="1"/>
    </xf>
    <xf numFmtId="0" fontId="17" fillId="0" borderId="0" xfId="7" applyFont="1"/>
    <xf numFmtId="0" fontId="17"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0" fillId="0" borderId="0" xfId="9" applyNumberFormat="1" applyFont="1" applyFill="1" applyBorder="1" applyAlignment="1">
      <alignment horizontal="left"/>
    </xf>
    <xf numFmtId="175" fontId="34"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30" fillId="0" borderId="0" xfId="9" applyFont="1" applyFill="1" applyBorder="1" applyAlignment="1">
      <alignment horizontal="center" wrapText="1"/>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3" fillId="0" borderId="31" xfId="12" applyFont="1" applyFill="1" applyBorder="1" applyAlignment="1">
      <alignment horizontal="right" wrapText="1"/>
    </xf>
    <xf numFmtId="44" fontId="33"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2" fillId="0" borderId="31" xfId="2" applyFont="1" applyFill="1" applyBorder="1" applyAlignment="1">
      <alignment horizontal="right" wrapText="1"/>
    </xf>
    <xf numFmtId="43" fontId="30" fillId="0" borderId="30" xfId="2" applyFont="1" applyFill="1" applyBorder="1" applyAlignment="1">
      <alignment horizontal="right" wrapText="1"/>
    </xf>
    <xf numFmtId="172" fontId="11" fillId="0" borderId="0" xfId="0" applyFont="1" applyAlignment="1"/>
    <xf numFmtId="0" fontId="32" fillId="0" borderId="31" xfId="9" applyFont="1" applyFill="1" applyBorder="1" applyAlignment="1">
      <alignment horizontal="left" wrapText="1"/>
    </xf>
    <xf numFmtId="43" fontId="32"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8" fillId="0" borderId="0" xfId="7" applyNumberFormat="1"/>
    <xf numFmtId="174" fontId="33" fillId="11" borderId="31" xfId="12" applyNumberFormat="1" applyFont="1" applyFill="1" applyBorder="1" applyAlignment="1">
      <alignment horizontal="right" wrapText="1"/>
    </xf>
    <xf numFmtId="0" fontId="33" fillId="11" borderId="31" xfId="9" applyFont="1" applyFill="1" applyBorder="1" applyAlignment="1">
      <alignment horizontal="center" wrapText="1"/>
    </xf>
    <xf numFmtId="43" fontId="33" fillId="11" borderId="30" xfId="2" applyFont="1" applyFill="1" applyBorder="1" applyAlignment="1">
      <alignment horizontal="right" wrapText="1"/>
    </xf>
    <xf numFmtId="0" fontId="33" fillId="11" borderId="31" xfId="15" applyFont="1" applyFill="1" applyBorder="1" applyAlignment="1">
      <alignment horizontal="left" wrapText="1"/>
    </xf>
    <xf numFmtId="176" fontId="33" fillId="11" borderId="31" xfId="1" applyNumberFormat="1" applyFont="1" applyFill="1" applyBorder="1" applyAlignment="1">
      <alignment horizontal="right" wrapText="1"/>
    </xf>
    <xf numFmtId="174" fontId="33" fillId="11" borderId="31" xfId="2" applyNumberFormat="1" applyFont="1" applyFill="1" applyBorder="1" applyAlignment="1">
      <alignment horizontal="left" wrapText="1"/>
    </xf>
    <xf numFmtId="0" fontId="32" fillId="11" borderId="31" xfId="9" applyFont="1" applyFill="1" applyBorder="1" applyAlignment="1">
      <alignment horizontal="center" wrapText="1"/>
    </xf>
    <xf numFmtId="0" fontId="32" fillId="11" borderId="31" xfId="9" applyFont="1" applyFill="1" applyBorder="1" applyAlignment="1">
      <alignment wrapText="1"/>
    </xf>
    <xf numFmtId="43" fontId="35" fillId="11" borderId="31" xfId="2" applyFont="1" applyFill="1" applyBorder="1" applyAlignment="1">
      <alignment horizontal="center" wrapText="1"/>
    </xf>
    <xf numFmtId="172" fontId="36" fillId="0" borderId="0" xfId="0" applyFont="1"/>
    <xf numFmtId="172" fontId="37" fillId="0" borderId="0" xfId="0" applyFont="1"/>
    <xf numFmtId="173" fontId="36" fillId="0" borderId="0" xfId="3" applyNumberFormat="1" applyFont="1"/>
    <xf numFmtId="43" fontId="34" fillId="0" borderId="0" xfId="2" applyFont="1"/>
    <xf numFmtId="0" fontId="17"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0" fontId="38" fillId="0" borderId="0" xfId="7" applyFont="1" applyFill="1"/>
    <xf numFmtId="43" fontId="33" fillId="11" borderId="31" xfId="2" applyFont="1" applyFill="1" applyBorder="1" applyAlignment="1">
      <alignment horizontal="right" wrapText="1"/>
    </xf>
    <xf numFmtId="177" fontId="28" fillId="10" borderId="0" xfId="2" applyNumberFormat="1" applyFont="1" applyFill="1" applyAlignment="1">
      <alignment horizontal="right"/>
    </xf>
    <xf numFmtId="0" fontId="28" fillId="0" borderId="0" xfId="16" applyFont="1"/>
    <xf numFmtId="178" fontId="30" fillId="0" borderId="31" xfId="15" applyNumberFormat="1" applyFont="1" applyFill="1" applyBorder="1" applyAlignment="1">
      <alignment horizontal="left" wrapText="1"/>
    </xf>
    <xf numFmtId="177" fontId="30" fillId="0" borderId="31" xfId="2" applyNumberFormat="1" applyFont="1" applyFill="1" applyBorder="1" applyAlignment="1">
      <alignment horizontal="right" wrapText="1"/>
    </xf>
    <xf numFmtId="0" fontId="12" fillId="0" borderId="0" xfId="4" applyFont="1"/>
    <xf numFmtId="43" fontId="20" fillId="0" borderId="0" xfId="2" applyFont="1"/>
    <xf numFmtId="43" fontId="18" fillId="0" borderId="0" xfId="2" applyFont="1"/>
    <xf numFmtId="0" fontId="39" fillId="0" borderId="0" xfId="9" applyFont="1" applyFill="1" applyBorder="1" applyAlignment="1">
      <alignment horizontal="left"/>
    </xf>
    <xf numFmtId="0" fontId="26" fillId="0" borderId="0" xfId="4" applyFont="1" applyAlignment="1">
      <alignment horizontal="left" vertical="center"/>
    </xf>
    <xf numFmtId="177" fontId="33" fillId="11" borderId="31" xfId="2" applyNumberFormat="1" applyFont="1" applyFill="1" applyBorder="1" applyAlignment="1">
      <alignment horizontal="right" wrapText="1"/>
    </xf>
    <xf numFmtId="10" fontId="12" fillId="0" borderId="0" xfId="1" applyNumberFormat="1" applyFont="1"/>
    <xf numFmtId="172" fontId="12" fillId="0" borderId="0" xfId="0" applyFont="1"/>
    <xf numFmtId="0" fontId="13" fillId="0" borderId="0" xfId="4" applyFont="1" applyBorder="1"/>
    <xf numFmtId="174" fontId="14" fillId="0" borderId="22" xfId="5" applyNumberFormat="1" applyFont="1" applyFill="1" applyBorder="1"/>
    <xf numFmtId="43" fontId="17" fillId="0" borderId="0" xfId="7" applyNumberFormat="1" applyFont="1"/>
    <xf numFmtId="174" fontId="14" fillId="0" borderId="11" xfId="5" applyNumberFormat="1" applyFont="1" applyFill="1" applyBorder="1"/>
    <xf numFmtId="0" fontId="1" fillId="0" borderId="0" xfId="0" applyNumberFormat="1" applyFont="1" applyFill="1" applyAlignment="1" applyProtection="1">
      <alignment vertical="top" wrapText="1"/>
    </xf>
    <xf numFmtId="0" fontId="1" fillId="0" borderId="0" xfId="0" applyNumberFormat="1" applyFont="1" applyAlignment="1" applyProtection="1">
      <alignment vertical="top" wrapText="1"/>
    </xf>
    <xf numFmtId="0" fontId="1" fillId="0" borderId="0" xfId="0" applyNumberFormat="1" applyFont="1" applyFill="1" applyBorder="1" applyAlignment="1" applyProtection="1">
      <alignment horizontal="center"/>
    </xf>
    <xf numFmtId="3" fontId="1" fillId="0" borderId="0" xfId="0" applyNumberFormat="1" applyFont="1" applyAlignment="1" applyProtection="1">
      <alignment horizontal="right"/>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5" xfId="7" applyFont="1" applyFill="1" applyBorder="1" applyAlignment="1">
      <alignment horizontal="center"/>
    </xf>
    <xf numFmtId="0" fontId="17" fillId="6" borderId="36" xfId="7" applyFont="1" applyFill="1" applyBorder="1" applyAlignment="1">
      <alignment horizontal="center"/>
    </xf>
    <xf numFmtId="0" fontId="17" fillId="7" borderId="33" xfId="7" applyFont="1" applyFill="1" applyBorder="1" applyAlignment="1">
      <alignment horizontal="center"/>
    </xf>
    <xf numFmtId="0" fontId="17" fillId="7" borderId="35" xfId="7" applyFont="1" applyFill="1" applyBorder="1" applyAlignment="1">
      <alignment horizontal="center"/>
    </xf>
    <xf numFmtId="0" fontId="17" fillId="7" borderId="36" xfId="7" applyFont="1" applyFill="1" applyBorder="1" applyAlignment="1">
      <alignment horizontal="center"/>
    </xf>
    <xf numFmtId="0" fontId="22" fillId="0" borderId="0" xfId="7" applyFont="1" applyBorder="1" applyAlignment="1">
      <alignment horizontal="center"/>
    </xf>
    <xf numFmtId="0" fontId="26" fillId="0" borderId="0" xfId="4" applyFont="1" applyAlignment="1">
      <alignment horizontal="left" vertical="center"/>
    </xf>
    <xf numFmtId="43" fontId="1" fillId="0" borderId="0" xfId="2" applyFont="1" applyAlignment="1" applyProtection="1">
      <alignment horizontal="center"/>
    </xf>
    <xf numFmtId="44" fontId="30" fillId="0" borderId="31" xfId="3" applyFont="1" applyFill="1" applyBorder="1" applyAlignment="1">
      <alignment horizontal="left" wrapText="1"/>
    </xf>
  </cellXfs>
  <cellStyles count="17">
    <cellStyle name="Comma" xfId="2" builtinId="3"/>
    <cellStyle name="Comma 2" xfId="5"/>
    <cellStyle name="Comma 2 2" xfId="12"/>
    <cellStyle name="Comma 2 3" xfId="13"/>
    <cellStyle name="Currency" xfId="3" builtinId="4"/>
    <cellStyle name="Currency 2" xfId="6"/>
    <cellStyle name="Currency 2 2" xfId="8"/>
    <cellStyle name="Currency 3" xfId="11"/>
    <cellStyle name="Normal" xfId="0" builtinId="0"/>
    <cellStyle name="Normal 2" xfId="4"/>
    <cellStyle name="Normal 3" xfId="7"/>
    <cellStyle name="Normal 3 2" xfId="16"/>
    <cellStyle name="Normal_Sheet1" xfId="15"/>
    <cellStyle name="Normal_Sheet2" xfId="9"/>
    <cellStyle name="Normal_Sheet2 2" xfId="10"/>
    <cellStyle name="Percent" xfId="1" builtinId="5"/>
    <cellStyle name="Percent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2" width="8.88671875" style="6"/>
    <col min="13" max="13" width="10.33203125" style="6" bestFit="1" customWidth="1"/>
    <col min="14" max="14" width="16.77734375" style="6" customWidth="1"/>
    <col min="15" max="15" width="12.2187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631</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600</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309712.28883625334</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10127</v>
      </c>
      <c r="E14" s="17"/>
      <c r="F14" s="17" t="s">
        <v>12</v>
      </c>
      <c r="G14" s="27">
        <f>I220</f>
        <v>1</v>
      </c>
      <c r="H14" s="17"/>
      <c r="I14" s="17">
        <f>+G14*D14</f>
        <v>10127</v>
      </c>
      <c r="J14" s="11"/>
      <c r="K14" s="11"/>
      <c r="L14" s="11"/>
      <c r="N14" s="11"/>
      <c r="O14" s="11"/>
      <c r="P14" s="11"/>
    </row>
    <row r="15" spans="1:18">
      <c r="A15" s="13">
        <v>3</v>
      </c>
      <c r="B15" s="9" t="s">
        <v>192</v>
      </c>
      <c r="C15" s="17" t="s">
        <v>169</v>
      </c>
      <c r="D15" s="17">
        <f>I268</f>
        <v>1163.2700000000041</v>
      </c>
      <c r="E15" s="17"/>
      <c r="F15" s="17" t="str">
        <f>+F14</f>
        <v>TP</v>
      </c>
      <c r="G15" s="27">
        <f>+G14</f>
        <v>1</v>
      </c>
      <c r="H15" s="17"/>
      <c r="I15" s="17">
        <f>+G15*D15</f>
        <v>1163.2700000000041</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11290.270000000004</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298422.01883625332</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43663</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43663</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6.8346659376646892</v>
      </c>
      <c r="E36" s="11"/>
      <c r="F36" s="11"/>
      <c r="G36" s="11"/>
      <c r="H36" s="11"/>
      <c r="J36" s="11"/>
      <c r="K36" s="11"/>
      <c r="L36" s="11"/>
      <c r="N36" s="11"/>
      <c r="O36" s="11"/>
      <c r="P36" s="11"/>
    </row>
    <row r="37" spans="1:16">
      <c r="A37" s="13">
        <v>17</v>
      </c>
      <c r="B37" s="9" t="s">
        <v>301</v>
      </c>
      <c r="C37" s="11"/>
      <c r="D37" s="39">
        <f>+D36/12</f>
        <v>0.56955549480539081</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0.13143588341662865</v>
      </c>
      <c r="E40" s="11"/>
      <c r="F40" s="11"/>
      <c r="G40" s="11"/>
      <c r="H40" s="11"/>
      <c r="I40" s="42">
        <f>+D36/52</f>
        <v>0.13143588341662865</v>
      </c>
      <c r="J40" s="11"/>
      <c r="K40" s="11"/>
      <c r="L40" s="11"/>
      <c r="N40" s="11"/>
      <c r="O40" s="11"/>
      <c r="P40" s="11"/>
    </row>
    <row r="41" spans="1:16">
      <c r="A41" s="13">
        <v>19</v>
      </c>
      <c r="B41" s="9" t="s">
        <v>31</v>
      </c>
      <c r="C41" s="11" t="s">
        <v>249</v>
      </c>
      <c r="D41" s="39">
        <f>+D36/260</f>
        <v>2.6287176683325728E-2</v>
      </c>
      <c r="E41" s="11" t="s">
        <v>32</v>
      </c>
      <c r="G41" s="11"/>
      <c r="H41" s="11"/>
      <c r="I41" s="42">
        <f>+D36/365</f>
        <v>1.872511215798545E-2</v>
      </c>
      <c r="J41" s="11"/>
      <c r="K41" s="11"/>
      <c r="L41" s="11"/>
      <c r="N41" s="11"/>
      <c r="O41" s="11"/>
      <c r="P41" s="11"/>
    </row>
    <row r="42" spans="1:16">
      <c r="A42" s="13">
        <v>20</v>
      </c>
      <c r="B42" s="9" t="s">
        <v>33</v>
      </c>
      <c r="C42" s="11" t="s">
        <v>250</v>
      </c>
      <c r="D42" s="39">
        <f>+D36/4160*1000</f>
        <v>1.6429485427078581</v>
      </c>
      <c r="E42" s="11" t="s">
        <v>34</v>
      </c>
      <c r="G42" s="11"/>
      <c r="H42" s="11"/>
      <c r="I42" s="42">
        <f>+D36/8760*1000</f>
        <v>0.78021300658272708</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12/31/16</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Elk River,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3829519</v>
      </c>
      <c r="E83" s="17"/>
      <c r="F83" s="17" t="s">
        <v>52</v>
      </c>
      <c r="G83" s="53" t="s">
        <v>2</v>
      </c>
      <c r="H83" s="17"/>
      <c r="I83" s="17" t="s">
        <v>2</v>
      </c>
      <c r="J83" s="17"/>
      <c r="K83" s="17"/>
      <c r="L83" s="9"/>
      <c r="O83" s="17"/>
      <c r="P83" s="9"/>
    </row>
    <row r="84" spans="1:16">
      <c r="A84" s="13">
        <v>2</v>
      </c>
      <c r="B84" s="9" t="s">
        <v>53</v>
      </c>
      <c r="C84" s="17" t="s">
        <v>252</v>
      </c>
      <c r="D84" s="52">
        <f>TransmissionPlant</f>
        <v>1842806</v>
      </c>
      <c r="E84" s="17"/>
      <c r="F84" s="17" t="s">
        <v>12</v>
      </c>
      <c r="G84" s="53">
        <f>I220</f>
        <v>1</v>
      </c>
      <c r="H84" s="17"/>
      <c r="I84" s="17">
        <f>+G84*D84</f>
        <v>1842806</v>
      </c>
      <c r="J84" s="17"/>
      <c r="K84" s="17"/>
      <c r="L84" s="9"/>
      <c r="O84" s="17"/>
      <c r="P84" s="9"/>
    </row>
    <row r="85" spans="1:16">
      <c r="A85" s="13">
        <v>3</v>
      </c>
      <c r="B85" s="9" t="s">
        <v>54</v>
      </c>
      <c r="C85" s="17" t="s">
        <v>253</v>
      </c>
      <c r="D85" s="52">
        <f>DistributionPlant</f>
        <v>39483395</v>
      </c>
      <c r="E85" s="17"/>
      <c r="F85" s="17" t="s">
        <v>52</v>
      </c>
      <c r="G85" s="53" t="s">
        <v>2</v>
      </c>
      <c r="H85" s="17"/>
      <c r="I85" s="17" t="s">
        <v>2</v>
      </c>
      <c r="J85" s="17"/>
      <c r="K85" s="17"/>
      <c r="L85" s="9"/>
      <c r="O85" s="17"/>
      <c r="P85" s="9"/>
    </row>
    <row r="86" spans="1:16">
      <c r="A86" s="13">
        <v>4</v>
      </c>
      <c r="B86" s="9" t="s">
        <v>55</v>
      </c>
      <c r="C86" s="17" t="s">
        <v>282</v>
      </c>
      <c r="D86" s="52">
        <f>GeneralPlant</f>
        <v>16403548</v>
      </c>
      <c r="E86" s="17"/>
      <c r="F86" s="17" t="s">
        <v>56</v>
      </c>
      <c r="G86" s="53">
        <f>I236</f>
        <v>2.3144857940519441E-2</v>
      </c>
      <c r="H86" s="17"/>
      <c r="I86" s="17">
        <f>+G86*D86</f>
        <v>379657.78818049183</v>
      </c>
      <c r="J86" s="17"/>
      <c r="K86" s="17"/>
      <c r="L86" s="9"/>
      <c r="O86" s="13"/>
      <c r="P86" s="9"/>
    </row>
    <row r="87" spans="1:16" ht="16.5" thickBot="1">
      <c r="A87" s="13">
        <v>5</v>
      </c>
      <c r="B87" s="9" t="s">
        <v>57</v>
      </c>
      <c r="C87" s="17"/>
      <c r="D87" s="54">
        <v>0</v>
      </c>
      <c r="E87" s="17"/>
      <c r="F87" s="17" t="s">
        <v>58</v>
      </c>
      <c r="G87" s="53">
        <f>K240</f>
        <v>2.3144857940519441E-2</v>
      </c>
      <c r="H87" s="17"/>
      <c r="I87" s="30">
        <f>+G87*D87</f>
        <v>0</v>
      </c>
      <c r="J87" s="17"/>
      <c r="K87" s="17"/>
      <c r="L87" s="9"/>
      <c r="O87" s="13"/>
      <c r="P87" s="9"/>
    </row>
    <row r="88" spans="1:16">
      <c r="A88" s="13">
        <v>6</v>
      </c>
      <c r="B88" s="9" t="s">
        <v>212</v>
      </c>
      <c r="C88" s="17"/>
      <c r="D88" s="17">
        <f>SUM(D83:D87)</f>
        <v>61559268</v>
      </c>
      <c r="E88" s="17"/>
      <c r="F88" s="17" t="s">
        <v>59</v>
      </c>
      <c r="G88" s="55">
        <f>IF(I88&gt;0,I88/D88,0)</f>
        <v>3.6102830010592259E-2</v>
      </c>
      <c r="H88" s="17"/>
      <c r="I88" s="17">
        <f>SUM(I83:I87)</f>
        <v>2222463.7881804919</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2582192</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556744</v>
      </c>
      <c r="E92" s="17"/>
      <c r="F92" s="17" t="str">
        <f t="shared" si="0"/>
        <v>TP</v>
      </c>
      <c r="G92" s="53">
        <f t="shared" si="0"/>
        <v>1</v>
      </c>
      <c r="H92" s="17"/>
      <c r="I92" s="17">
        <f>+G92*D92</f>
        <v>556744</v>
      </c>
      <c r="J92" s="17"/>
      <c r="K92" s="17"/>
      <c r="L92" s="9"/>
      <c r="N92" s="17"/>
      <c r="O92" s="17"/>
      <c r="P92" s="9"/>
    </row>
    <row r="93" spans="1:16">
      <c r="A93" s="13">
        <v>9</v>
      </c>
      <c r="B93" s="9" t="str">
        <f>+B85</f>
        <v xml:space="preserve">  Distribution</v>
      </c>
      <c r="D93" s="56">
        <f>DistributionPlantAD</f>
        <v>17345099</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3155770</v>
      </c>
      <c r="E94" s="17"/>
      <c r="F94" s="17" t="str">
        <f t="shared" si="0"/>
        <v>W/S</v>
      </c>
      <c r="G94" s="53">
        <f t="shared" si="0"/>
        <v>2.3144857940519441E-2</v>
      </c>
      <c r="H94" s="17"/>
      <c r="I94" s="17">
        <f>+G94*D94</f>
        <v>73039.848342953032</v>
      </c>
      <c r="J94" s="17"/>
      <c r="K94" s="17"/>
      <c r="L94" s="9"/>
      <c r="N94" s="17"/>
      <c r="O94" s="13"/>
      <c r="P94" s="9"/>
    </row>
    <row r="95" spans="1:16" ht="16.5" thickBot="1">
      <c r="A95" s="13">
        <v>11</v>
      </c>
      <c r="B95" s="9" t="str">
        <f>+B87</f>
        <v xml:space="preserve">  Common</v>
      </c>
      <c r="C95" s="17"/>
      <c r="D95" s="54">
        <v>0</v>
      </c>
      <c r="E95" s="17"/>
      <c r="F95" s="17" t="str">
        <f t="shared" si="0"/>
        <v>CE</v>
      </c>
      <c r="G95" s="53">
        <f t="shared" si="0"/>
        <v>2.3144857940519441E-2</v>
      </c>
      <c r="H95" s="17"/>
      <c r="I95" s="30">
        <f>+G95*D95</f>
        <v>0</v>
      </c>
      <c r="J95" s="17"/>
      <c r="K95" s="17"/>
      <c r="L95" s="9"/>
      <c r="N95" s="17"/>
      <c r="O95" s="13"/>
      <c r="P95" s="9"/>
    </row>
    <row r="96" spans="1:16">
      <c r="A96" s="13">
        <v>12</v>
      </c>
      <c r="B96" s="9" t="s">
        <v>213</v>
      </c>
      <c r="C96" s="17"/>
      <c r="D96" s="17">
        <f>SUM(D91:D95)</f>
        <v>23639805</v>
      </c>
      <c r="E96" s="17"/>
      <c r="F96" s="17"/>
      <c r="G96" s="17"/>
      <c r="H96" s="17"/>
      <c r="I96" s="17">
        <f>SUM(I91:I95)</f>
        <v>629783.84834295302</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1247327</v>
      </c>
      <c r="E99" s="17"/>
      <c r="F99" s="17"/>
      <c r="G99" s="55"/>
      <c r="H99" s="17"/>
      <c r="I99" s="17" t="s">
        <v>2</v>
      </c>
      <c r="J99" s="17"/>
      <c r="K99" s="55"/>
      <c r="L99" s="9"/>
      <c r="N99" s="17"/>
      <c r="O99" s="17"/>
      <c r="P99" s="9"/>
    </row>
    <row r="100" spans="1:16">
      <c r="A100" s="13">
        <v>14</v>
      </c>
      <c r="B100" s="9" t="str">
        <f>+B92</f>
        <v xml:space="preserve">  Transmission</v>
      </c>
      <c r="C100" s="17" t="s">
        <v>215</v>
      </c>
      <c r="D100" s="17">
        <f>D84-D92</f>
        <v>1286062</v>
      </c>
      <c r="E100" s="17"/>
      <c r="F100" s="17"/>
      <c r="G100" s="53"/>
      <c r="H100" s="17"/>
      <c r="I100" s="17">
        <f>I84-I92</f>
        <v>1286062</v>
      </c>
      <c r="J100" s="17"/>
      <c r="K100" s="55"/>
      <c r="L100" s="9"/>
      <c r="N100" s="17"/>
      <c r="O100" s="17"/>
      <c r="P100" s="9"/>
    </row>
    <row r="101" spans="1:16">
      <c r="A101" s="13">
        <v>15</v>
      </c>
      <c r="B101" s="9" t="str">
        <f>+B93</f>
        <v xml:space="preserve">  Distribution</v>
      </c>
      <c r="C101" s="17" t="s">
        <v>216</v>
      </c>
      <c r="D101" s="17">
        <f>D85-D93</f>
        <v>22138296</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13247778</v>
      </c>
      <c r="E102" s="17"/>
      <c r="F102" s="17"/>
      <c r="G102" s="55"/>
      <c r="H102" s="17"/>
      <c r="I102" s="17">
        <f>I86-I94</f>
        <v>306617.93983753881</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37919463</v>
      </c>
      <c r="E104" s="17"/>
      <c r="F104" s="17" t="s">
        <v>61</v>
      </c>
      <c r="G104" s="55">
        <f>IF(I104&gt;0,I104/D104,0)</f>
        <v>4.2001648067577828E-2</v>
      </c>
      <c r="H104" s="17"/>
      <c r="I104" s="17">
        <f>SUM(I99:I103)</f>
        <v>1592679.9398375389</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4.2001648067577828E-2</v>
      </c>
      <c r="H108" s="17"/>
      <c r="I108" s="17">
        <f>D108*G108</f>
        <v>0</v>
      </c>
      <c r="J108" s="17"/>
      <c r="K108" s="55"/>
      <c r="L108" s="9"/>
      <c r="N108" s="55"/>
      <c r="O108" s="13"/>
      <c r="P108" s="9"/>
    </row>
    <row r="109" spans="1:16">
      <c r="A109" s="13">
        <v>21</v>
      </c>
      <c r="B109" s="9" t="s">
        <v>65</v>
      </c>
      <c r="C109" s="17"/>
      <c r="D109" s="52">
        <v>0</v>
      </c>
      <c r="E109" s="17"/>
      <c r="F109" s="17" t="s">
        <v>63</v>
      </c>
      <c r="G109" s="53">
        <f>+G108</f>
        <v>4.2001648067577828E-2</v>
      </c>
      <c r="H109" s="17"/>
      <c r="I109" s="17">
        <f>D109*G109</f>
        <v>0</v>
      </c>
      <c r="J109" s="17"/>
      <c r="K109" s="55"/>
      <c r="L109" s="9"/>
      <c r="N109" s="55"/>
      <c r="O109" s="13"/>
      <c r="P109" s="9"/>
    </row>
    <row r="110" spans="1:16">
      <c r="A110" s="13">
        <v>22</v>
      </c>
      <c r="B110" s="9" t="s">
        <v>66</v>
      </c>
      <c r="C110" s="17"/>
      <c r="D110" s="52">
        <v>0</v>
      </c>
      <c r="E110" s="17"/>
      <c r="F110" s="17" t="str">
        <f>+F109</f>
        <v>NP</v>
      </c>
      <c r="G110" s="53">
        <f>+G109</f>
        <v>4.2001648067577828E-2</v>
      </c>
      <c r="H110" s="17"/>
      <c r="I110" s="17">
        <f>D110*G110</f>
        <v>0</v>
      </c>
      <c r="J110" s="17"/>
      <c r="K110" s="55"/>
      <c r="L110" s="9"/>
      <c r="N110" s="55"/>
      <c r="O110" s="13"/>
      <c r="P110" s="9"/>
    </row>
    <row r="111" spans="1:16" ht="16.5" thickBot="1">
      <c r="A111" s="13">
        <v>23</v>
      </c>
      <c r="B111" s="6" t="s">
        <v>67</v>
      </c>
      <c r="D111" s="54">
        <v>0</v>
      </c>
      <c r="E111" s="17"/>
      <c r="F111" s="17" t="s">
        <v>63</v>
      </c>
      <c r="G111" s="53">
        <f>+G109</f>
        <v>4.2001648067577828E-2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394658.5</v>
      </c>
      <c r="E117" s="17"/>
      <c r="F117" s="17"/>
      <c r="G117" s="55"/>
      <c r="H117" s="17"/>
      <c r="I117" s="17">
        <f>I158/8</f>
        <v>12012.148482059636</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197439</v>
      </c>
      <c r="E119" s="17"/>
      <c r="F119" s="17" t="s">
        <v>76</v>
      </c>
      <c r="G119" s="53">
        <f>+G88</f>
        <v>3.6102830010592259E-2</v>
      </c>
      <c r="H119" s="17"/>
      <c r="I119" s="30">
        <f>+G119*D119</f>
        <v>7128.106654461325</v>
      </c>
      <c r="J119" s="17"/>
      <c r="K119" s="55"/>
      <c r="L119" s="9"/>
      <c r="N119" s="59"/>
      <c r="O119" s="13"/>
      <c r="P119" s="9"/>
    </row>
    <row r="120" spans="1:16">
      <c r="A120" s="13">
        <v>29</v>
      </c>
      <c r="B120" s="9" t="s">
        <v>222</v>
      </c>
      <c r="C120" s="11"/>
      <c r="D120" s="17">
        <f>D117+D118+D119</f>
        <v>592097.5</v>
      </c>
      <c r="E120" s="11"/>
      <c r="F120" s="11"/>
      <c r="G120" s="11"/>
      <c r="H120" s="11"/>
      <c r="I120" s="17">
        <f>I117+I118+I119</f>
        <v>19140.255136520962</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38511560.5</v>
      </c>
      <c r="E122" s="17"/>
      <c r="F122" s="17"/>
      <c r="G122" s="55"/>
      <c r="H122" s="17"/>
      <c r="I122" s="61">
        <f>+I120+I114+I112+I104</f>
        <v>1611820.1949740599</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12/31/16</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Elk River,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23568.15</v>
      </c>
      <c r="E149" s="17"/>
      <c r="F149" s="17" t="s">
        <v>74</v>
      </c>
      <c r="G149" s="53">
        <f>I229</f>
        <v>1</v>
      </c>
      <c r="H149" s="17"/>
      <c r="I149" s="17">
        <f t="shared" ref="I149:I157" si="1">+G149*D149</f>
        <v>23568.15</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3140854.85</v>
      </c>
      <c r="E152" s="17"/>
      <c r="F152" s="17" t="s">
        <v>56</v>
      </c>
      <c r="G152" s="53">
        <f>I236</f>
        <v>2.3144857940519441E-2</v>
      </c>
      <c r="H152" s="17"/>
      <c r="I152" s="17">
        <f t="shared" si="1"/>
        <v>72694.639315041495</v>
      </c>
      <c r="J152" s="17"/>
      <c r="K152" s="17" t="s">
        <v>2</v>
      </c>
      <c r="L152" s="9"/>
      <c r="N152" s="17"/>
      <c r="O152" s="13"/>
      <c r="P152" s="9"/>
    </row>
    <row r="153" spans="1:16">
      <c r="A153" s="13">
        <v>4</v>
      </c>
      <c r="B153" s="9" t="s">
        <v>81</v>
      </c>
      <c r="C153" s="17"/>
      <c r="D153" s="56">
        <v>0</v>
      </c>
      <c r="E153" s="17"/>
      <c r="F153" s="17" t="str">
        <f>+F152</f>
        <v>W/S</v>
      </c>
      <c r="G153" s="53">
        <f>I236</f>
        <v>2.3144857940519441E-2</v>
      </c>
      <c r="H153" s="17"/>
      <c r="I153" s="17">
        <f t="shared" si="1"/>
        <v>0</v>
      </c>
      <c r="J153" s="17"/>
      <c r="K153" s="17"/>
      <c r="L153" s="9"/>
      <c r="N153" s="17"/>
      <c r="O153" s="13"/>
      <c r="P153" s="9"/>
    </row>
    <row r="154" spans="1:16">
      <c r="A154" s="13">
        <v>5</v>
      </c>
      <c r="B154" s="9" t="s">
        <v>224</v>
      </c>
      <c r="C154" s="17"/>
      <c r="D154" s="56">
        <v>7155</v>
      </c>
      <c r="E154" s="17"/>
      <c r="F154" s="17" t="str">
        <f>+F153</f>
        <v>W/S</v>
      </c>
      <c r="G154" s="53">
        <f>I236</f>
        <v>2.3144857940519441E-2</v>
      </c>
      <c r="H154" s="17"/>
      <c r="I154" s="17">
        <f t="shared" si="1"/>
        <v>165.60145856441662</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2.3144857940519441E-2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3157268</v>
      </c>
      <c r="E158" s="5"/>
      <c r="F158" s="5"/>
      <c r="G158" s="5"/>
      <c r="H158" s="5"/>
      <c r="I158" s="5">
        <f>+I149-I151+I152-I153-I154+I155+I156+I157-I150</f>
        <v>96097.187856477089</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33348</v>
      </c>
      <c r="E161" s="17"/>
      <c r="F161" s="17" t="s">
        <v>12</v>
      </c>
      <c r="G161" s="53">
        <f>+G114</f>
        <v>1</v>
      </c>
      <c r="H161" s="17"/>
      <c r="I161" s="17">
        <f>+G161*D161</f>
        <v>33348</v>
      </c>
      <c r="J161" s="17"/>
      <c r="K161" s="55"/>
      <c r="L161" s="9"/>
      <c r="N161" s="17"/>
      <c r="O161" s="13"/>
      <c r="P161" s="17" t="s">
        <v>2</v>
      </c>
    </row>
    <row r="162" spans="1:16">
      <c r="A162" s="13">
        <v>10</v>
      </c>
      <c r="B162" s="9" t="s">
        <v>286</v>
      </c>
      <c r="C162" s="6" t="s">
        <v>2</v>
      </c>
      <c r="D162" s="56">
        <f>GeneralDepreciation</f>
        <v>335605</v>
      </c>
      <c r="E162" s="17"/>
      <c r="F162" s="17" t="s">
        <v>56</v>
      </c>
      <c r="G162" s="53">
        <f>+G152</f>
        <v>2.3144857940519441E-2</v>
      </c>
      <c r="H162" s="17"/>
      <c r="I162" s="17">
        <f>+G162*D162</f>
        <v>7767.5300491280268</v>
      </c>
      <c r="J162" s="17"/>
      <c r="K162" s="55"/>
      <c r="L162" s="9"/>
      <c r="N162" s="17"/>
      <c r="O162" s="13"/>
      <c r="P162" s="17" t="s">
        <v>2</v>
      </c>
    </row>
    <row r="163" spans="1:16" ht="16.5" thickBot="1">
      <c r="A163" s="13">
        <v>11</v>
      </c>
      <c r="B163" s="9" t="str">
        <f>+B156</f>
        <v xml:space="preserve">  Common</v>
      </c>
      <c r="C163" s="17"/>
      <c r="D163" s="54">
        <v>0</v>
      </c>
      <c r="E163" s="17"/>
      <c r="F163" s="17" t="s">
        <v>58</v>
      </c>
      <c r="G163" s="53">
        <f>+G156</f>
        <v>2.3144857940519441E-2</v>
      </c>
      <c r="H163" s="17"/>
      <c r="I163" s="30">
        <f>+G163*D163</f>
        <v>0</v>
      </c>
      <c r="J163" s="17"/>
      <c r="K163" s="55"/>
      <c r="L163" s="9"/>
      <c r="N163" s="17"/>
      <c r="O163" s="13"/>
      <c r="P163" s="17" t="s">
        <v>2</v>
      </c>
    </row>
    <row r="164" spans="1:16">
      <c r="A164" s="13">
        <v>12</v>
      </c>
      <c r="B164" s="9" t="s">
        <v>226</v>
      </c>
      <c r="C164" s="17"/>
      <c r="D164" s="17">
        <f>SUM(D161:D163)</f>
        <v>368953</v>
      </c>
      <c r="E164" s="17"/>
      <c r="F164" s="17"/>
      <c r="G164" s="17"/>
      <c r="H164" s="17"/>
      <c r="I164" s="17">
        <f>SUM(I161:I163)</f>
        <v>41115.530049128029</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0</v>
      </c>
      <c r="E168" s="17"/>
      <c r="F168" s="17" t="s">
        <v>56</v>
      </c>
      <c r="G168" s="27">
        <f>+G162</f>
        <v>2.3144857940519441E-2</v>
      </c>
      <c r="H168" s="17"/>
      <c r="I168" s="17">
        <f>+G168*D168</f>
        <v>0</v>
      </c>
      <c r="J168" s="17"/>
      <c r="K168" s="55"/>
      <c r="L168" s="9"/>
      <c r="N168" s="59"/>
      <c r="O168" s="13"/>
      <c r="P168" s="9"/>
    </row>
    <row r="169" spans="1:16">
      <c r="A169" s="13">
        <v>14</v>
      </c>
      <c r="B169" s="9" t="s">
        <v>85</v>
      </c>
      <c r="C169" s="17"/>
      <c r="D169" s="56">
        <v>0</v>
      </c>
      <c r="E169" s="17"/>
      <c r="F169" s="17" t="str">
        <f>+F168</f>
        <v>W/S</v>
      </c>
      <c r="G169" s="27">
        <f>+G168</f>
        <v>2.3144857940519441E-2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3.6102830010592259E-2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3.6102830010592259E-2</v>
      </c>
      <c r="H173" s="17"/>
      <c r="I173" s="17">
        <f>+G173*D173</f>
        <v>0</v>
      </c>
      <c r="J173" s="17"/>
      <c r="K173" s="55"/>
      <c r="L173" s="9"/>
      <c r="N173" s="59"/>
      <c r="O173" s="13"/>
      <c r="P173" s="9"/>
    </row>
    <row r="174" spans="1:16" ht="16.5" thickBot="1">
      <c r="A174" s="13">
        <v>19</v>
      </c>
      <c r="B174" s="9" t="s">
        <v>90</v>
      </c>
      <c r="C174" s="17"/>
      <c r="D174" s="54">
        <f>PILOT</f>
        <v>1089287</v>
      </c>
      <c r="E174" s="17"/>
      <c r="F174" s="17" t="s">
        <v>76</v>
      </c>
      <c r="G174" s="27">
        <f>+G173</f>
        <v>3.6102830010592259E-2</v>
      </c>
      <c r="H174" s="17"/>
      <c r="I174" s="30">
        <f>+G174*D174</f>
        <v>39326.343393748008</v>
      </c>
      <c r="J174" s="17"/>
      <c r="K174" s="55"/>
      <c r="L174" s="9"/>
      <c r="N174" s="59"/>
      <c r="O174" s="13"/>
      <c r="P174" s="9"/>
    </row>
    <row r="175" spans="1:16">
      <c r="A175" s="13">
        <v>20</v>
      </c>
      <c r="B175" s="9" t="s">
        <v>91</v>
      </c>
      <c r="C175" s="17"/>
      <c r="D175" s="17">
        <f>SUM(D168:D174)</f>
        <v>1089287</v>
      </c>
      <c r="E175" s="17"/>
      <c r="F175" s="17"/>
      <c r="G175" s="27"/>
      <c r="H175" s="17"/>
      <c r="I175" s="17">
        <f>SUM(I168:I174)</f>
        <v>39326.343393748008</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4.2001648067577828E-2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3181936.0653625131</v>
      </c>
      <c r="E189" s="17"/>
      <c r="F189" s="17" t="s">
        <v>52</v>
      </c>
      <c r="G189" s="70"/>
      <c r="H189" s="17"/>
      <c r="I189" s="17">
        <f>+$I250*I122</f>
        <v>133173.22753690023</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7797444.0653625131</v>
      </c>
      <c r="E192" s="17"/>
      <c r="F192" s="17"/>
      <c r="G192" s="17"/>
      <c r="H192" s="17"/>
      <c r="I192" s="76">
        <f>+I189+I187+I175+I164+I158</f>
        <v>309712.28883625334</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414"/>
      <c r="P200" s="17"/>
    </row>
    <row r="201" spans="1:16" ht="16.5" thickBot="1">
      <c r="A201" s="63">
        <v>31</v>
      </c>
      <c r="B201" s="1" t="s">
        <v>198</v>
      </c>
      <c r="C201" s="1"/>
      <c r="D201" s="79">
        <f>+D192-D196-D200</f>
        <v>7797444.0653625131</v>
      </c>
      <c r="E201" s="1"/>
      <c r="F201" s="1"/>
      <c r="G201" s="1"/>
      <c r="H201" s="1"/>
      <c r="I201" s="79">
        <f>+I192-I196-I200</f>
        <v>309712.28883625334</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12/31/16</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Elk River,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1842806</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1842806</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23568.15</v>
      </c>
      <c r="J223" s="17"/>
      <c r="K223" s="17"/>
      <c r="L223" s="397"/>
      <c r="M223" s="397"/>
      <c r="N223" s="397"/>
      <c r="O223" s="397"/>
      <c r="P223" s="397"/>
      <c r="Q223" s="397"/>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23568.15</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115323</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20908</v>
      </c>
      <c r="E233" s="101">
        <f>+I220</f>
        <v>1</v>
      </c>
      <c r="F233" s="101"/>
      <c r="G233" s="17">
        <f>D233*E233</f>
        <v>20908</v>
      </c>
      <c r="H233" s="17"/>
      <c r="I233" s="17"/>
      <c r="J233" s="17"/>
      <c r="K233" s="17"/>
      <c r="L233" s="4"/>
      <c r="M233" s="94"/>
      <c r="N233" s="92"/>
      <c r="O233" s="93"/>
      <c r="P233" s="88"/>
      <c r="Q233" s="88"/>
    </row>
    <row r="234" spans="1:17">
      <c r="A234" s="13">
        <v>14</v>
      </c>
      <c r="B234" s="9" t="s">
        <v>54</v>
      </c>
      <c r="C234" s="17"/>
      <c r="D234" s="56">
        <f>DistributionLabor</f>
        <v>719565</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47558</v>
      </c>
      <c r="E235" s="101">
        <v>0</v>
      </c>
      <c r="F235" s="101"/>
      <c r="G235" s="30">
        <f>D235*E235</f>
        <v>0</v>
      </c>
      <c r="H235" s="17"/>
      <c r="I235" s="23" t="s">
        <v>114</v>
      </c>
      <c r="J235" s="17"/>
      <c r="K235" s="17"/>
      <c r="L235" s="9"/>
      <c r="N235" s="17"/>
      <c r="O235" s="17"/>
      <c r="P235" s="9"/>
    </row>
    <row r="236" spans="1:17">
      <c r="A236" s="13">
        <v>16</v>
      </c>
      <c r="B236" s="9" t="s">
        <v>239</v>
      </c>
      <c r="C236" s="17"/>
      <c r="D236" s="17">
        <f>SUM(D232:D235)</f>
        <v>903354</v>
      </c>
      <c r="E236" s="17"/>
      <c r="F236" s="17"/>
      <c r="G236" s="17">
        <f>SUM(G232:G235)</f>
        <v>20908</v>
      </c>
      <c r="H236" s="13" t="s">
        <v>115</v>
      </c>
      <c r="I236" s="53">
        <f>IF(G236&gt;0,G233/D236,0)</f>
        <v>2.3144857940519441E-2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61559268</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2.3144857940519441E-2</v>
      </c>
      <c r="J240" s="70" t="s">
        <v>115</v>
      </c>
      <c r="K240" s="27">
        <f>I240*G240</f>
        <v>2.3144857940519441E-2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61559268</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198194</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13086218</v>
      </c>
      <c r="E248" s="105">
        <f>IF($D$250&gt;0,D248/$D$250,0)</f>
        <v>0.27486096606202043</v>
      </c>
      <c r="F248" s="106"/>
      <c r="G248" s="107">
        <f>IF(D248&gt;0,D245/D248,0)</f>
        <v>1.5145246701529808E-2</v>
      </c>
      <c r="I248" s="106">
        <f>G248*E248</f>
        <v>4.1628371396301113E-3</v>
      </c>
      <c r="J248" s="108" t="s">
        <v>131</v>
      </c>
      <c r="K248" s="17"/>
      <c r="L248" s="9"/>
      <c r="N248" s="17"/>
      <c r="O248" s="17"/>
      <c r="P248" s="9"/>
    </row>
    <row r="249" spans="1:18" ht="16.5" thickBot="1">
      <c r="A249" s="13">
        <v>23</v>
      </c>
      <c r="B249" s="9" t="s">
        <v>132</v>
      </c>
      <c r="C249" s="11" t="s">
        <v>260</v>
      </c>
      <c r="D249" s="54">
        <f>Equity</f>
        <v>34524100</v>
      </c>
      <c r="E249" s="109">
        <f>IF($D$250&gt;0,D249/$D$250,0)</f>
        <v>0.72513903393797963</v>
      </c>
      <c r="F249" s="106"/>
      <c r="G249" s="106">
        <f>I252</f>
        <v>0.1082</v>
      </c>
      <c r="I249" s="110">
        <f>G249*E249</f>
        <v>7.8460043472089402E-2</v>
      </c>
      <c r="L249" s="9"/>
      <c r="N249" s="17"/>
      <c r="O249" s="17"/>
      <c r="P249" s="9"/>
    </row>
    <row r="250" spans="1:18">
      <c r="A250" s="13">
        <v>24</v>
      </c>
      <c r="B250" s="9" t="s">
        <v>172</v>
      </c>
      <c r="C250" s="11"/>
      <c r="D250" s="17">
        <f>SUM(D248:D249)</f>
        <v>47610318</v>
      </c>
      <c r="E250" s="111">
        <f>SUM(E248+E249)</f>
        <v>1</v>
      </c>
      <c r="F250" s="106"/>
      <c r="G250" s="106"/>
      <c r="I250" s="106">
        <f>SUM(I248:I249)</f>
        <v>8.2622880611719518E-2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5.45536710229843</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10127</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91653.35</v>
      </c>
      <c r="J264" s="9"/>
      <c r="K264" s="9"/>
      <c r="L264" s="124"/>
      <c r="N264" s="9"/>
      <c r="O264" s="17"/>
      <c r="P264" s="9"/>
    </row>
    <row r="265" spans="1:17">
      <c r="A265" s="13">
        <v>32</v>
      </c>
      <c r="B265" s="125" t="s">
        <v>174</v>
      </c>
      <c r="C265" s="18"/>
      <c r="D265" s="18"/>
      <c r="E265" s="18"/>
      <c r="F265" s="18"/>
      <c r="G265" s="18"/>
      <c r="H265" s="11"/>
      <c r="I265" s="123">
        <f>NetworkRevenue</f>
        <v>90490.08</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1163.2700000000041</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398" t="str">
        <f>D4</f>
        <v xml:space="preserve">   Rate Formula Template</v>
      </c>
      <c r="D274" s="398"/>
      <c r="E274" s="17"/>
      <c r="F274" s="17"/>
      <c r="G274" s="17"/>
      <c r="H274" s="24"/>
      <c r="J274" s="11"/>
      <c r="K274" s="131" t="str">
        <f>K4</f>
        <v>For the 12 months ended 12/31/16</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Elk River,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396" t="s">
        <v>265</v>
      </c>
      <c r="C282" s="396"/>
      <c r="D282" s="396"/>
      <c r="E282" s="396"/>
      <c r="F282" s="396"/>
      <c r="G282" s="396"/>
      <c r="H282" s="396"/>
      <c r="I282" s="396"/>
      <c r="J282" s="396"/>
      <c r="K282" s="396"/>
      <c r="L282" s="11"/>
      <c r="N282" s="13"/>
      <c r="O282" s="11"/>
      <c r="P282" s="11"/>
    </row>
    <row r="283" spans="1:16" ht="63" customHeight="1">
      <c r="A283" s="134" t="s">
        <v>145</v>
      </c>
      <c r="B283" s="396" t="s">
        <v>266</v>
      </c>
      <c r="C283" s="396"/>
      <c r="D283" s="396"/>
      <c r="E283" s="396"/>
      <c r="F283" s="396"/>
      <c r="G283" s="396"/>
      <c r="H283" s="396"/>
      <c r="I283" s="396"/>
      <c r="J283" s="396"/>
      <c r="K283" s="396"/>
      <c r="L283" s="11"/>
      <c r="N283" s="13"/>
      <c r="O283" s="11"/>
      <c r="P283" s="11"/>
    </row>
    <row r="284" spans="1:16">
      <c r="A284" s="134" t="s">
        <v>146</v>
      </c>
      <c r="B284" s="396" t="s">
        <v>267</v>
      </c>
      <c r="C284" s="396"/>
      <c r="D284" s="396"/>
      <c r="E284" s="396"/>
      <c r="F284" s="396"/>
      <c r="G284" s="396"/>
      <c r="H284" s="396"/>
      <c r="I284" s="396"/>
      <c r="J284" s="396"/>
      <c r="K284" s="396"/>
      <c r="L284" s="11"/>
      <c r="N284" s="13"/>
      <c r="O284" s="11"/>
      <c r="P284" s="11"/>
    </row>
    <row r="285" spans="1:16">
      <c r="A285" s="134" t="s">
        <v>147</v>
      </c>
      <c r="B285" s="396" t="s">
        <v>267</v>
      </c>
      <c r="C285" s="396"/>
      <c r="D285" s="396"/>
      <c r="E285" s="396"/>
      <c r="F285" s="396"/>
      <c r="G285" s="396"/>
      <c r="H285" s="396"/>
      <c r="I285" s="396"/>
      <c r="J285" s="396"/>
      <c r="K285" s="396"/>
      <c r="L285" s="11"/>
      <c r="N285" s="13"/>
      <c r="O285" s="11"/>
      <c r="P285" s="11"/>
    </row>
    <row r="286" spans="1:16">
      <c r="A286" s="134" t="s">
        <v>148</v>
      </c>
      <c r="B286" s="396" t="s">
        <v>280</v>
      </c>
      <c r="C286" s="396"/>
      <c r="D286" s="396"/>
      <c r="E286" s="396"/>
      <c r="F286" s="396"/>
      <c r="G286" s="396"/>
      <c r="H286" s="396"/>
      <c r="I286" s="396"/>
      <c r="J286" s="396"/>
      <c r="K286" s="396"/>
      <c r="L286" s="11"/>
      <c r="N286" s="13"/>
      <c r="O286" s="11"/>
      <c r="P286" s="11"/>
    </row>
    <row r="287" spans="1:16" ht="48" customHeight="1">
      <c r="A287" s="134" t="s">
        <v>149</v>
      </c>
      <c r="B287" s="395" t="s">
        <v>242</v>
      </c>
      <c r="C287" s="395"/>
      <c r="D287" s="395"/>
      <c r="E287" s="395"/>
      <c r="F287" s="395"/>
      <c r="G287" s="395"/>
      <c r="H287" s="395"/>
      <c r="I287" s="395"/>
      <c r="J287" s="395"/>
      <c r="K287" s="395"/>
      <c r="L287" s="11"/>
      <c r="N287" s="13"/>
      <c r="O287" s="11"/>
      <c r="P287" s="11"/>
    </row>
    <row r="288" spans="1:16">
      <c r="A288" s="134" t="s">
        <v>150</v>
      </c>
      <c r="B288" s="395" t="s">
        <v>180</v>
      </c>
      <c r="C288" s="395"/>
      <c r="D288" s="395"/>
      <c r="E288" s="395"/>
      <c r="F288" s="395"/>
      <c r="G288" s="395"/>
      <c r="H288" s="395"/>
      <c r="I288" s="395"/>
      <c r="J288" s="395"/>
      <c r="K288" s="395"/>
      <c r="L288" s="11"/>
      <c r="N288" s="13"/>
      <c r="O288" s="11"/>
      <c r="P288" s="11"/>
    </row>
    <row r="289" spans="1:16" ht="32.25" customHeight="1">
      <c r="A289" s="134" t="s">
        <v>151</v>
      </c>
      <c r="B289" s="395" t="s">
        <v>243</v>
      </c>
      <c r="C289" s="395"/>
      <c r="D289" s="395"/>
      <c r="E289" s="395"/>
      <c r="F289" s="395"/>
      <c r="G289" s="395"/>
      <c r="H289" s="395"/>
      <c r="I289" s="395"/>
      <c r="J289" s="395"/>
      <c r="K289" s="395"/>
      <c r="L289" s="11"/>
      <c r="N289" s="13"/>
      <c r="O289" s="11"/>
      <c r="P289" s="11"/>
    </row>
    <row r="290" spans="1:16" ht="32.25" customHeight="1">
      <c r="A290" s="134" t="s">
        <v>152</v>
      </c>
      <c r="B290" s="396" t="s">
        <v>244</v>
      </c>
      <c r="C290" s="396"/>
      <c r="D290" s="396"/>
      <c r="E290" s="396"/>
      <c r="F290" s="396"/>
      <c r="G290" s="396"/>
      <c r="H290" s="396"/>
      <c r="I290" s="396"/>
      <c r="J290" s="396"/>
      <c r="K290" s="396"/>
      <c r="L290" s="11"/>
      <c r="N290" s="13"/>
      <c r="O290" s="11"/>
      <c r="P290" s="11"/>
    </row>
    <row r="291" spans="1:16" ht="32.25" customHeight="1">
      <c r="A291" s="134" t="s">
        <v>153</v>
      </c>
      <c r="B291" s="395" t="s">
        <v>245</v>
      </c>
      <c r="C291" s="395"/>
      <c r="D291" s="395"/>
      <c r="E291" s="395"/>
      <c r="F291" s="395"/>
      <c r="G291" s="395"/>
      <c r="H291" s="395"/>
      <c r="I291" s="395"/>
      <c r="J291" s="395"/>
      <c r="K291" s="395"/>
      <c r="L291" s="11"/>
      <c r="N291" s="13"/>
      <c r="O291" s="10"/>
      <c r="P291" s="11"/>
    </row>
    <row r="292" spans="1:16" ht="79.5" customHeight="1">
      <c r="A292" s="134" t="s">
        <v>154</v>
      </c>
      <c r="B292" s="395" t="s">
        <v>246</v>
      </c>
      <c r="C292" s="395"/>
      <c r="D292" s="395"/>
      <c r="E292" s="395"/>
      <c r="F292" s="395"/>
      <c r="G292" s="395"/>
      <c r="H292" s="395"/>
      <c r="I292" s="395"/>
      <c r="J292" s="395"/>
      <c r="K292" s="395"/>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395" t="s">
        <v>157</v>
      </c>
      <c r="F294" s="395"/>
      <c r="G294" s="395"/>
      <c r="H294" s="395"/>
      <c r="I294" s="395"/>
      <c r="J294" s="395"/>
      <c r="K294" s="395"/>
      <c r="N294" s="13"/>
      <c r="O294" s="11"/>
      <c r="P294" s="11"/>
    </row>
    <row r="295" spans="1:16">
      <c r="A295" s="134"/>
      <c r="B295" s="136"/>
      <c r="C295" s="136" t="s">
        <v>158</v>
      </c>
      <c r="D295" s="137">
        <v>0</v>
      </c>
      <c r="E295" s="395" t="s">
        <v>159</v>
      </c>
      <c r="F295" s="395"/>
      <c r="G295" s="395"/>
      <c r="H295" s="395"/>
      <c r="I295" s="395"/>
      <c r="J295" s="395"/>
      <c r="K295" s="395"/>
      <c r="L295" s="11"/>
      <c r="N295" s="13"/>
      <c r="O295" s="11"/>
      <c r="P295" s="11"/>
    </row>
    <row r="296" spans="1:16">
      <c r="A296" s="134" t="s">
        <v>160</v>
      </c>
      <c r="B296" s="395" t="s">
        <v>194</v>
      </c>
      <c r="C296" s="395"/>
      <c r="D296" s="395"/>
      <c r="E296" s="395"/>
      <c r="F296" s="395"/>
      <c r="G296" s="395"/>
      <c r="H296" s="395"/>
      <c r="I296" s="395"/>
      <c r="J296" s="395"/>
      <c r="K296" s="395"/>
      <c r="L296" s="11"/>
      <c r="N296" s="13"/>
      <c r="O296" s="11"/>
      <c r="P296" s="11"/>
    </row>
    <row r="297" spans="1:16" ht="32.25" customHeight="1">
      <c r="A297" s="134" t="s">
        <v>161</v>
      </c>
      <c r="B297" s="395" t="s">
        <v>298</v>
      </c>
      <c r="C297" s="395"/>
      <c r="D297" s="395"/>
      <c r="E297" s="395"/>
      <c r="F297" s="395"/>
      <c r="G297" s="395"/>
      <c r="H297" s="395"/>
      <c r="I297" s="395"/>
      <c r="J297" s="395"/>
      <c r="K297" s="395"/>
      <c r="L297" s="140"/>
      <c r="N297" s="13"/>
      <c r="O297" s="11"/>
      <c r="P297" s="11"/>
    </row>
    <row r="298" spans="1:16" ht="48" customHeight="1">
      <c r="A298" s="134" t="s">
        <v>162</v>
      </c>
      <c r="B298" s="395" t="s">
        <v>263</v>
      </c>
      <c r="C298" s="395"/>
      <c r="D298" s="395"/>
      <c r="E298" s="395"/>
      <c r="F298" s="395"/>
      <c r="G298" s="395"/>
      <c r="H298" s="395"/>
      <c r="I298" s="395"/>
      <c r="J298" s="395"/>
      <c r="K298" s="395"/>
      <c r="L298" s="11"/>
      <c r="N298" s="13"/>
      <c r="O298" s="11"/>
      <c r="P298" s="11"/>
    </row>
    <row r="299" spans="1:16">
      <c r="A299" s="134" t="s">
        <v>163</v>
      </c>
      <c r="B299" s="395" t="s">
        <v>181</v>
      </c>
      <c r="C299" s="395"/>
      <c r="D299" s="395"/>
      <c r="E299" s="395"/>
      <c r="F299" s="395"/>
      <c r="G299" s="395"/>
      <c r="H299" s="395"/>
      <c r="I299" s="395"/>
      <c r="J299" s="395"/>
      <c r="K299" s="395"/>
      <c r="L299" s="11"/>
      <c r="N299" s="13"/>
      <c r="O299" s="10"/>
      <c r="P299" s="11"/>
    </row>
    <row r="300" spans="1:16" ht="176.25" customHeight="1">
      <c r="A300" s="134" t="s">
        <v>164</v>
      </c>
      <c r="B300" s="396" t="s">
        <v>315</v>
      </c>
      <c r="C300" s="396"/>
      <c r="D300" s="396"/>
      <c r="E300" s="396"/>
      <c r="F300" s="396"/>
      <c r="G300" s="396"/>
      <c r="H300" s="396"/>
      <c r="I300" s="396"/>
      <c r="J300" s="396"/>
      <c r="K300" s="396"/>
      <c r="L300" s="11"/>
      <c r="N300" s="13"/>
      <c r="O300" s="10"/>
      <c r="P300" s="11"/>
    </row>
    <row r="301" spans="1:16" ht="32.25" customHeight="1">
      <c r="A301" s="134" t="s">
        <v>165</v>
      </c>
      <c r="B301" s="395" t="s">
        <v>247</v>
      </c>
      <c r="C301" s="395"/>
      <c r="D301" s="395"/>
      <c r="E301" s="395"/>
      <c r="F301" s="395"/>
      <c r="G301" s="395"/>
      <c r="H301" s="395"/>
      <c r="I301" s="395"/>
      <c r="J301" s="395"/>
      <c r="K301" s="395"/>
      <c r="L301" s="11"/>
      <c r="N301" s="13"/>
      <c r="O301" s="11"/>
      <c r="P301" s="11"/>
    </row>
    <row r="302" spans="1:16">
      <c r="A302" s="134" t="s">
        <v>166</v>
      </c>
      <c r="B302" s="395" t="s">
        <v>167</v>
      </c>
      <c r="C302" s="395"/>
      <c r="D302" s="395"/>
      <c r="E302" s="395"/>
      <c r="F302" s="395"/>
      <c r="G302" s="395"/>
      <c r="H302" s="395"/>
      <c r="I302" s="395"/>
      <c r="J302" s="395"/>
      <c r="K302" s="395"/>
      <c r="L302" s="11"/>
      <c r="N302" s="13"/>
      <c r="O302" s="11"/>
      <c r="P302" s="11"/>
    </row>
    <row r="303" spans="1:16" ht="48" customHeight="1">
      <c r="A303" s="134" t="s">
        <v>182</v>
      </c>
      <c r="B303" s="395" t="s">
        <v>299</v>
      </c>
      <c r="C303" s="395"/>
      <c r="D303" s="395"/>
      <c r="E303" s="395"/>
      <c r="F303" s="395"/>
      <c r="G303" s="395"/>
      <c r="H303" s="395"/>
      <c r="I303" s="395"/>
      <c r="J303" s="395"/>
      <c r="K303" s="395"/>
      <c r="L303" s="11"/>
      <c r="N303" s="13"/>
      <c r="O303" s="11"/>
      <c r="P303" s="11"/>
    </row>
    <row r="304" spans="1:16" ht="65.25" customHeight="1">
      <c r="A304" s="141" t="s">
        <v>183</v>
      </c>
      <c r="B304" s="395" t="s">
        <v>262</v>
      </c>
      <c r="C304" s="395"/>
      <c r="D304" s="395"/>
      <c r="E304" s="395"/>
      <c r="F304" s="395"/>
      <c r="G304" s="395"/>
      <c r="H304" s="395"/>
      <c r="I304" s="395"/>
      <c r="J304" s="395"/>
      <c r="K304" s="395"/>
      <c r="L304" s="11"/>
      <c r="N304" s="13"/>
      <c r="O304" s="11"/>
      <c r="P304" s="11"/>
    </row>
    <row r="305" spans="1:16">
      <c r="A305" s="141" t="s">
        <v>189</v>
      </c>
      <c r="B305" s="395" t="s">
        <v>288</v>
      </c>
      <c r="C305" s="395"/>
      <c r="D305" s="395"/>
      <c r="E305" s="395"/>
      <c r="F305" s="395"/>
      <c r="G305" s="395"/>
      <c r="H305" s="395"/>
      <c r="I305" s="395"/>
      <c r="J305" s="395"/>
      <c r="K305" s="395"/>
      <c r="L305" s="11"/>
      <c r="N305" s="13"/>
      <c r="O305" s="11"/>
      <c r="P305" s="11"/>
    </row>
    <row r="306" spans="1:16">
      <c r="A306" s="142" t="s">
        <v>191</v>
      </c>
      <c r="B306" s="395" t="s">
        <v>289</v>
      </c>
      <c r="C306" s="395"/>
      <c r="D306" s="395"/>
      <c r="E306" s="395"/>
      <c r="F306" s="395"/>
      <c r="G306" s="395"/>
      <c r="H306" s="395"/>
      <c r="I306" s="395"/>
      <c r="J306" s="395"/>
      <c r="K306" s="395"/>
      <c r="L306" s="11"/>
      <c r="N306" s="59"/>
      <c r="O306" s="11"/>
      <c r="P306" s="11"/>
    </row>
    <row r="307" spans="1:16">
      <c r="A307" s="142" t="s">
        <v>196</v>
      </c>
      <c r="B307" s="395" t="s">
        <v>294</v>
      </c>
      <c r="C307" s="395"/>
      <c r="D307" s="395"/>
      <c r="E307" s="395"/>
      <c r="F307" s="395"/>
      <c r="G307" s="395"/>
      <c r="H307" s="395"/>
      <c r="I307" s="395"/>
      <c r="J307" s="395"/>
      <c r="K307" s="395"/>
      <c r="L307" s="11"/>
      <c r="N307" s="59"/>
      <c r="O307" s="11"/>
      <c r="P307" s="11"/>
    </row>
    <row r="308" spans="1:16" s="1" customFormat="1" ht="32.25" customHeight="1">
      <c r="A308" s="141" t="s">
        <v>197</v>
      </c>
      <c r="B308" s="395" t="s">
        <v>295</v>
      </c>
      <c r="C308" s="395"/>
      <c r="D308" s="395"/>
      <c r="E308" s="395"/>
      <c r="F308" s="395"/>
      <c r="G308" s="395"/>
      <c r="H308" s="395"/>
      <c r="I308" s="395"/>
      <c r="J308" s="395"/>
      <c r="K308" s="395"/>
      <c r="L308" s="80"/>
      <c r="N308" s="63"/>
      <c r="O308" s="80"/>
      <c r="P308" s="80"/>
    </row>
    <row r="309" spans="1:16" s="82" customFormat="1">
      <c r="A309" s="142" t="s">
        <v>273</v>
      </c>
      <c r="B309" s="395" t="s">
        <v>296</v>
      </c>
      <c r="C309" s="395"/>
      <c r="D309" s="395"/>
      <c r="E309" s="395"/>
      <c r="F309" s="395"/>
      <c r="G309" s="395"/>
      <c r="H309" s="395"/>
      <c r="I309" s="395"/>
      <c r="J309" s="395"/>
      <c r="K309" s="395"/>
      <c r="L309" s="84"/>
      <c r="N309" s="81"/>
      <c r="O309" s="84"/>
      <c r="P309" s="84"/>
    </row>
    <row r="310" spans="1:16" s="82" customFormat="1" ht="33" customHeight="1">
      <c r="A310" s="141" t="s">
        <v>274</v>
      </c>
      <c r="B310" s="395" t="s">
        <v>297</v>
      </c>
      <c r="C310" s="395"/>
      <c r="D310" s="395"/>
      <c r="E310" s="395"/>
      <c r="F310" s="395"/>
      <c r="G310" s="395"/>
      <c r="H310" s="395"/>
      <c r="I310" s="395"/>
      <c r="J310" s="395"/>
      <c r="K310" s="395"/>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workbookViewId="0">
      <selection activeCell="G8" sqref="G8"/>
    </sheetView>
  </sheetViews>
  <sheetFormatPr defaultRowHeight="15" customHeight="1"/>
  <cols>
    <col min="1" max="1" width="3.33203125" style="277" customWidth="1"/>
    <col min="2" max="2" width="14.77734375" style="277" customWidth="1"/>
    <col min="3" max="3" width="29.44140625" style="277" customWidth="1"/>
    <col min="4" max="4" width="8.5546875" style="277" customWidth="1"/>
    <col min="5" max="5" width="2" style="277" customWidth="1"/>
    <col min="6" max="6" width="10.33203125" style="277" bestFit="1" customWidth="1"/>
    <col min="7" max="7" width="12.5546875" style="277" bestFit="1" customWidth="1"/>
    <col min="8" max="16384" width="8.88671875" style="277"/>
  </cols>
  <sheetData>
    <row r="1" spans="1:7" ht="20.100000000000001" customHeight="1">
      <c r="B1" s="299" t="str">
        <f>EntityName</f>
        <v>Elk River, MN</v>
      </c>
      <c r="C1" s="303"/>
    </row>
    <row r="2" spans="1:7" ht="20.100000000000001" customHeight="1">
      <c r="A2" s="281"/>
      <c r="B2" s="300" t="s">
        <v>542</v>
      </c>
      <c r="C2" s="305"/>
      <c r="D2" s="296"/>
    </row>
    <row r="3" spans="1:7" ht="20.100000000000001" customHeight="1">
      <c r="A3" s="281"/>
      <c r="B3" s="301">
        <f>FilingDate</f>
        <v>42735</v>
      </c>
      <c r="C3" s="303"/>
    </row>
    <row r="4" spans="1:7" ht="20.100000000000001" customHeight="1">
      <c r="A4" s="281"/>
      <c r="B4" s="304"/>
      <c r="C4" s="303"/>
    </row>
    <row r="5" spans="1:7" ht="20.100000000000001" customHeight="1">
      <c r="A5" s="281"/>
      <c r="B5" s="307">
        <f>G27</f>
        <v>23568.15</v>
      </c>
      <c r="C5" s="312" t="s">
        <v>561</v>
      </c>
    </row>
    <row r="6" spans="1:7" ht="18" customHeight="1">
      <c r="A6" s="281"/>
      <c r="B6" s="304"/>
      <c r="C6" s="319"/>
      <c r="D6" s="319"/>
      <c r="E6" s="319"/>
      <c r="F6" s="346">
        <v>2016</v>
      </c>
      <c r="G6" s="346">
        <v>2016</v>
      </c>
    </row>
    <row r="7" spans="1:7" ht="18" customHeight="1">
      <c r="B7" s="338" t="s">
        <v>525</v>
      </c>
      <c r="C7" s="338" t="s">
        <v>524</v>
      </c>
      <c r="D7" s="338" t="s">
        <v>523</v>
      </c>
      <c r="E7" s="319"/>
      <c r="F7" s="338" t="s">
        <v>126</v>
      </c>
      <c r="G7" s="338" t="s">
        <v>522</v>
      </c>
    </row>
    <row r="8" spans="1:7" ht="18" customHeight="1">
      <c r="B8" s="339"/>
      <c r="C8" s="339" t="s">
        <v>521</v>
      </c>
      <c r="D8" s="340">
        <v>0.05</v>
      </c>
      <c r="E8" s="319"/>
      <c r="F8" s="342">
        <v>0</v>
      </c>
      <c r="G8" s="341">
        <f t="shared" ref="G8:G23" si="0">F8*$D8</f>
        <v>0</v>
      </c>
    </row>
    <row r="9" spans="1:7" ht="18" customHeight="1">
      <c r="B9" s="339"/>
      <c r="C9" s="339" t="s">
        <v>520</v>
      </c>
      <c r="D9" s="340">
        <v>0.05</v>
      </c>
      <c r="E9" s="319"/>
      <c r="F9" s="342">
        <v>0</v>
      </c>
      <c r="G9" s="341">
        <f t="shared" si="0"/>
        <v>0</v>
      </c>
    </row>
    <row r="10" spans="1:7" ht="18" customHeight="1">
      <c r="B10" s="339"/>
      <c r="C10" s="339" t="s">
        <v>519</v>
      </c>
      <c r="D10" s="340">
        <v>0.05</v>
      </c>
      <c r="E10" s="319"/>
      <c r="F10" s="342">
        <v>0</v>
      </c>
      <c r="G10" s="341">
        <f t="shared" si="0"/>
        <v>0</v>
      </c>
    </row>
    <row r="11" spans="1:7" ht="18" customHeight="1">
      <c r="B11" s="339"/>
      <c r="C11" s="339" t="s">
        <v>518</v>
      </c>
      <c r="D11" s="340">
        <v>0.25</v>
      </c>
      <c r="E11" s="319"/>
      <c r="F11" s="342">
        <v>0</v>
      </c>
      <c r="G11" s="341">
        <f t="shared" si="0"/>
        <v>0</v>
      </c>
    </row>
    <row r="12" spans="1:7" ht="18" customHeight="1">
      <c r="B12" s="339"/>
      <c r="C12" s="339" t="s">
        <v>517</v>
      </c>
      <c r="D12" s="340">
        <v>0.25</v>
      </c>
      <c r="E12" s="319"/>
      <c r="F12" s="342">
        <v>0</v>
      </c>
      <c r="G12" s="341">
        <f t="shared" si="0"/>
        <v>0</v>
      </c>
    </row>
    <row r="13" spans="1:7" ht="18" customHeight="1">
      <c r="B13" s="339"/>
      <c r="C13" s="339" t="s">
        <v>516</v>
      </c>
      <c r="D13" s="340">
        <v>0.05</v>
      </c>
      <c r="E13" s="319"/>
      <c r="F13" s="342">
        <v>0</v>
      </c>
      <c r="G13" s="341">
        <f t="shared" si="0"/>
        <v>0</v>
      </c>
    </row>
    <row r="14" spans="1:7" ht="18" customHeight="1">
      <c r="B14" s="339"/>
      <c r="C14" s="339" t="s">
        <v>515</v>
      </c>
      <c r="D14" s="340">
        <v>0.05</v>
      </c>
      <c r="E14" s="319"/>
      <c r="F14" s="342">
        <v>0</v>
      </c>
      <c r="G14" s="341">
        <f t="shared" si="0"/>
        <v>0</v>
      </c>
    </row>
    <row r="15" spans="1:7" ht="18" customHeight="1">
      <c r="B15" s="339"/>
      <c r="C15" s="339" t="s">
        <v>514</v>
      </c>
      <c r="D15" s="340">
        <v>1</v>
      </c>
      <c r="E15" s="319"/>
      <c r="F15" s="342">
        <v>0</v>
      </c>
      <c r="G15" s="341">
        <f t="shared" si="0"/>
        <v>0</v>
      </c>
    </row>
    <row r="16" spans="1:7" ht="18" customHeight="1">
      <c r="B16" s="339"/>
      <c r="C16" s="339" t="s">
        <v>513</v>
      </c>
      <c r="D16" s="340">
        <v>0.05</v>
      </c>
      <c r="E16" s="319"/>
      <c r="F16" s="342">
        <v>0</v>
      </c>
      <c r="G16" s="341">
        <f t="shared" si="0"/>
        <v>0</v>
      </c>
    </row>
    <row r="17" spans="2:7" ht="18" customHeight="1">
      <c r="B17" s="339"/>
      <c r="C17" s="339" t="s">
        <v>512</v>
      </c>
      <c r="D17" s="340">
        <v>0.05</v>
      </c>
      <c r="E17" s="319"/>
      <c r="F17" s="342">
        <v>0</v>
      </c>
      <c r="G17" s="341">
        <f t="shared" si="0"/>
        <v>0</v>
      </c>
    </row>
    <row r="18" spans="2:7" ht="18" customHeight="1">
      <c r="B18" s="339"/>
      <c r="C18" s="339" t="s">
        <v>511</v>
      </c>
      <c r="D18" s="340">
        <v>0.05</v>
      </c>
      <c r="E18" s="319"/>
      <c r="F18" s="342">
        <v>0</v>
      </c>
      <c r="G18" s="341">
        <f t="shared" si="0"/>
        <v>0</v>
      </c>
    </row>
    <row r="19" spans="2:7" ht="18" customHeight="1">
      <c r="B19" s="339"/>
      <c r="C19" s="339" t="s">
        <v>510</v>
      </c>
      <c r="D19" s="340">
        <v>0.05</v>
      </c>
      <c r="E19" s="319"/>
      <c r="F19" s="342">
        <v>0</v>
      </c>
      <c r="G19" s="341">
        <f t="shared" si="0"/>
        <v>0</v>
      </c>
    </row>
    <row r="20" spans="2:7" ht="18" customHeight="1">
      <c r="B20" s="339"/>
      <c r="C20" s="339" t="s">
        <v>509</v>
      </c>
      <c r="D20" s="340">
        <v>0.05</v>
      </c>
      <c r="E20" s="319"/>
      <c r="F20" s="342">
        <v>0</v>
      </c>
      <c r="G20" s="341">
        <f t="shared" si="0"/>
        <v>0</v>
      </c>
    </row>
    <row r="21" spans="2:7" ht="18" customHeight="1">
      <c r="B21" s="339"/>
      <c r="C21" s="339" t="s">
        <v>508</v>
      </c>
      <c r="D21" s="340">
        <v>0.05</v>
      </c>
      <c r="E21" s="319"/>
      <c r="F21" s="342">
        <v>0</v>
      </c>
      <c r="G21" s="341">
        <f t="shared" si="0"/>
        <v>0</v>
      </c>
    </row>
    <row r="22" spans="2:7" ht="18" customHeight="1">
      <c r="B22" s="339"/>
      <c r="C22" s="339" t="s">
        <v>507</v>
      </c>
      <c r="D22" s="340">
        <v>0.05</v>
      </c>
      <c r="E22" s="319"/>
      <c r="F22" s="342">
        <v>0</v>
      </c>
      <c r="G22" s="341">
        <f t="shared" si="0"/>
        <v>0</v>
      </c>
    </row>
    <row r="23" spans="2:7" ht="18" customHeight="1">
      <c r="B23" s="339"/>
      <c r="C23" s="339" t="s">
        <v>506</v>
      </c>
      <c r="D23" s="340">
        <v>0.05</v>
      </c>
      <c r="E23" s="319"/>
      <c r="F23" s="342">
        <v>0</v>
      </c>
      <c r="G23" s="341">
        <f t="shared" si="0"/>
        <v>0</v>
      </c>
    </row>
    <row r="24" spans="2:7" ht="18" customHeight="1">
      <c r="B24" s="339"/>
      <c r="C24" s="339"/>
      <c r="D24" s="340"/>
      <c r="E24" s="319"/>
      <c r="F24" s="343"/>
      <c r="G24" s="344">
        <f>SUM(G8:G23)</f>
        <v>0</v>
      </c>
    </row>
    <row r="25" spans="2:7" ht="18" customHeight="1">
      <c r="B25" s="319" t="s">
        <v>572</v>
      </c>
      <c r="C25" s="347" t="s">
        <v>505</v>
      </c>
      <c r="D25" s="319"/>
      <c r="E25" s="314"/>
      <c r="F25" s="314"/>
      <c r="G25" s="314">
        <f>AttachO_Fees</f>
        <v>2660.15</v>
      </c>
    </row>
    <row r="26" spans="2:7" ht="18" customHeight="1">
      <c r="B26" s="345" t="s">
        <v>2</v>
      </c>
      <c r="C26" s="348" t="s">
        <v>504</v>
      </c>
      <c r="D26" s="319"/>
      <c r="E26" s="314"/>
      <c r="F26" s="314"/>
      <c r="G26" s="314">
        <f>TransmissionLabor</f>
        <v>20908</v>
      </c>
    </row>
    <row r="27" spans="2:7" ht="18" customHeight="1">
      <c r="B27" s="319"/>
      <c r="C27" s="319"/>
      <c r="D27" s="319"/>
      <c r="E27" s="312"/>
      <c r="F27" s="312"/>
      <c r="G27" s="349">
        <f>G26+G24+G25</f>
        <v>23568.15</v>
      </c>
    </row>
    <row r="28" spans="2:7" ht="18" customHeight="1">
      <c r="B28" s="319"/>
      <c r="C28" s="319"/>
      <c r="D28" s="319"/>
      <c r="E28" s="319"/>
      <c r="F28" s="319"/>
      <c r="G28" s="319"/>
    </row>
  </sheetData>
  <pageMargins left="0.75" right="0.75" top="1" bottom="1" header="0.5" footer="0.5"/>
  <pageSetup scale="9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3"/>
  <sheetViews>
    <sheetView showGridLines="0" topLeftCell="A7" workbookViewId="0">
      <selection activeCell="D25" sqref="D25"/>
    </sheetView>
  </sheetViews>
  <sheetFormatPr defaultRowHeight="15" customHeight="1"/>
  <cols>
    <col min="1" max="1" width="3.33203125" style="277" customWidth="1"/>
    <col min="2" max="2" width="35.77734375" style="283" customWidth="1"/>
    <col min="3" max="3" width="14.33203125" style="284" customWidth="1"/>
    <col min="4" max="4" width="55.77734375" style="283" customWidth="1"/>
    <col min="5" max="5" width="0.5546875" style="277" customWidth="1"/>
    <col min="6" max="16384" width="8.88671875" style="277"/>
  </cols>
  <sheetData>
    <row r="1" spans="2:7" ht="20.100000000000001" customHeight="1">
      <c r="B1" s="299" t="str">
        <f>EntityName</f>
        <v>Elk River, MN</v>
      </c>
      <c r="C1" s="277"/>
      <c r="D1" s="277"/>
    </row>
    <row r="2" spans="2:7" ht="20.100000000000001" customHeight="1">
      <c r="B2" s="300" t="s">
        <v>545</v>
      </c>
      <c r="C2" s="296"/>
      <c r="D2" s="296"/>
      <c r="E2" s="296"/>
      <c r="F2" s="296"/>
      <c r="G2" s="296"/>
    </row>
    <row r="3" spans="2:7" ht="20.100000000000001" customHeight="1">
      <c r="B3" s="301">
        <f>FilingDate</f>
        <v>42735</v>
      </c>
      <c r="C3" s="277"/>
      <c r="D3" s="319"/>
    </row>
    <row r="4" spans="2:7" ht="20.100000000000001" customHeight="1">
      <c r="B4" s="308"/>
      <c r="D4" s="319"/>
    </row>
    <row r="5" spans="2:7" ht="20.100000000000001" customHeight="1">
      <c r="B5" s="307">
        <f>C31</f>
        <v>3140854.85</v>
      </c>
      <c r="C5" s="312" t="s">
        <v>562</v>
      </c>
      <c r="D5" s="319"/>
    </row>
    <row r="6" spans="2:7" ht="20.100000000000001" customHeight="1">
      <c r="B6" s="312"/>
      <c r="C6" s="277"/>
      <c r="D6" s="319"/>
    </row>
    <row r="7" spans="2:7" ht="15" customHeight="1">
      <c r="B7" s="320" t="s">
        <v>577</v>
      </c>
      <c r="C7" s="358" t="s">
        <v>7</v>
      </c>
      <c r="D7" s="319"/>
    </row>
    <row r="8" spans="2:7" ht="18" customHeight="1">
      <c r="B8" s="326" t="s">
        <v>610</v>
      </c>
      <c r="C8" s="351">
        <v>717476</v>
      </c>
      <c r="D8" s="319"/>
    </row>
    <row r="9" spans="2:7" ht="18" customHeight="1">
      <c r="B9" s="326" t="s">
        <v>627</v>
      </c>
      <c r="C9" s="351">
        <v>1694375</v>
      </c>
      <c r="D9" s="319"/>
    </row>
    <row r="10" spans="2:7" ht="18" customHeight="1">
      <c r="B10" s="326" t="s">
        <v>540</v>
      </c>
      <c r="C10" s="351">
        <v>22704</v>
      </c>
      <c r="D10" s="319"/>
    </row>
    <row r="11" spans="2:7" ht="18" customHeight="1">
      <c r="B11" s="326" t="s">
        <v>608</v>
      </c>
      <c r="C11" s="351">
        <v>28610</v>
      </c>
      <c r="D11" s="319"/>
    </row>
    <row r="12" spans="2:7" ht="18" customHeight="1">
      <c r="B12" s="326" t="s">
        <v>611</v>
      </c>
      <c r="C12" s="351">
        <v>115129</v>
      </c>
      <c r="D12" s="319"/>
    </row>
    <row r="13" spans="2:7" ht="18" customHeight="1">
      <c r="B13" s="326" t="s">
        <v>539</v>
      </c>
      <c r="C13" s="351">
        <v>40757</v>
      </c>
      <c r="D13" s="319"/>
    </row>
    <row r="14" spans="2:7" ht="18" customHeight="1">
      <c r="B14" s="326" t="s">
        <v>612</v>
      </c>
      <c r="C14" s="351">
        <v>21249</v>
      </c>
      <c r="D14" s="319"/>
    </row>
    <row r="15" spans="2:7" ht="18" customHeight="1">
      <c r="B15" s="326" t="s">
        <v>538</v>
      </c>
      <c r="C15" s="351">
        <v>131924</v>
      </c>
      <c r="D15" s="319"/>
    </row>
    <row r="16" spans="2:7" ht="18" customHeight="1">
      <c r="B16" s="326" t="s">
        <v>537</v>
      </c>
      <c r="C16" s="351">
        <v>1776</v>
      </c>
      <c r="D16" s="319"/>
    </row>
    <row r="17" spans="2:4" ht="18" customHeight="1">
      <c r="B17" s="326" t="s">
        <v>613</v>
      </c>
      <c r="C17" s="351">
        <v>25473</v>
      </c>
      <c r="D17" s="319"/>
    </row>
    <row r="18" spans="2:4" ht="18" customHeight="1">
      <c r="B18" s="326" t="s">
        <v>534</v>
      </c>
      <c r="C18" s="351">
        <v>154982</v>
      </c>
      <c r="D18" s="319"/>
    </row>
    <row r="19" spans="2:4" ht="18" customHeight="1">
      <c r="B19" s="326" t="s">
        <v>536</v>
      </c>
      <c r="C19" s="351">
        <v>118544</v>
      </c>
      <c r="D19" s="319"/>
    </row>
    <row r="20" spans="2:4" ht="18" customHeight="1">
      <c r="B20" s="326" t="s">
        <v>609</v>
      </c>
      <c r="C20" s="351">
        <v>70516</v>
      </c>
      <c r="D20" s="319"/>
    </row>
    <row r="21" spans="2:4" ht="18" customHeight="1">
      <c r="B21" s="326" t="s">
        <v>535</v>
      </c>
      <c r="C21" s="351">
        <v>110839</v>
      </c>
      <c r="D21" s="319"/>
    </row>
    <row r="22" spans="2:4" ht="18" customHeight="1">
      <c r="B22" s="364" t="s">
        <v>580</v>
      </c>
      <c r="C22" s="366">
        <f>SUM(C8:C21)</f>
        <v>3254354</v>
      </c>
      <c r="D22" s="319" t="s">
        <v>614</v>
      </c>
    </row>
    <row r="23" spans="2:4" ht="18" customHeight="1">
      <c r="B23" s="319"/>
      <c r="C23" s="359"/>
      <c r="D23" s="319"/>
    </row>
    <row r="24" spans="2:4" ht="18" customHeight="1">
      <c r="B24" s="277"/>
      <c r="C24" s="360"/>
      <c r="D24" s="319"/>
    </row>
    <row r="25" spans="2:4" ht="18" customHeight="1">
      <c r="B25" s="277"/>
      <c r="C25" s="360"/>
      <c r="D25" s="319"/>
    </row>
    <row r="26" spans="2:4" ht="18" customHeight="1">
      <c r="B26" s="320" t="s">
        <v>593</v>
      </c>
      <c r="C26" s="358" t="s">
        <v>7</v>
      </c>
      <c r="D26" s="309"/>
    </row>
    <row r="27" spans="2:4" ht="18" customHeight="1">
      <c r="B27" s="326" t="s">
        <v>533</v>
      </c>
      <c r="C27" s="351">
        <v>0</v>
      </c>
      <c r="D27" s="311" t="s">
        <v>637</v>
      </c>
    </row>
    <row r="28" spans="2:4" ht="18" customHeight="1">
      <c r="B28" s="326" t="s">
        <v>628</v>
      </c>
      <c r="C28" s="351">
        <f>-C21</f>
        <v>-110839</v>
      </c>
      <c r="D28" s="311" t="s">
        <v>531</v>
      </c>
    </row>
    <row r="29" spans="2:4" ht="18" customHeight="1">
      <c r="B29" s="326"/>
      <c r="C29" s="351"/>
      <c r="D29" s="310" t="s">
        <v>532</v>
      </c>
    </row>
    <row r="30" spans="2:4" ht="18" customHeight="1">
      <c r="B30" s="326" t="s">
        <v>530</v>
      </c>
      <c r="C30" s="351">
        <f>-AttachO_Fees</f>
        <v>-2660.15</v>
      </c>
      <c r="D30" s="310" t="s">
        <v>604</v>
      </c>
    </row>
    <row r="31" spans="2:4" ht="18" customHeight="1">
      <c r="B31" s="364" t="s">
        <v>581</v>
      </c>
      <c r="C31" s="366">
        <f>C22+SUM(C27:C30)</f>
        <v>3140854.85</v>
      </c>
      <c r="D31" s="310"/>
    </row>
    <row r="32" spans="2:4" ht="18" customHeight="1">
      <c r="B32" s="290"/>
      <c r="C32" s="291"/>
      <c r="D32" s="290"/>
    </row>
    <row r="33" ht="18" customHeight="1"/>
  </sheetData>
  <pageMargins left="0.75" right="0.75" top="1" bottom="1" header="0.5" footer="0.5"/>
  <pageSetup scale="84"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5"/>
  <sheetViews>
    <sheetView showGridLines="0" topLeftCell="A4" workbookViewId="0">
      <selection activeCell="I21" sqref="I21"/>
    </sheetView>
  </sheetViews>
  <sheetFormatPr defaultRowHeight="12.75"/>
  <cols>
    <col min="1" max="1" width="3.33203125" style="277" customWidth="1"/>
    <col min="2" max="2" width="15.21875" style="277" customWidth="1"/>
    <col min="3" max="3" width="17.109375" style="277" customWidth="1"/>
    <col min="4" max="4" width="11.21875" style="277" customWidth="1"/>
    <col min="5" max="16384" width="8.88671875" style="277"/>
  </cols>
  <sheetData>
    <row r="1" spans="2:10" ht="20.100000000000001" customHeight="1">
      <c r="B1" s="299" t="str">
        <f>EntityName</f>
        <v>Elk River, MN</v>
      </c>
      <c r="C1" s="303"/>
    </row>
    <row r="2" spans="2:10" ht="20.100000000000001" customHeight="1">
      <c r="B2" s="387" t="s">
        <v>616</v>
      </c>
      <c r="C2" s="305"/>
      <c r="D2" s="296"/>
      <c r="E2" s="296"/>
      <c r="F2" s="296"/>
      <c r="G2" s="296"/>
      <c r="H2" s="296"/>
    </row>
    <row r="3" spans="2:10" ht="20.100000000000001" customHeight="1">
      <c r="B3" s="301">
        <f>FilingDate</f>
        <v>42735</v>
      </c>
      <c r="C3" s="303"/>
    </row>
    <row r="4" spans="2:10" ht="20.100000000000001" customHeight="1"/>
    <row r="5" spans="2:10" s="323" customFormat="1" ht="18" customHeight="1">
      <c r="B5" s="307">
        <v>1089287</v>
      </c>
      <c r="C5" s="312" t="s">
        <v>563</v>
      </c>
      <c r="D5" s="319"/>
      <c r="E5" s="319"/>
      <c r="F5" s="319"/>
      <c r="G5" s="319"/>
    </row>
    <row r="6" spans="2:10" s="323" customFormat="1" ht="18" customHeight="1">
      <c r="B6" s="319"/>
      <c r="C6" s="319" t="s">
        <v>625</v>
      </c>
      <c r="D6" s="319"/>
      <c r="E6" s="319"/>
      <c r="F6" s="319"/>
      <c r="G6" s="319"/>
    </row>
    <row r="7" spans="2:10" s="323" customFormat="1" ht="18" customHeight="1">
      <c r="B7" s="319"/>
      <c r="C7" s="319" t="s">
        <v>626</v>
      </c>
      <c r="D7" s="319"/>
      <c r="E7" s="319"/>
      <c r="F7" s="319"/>
      <c r="G7" s="319"/>
    </row>
    <row r="8" spans="2:10" s="323" customFormat="1" ht="18" customHeight="1">
      <c r="B8" s="319"/>
      <c r="D8" s="319"/>
      <c r="E8" s="319"/>
      <c r="F8" s="319"/>
      <c r="G8" s="319"/>
    </row>
    <row r="9" spans="2:10" s="323" customFormat="1" ht="18" customHeight="1">
      <c r="B9" s="319"/>
      <c r="C9" s="319"/>
      <c r="D9" s="319"/>
      <c r="E9" s="319"/>
      <c r="F9" s="319"/>
      <c r="G9" s="319"/>
    </row>
    <row r="10" spans="2:10" s="323" customFormat="1" ht="18" customHeight="1">
      <c r="B10" s="307">
        <v>0</v>
      </c>
      <c r="C10" s="312" t="s">
        <v>564</v>
      </c>
      <c r="D10" s="319"/>
      <c r="E10" s="319"/>
      <c r="F10" s="319"/>
      <c r="G10" s="319"/>
    </row>
    <row r="11" spans="2:10" s="323" customFormat="1" ht="18" customHeight="1">
      <c r="B11" s="319"/>
      <c r="C11" s="319"/>
      <c r="D11" s="319"/>
      <c r="E11" s="319"/>
      <c r="F11" s="319"/>
      <c r="G11" s="319"/>
    </row>
    <row r="12" spans="2:10" s="323" customFormat="1" ht="18" customHeight="1">
      <c r="B12" s="319"/>
      <c r="C12" s="319"/>
      <c r="D12" s="319"/>
      <c r="E12" s="319"/>
      <c r="F12" s="319"/>
      <c r="G12" s="319"/>
    </row>
    <row r="13" spans="2:10" s="323" customFormat="1" ht="18" customHeight="1">
      <c r="B13" s="307">
        <v>10127</v>
      </c>
      <c r="C13" s="312" t="s">
        <v>615</v>
      </c>
      <c r="D13" s="357"/>
      <c r="E13" s="357"/>
      <c r="F13" s="357"/>
      <c r="G13" s="357"/>
    </row>
    <row r="14" spans="2:10" s="323" customFormat="1" ht="18" customHeight="1">
      <c r="B14" s="319"/>
      <c r="C14" s="319"/>
      <c r="D14" s="319"/>
      <c r="E14" s="319"/>
      <c r="F14" s="319"/>
      <c r="G14" s="319"/>
    </row>
    <row r="15" spans="2:10" s="323" customFormat="1" ht="18" customHeight="1"/>
    <row r="16" spans="2:10" s="323" customFormat="1" ht="18" customHeight="1">
      <c r="B16" s="307">
        <f>D33</f>
        <v>2660.15</v>
      </c>
      <c r="C16" s="312" t="s">
        <v>576</v>
      </c>
      <c r="D16" s="319"/>
      <c r="E16" s="313"/>
      <c r="F16" s="313"/>
      <c r="G16" s="313"/>
      <c r="H16" s="313"/>
      <c r="I16" s="354"/>
      <c r="J16" s="354"/>
    </row>
    <row r="17" spans="2:10" s="323" customFormat="1" ht="18" customHeight="1">
      <c r="B17" s="312"/>
      <c r="C17" s="312"/>
      <c r="D17" s="319"/>
      <c r="E17" s="313"/>
      <c r="F17" s="313"/>
      <c r="G17" s="313"/>
      <c r="H17" s="313"/>
      <c r="I17" s="354"/>
      <c r="J17" s="354"/>
    </row>
    <row r="18" spans="2:10" s="323" customFormat="1" ht="18" customHeight="1">
      <c r="B18" s="320" t="s">
        <v>546</v>
      </c>
      <c r="C18" s="320" t="s">
        <v>524</v>
      </c>
      <c r="D18" s="320" t="s">
        <v>7</v>
      </c>
      <c r="E18" s="313"/>
      <c r="F18" s="313"/>
      <c r="G18" s="313"/>
      <c r="H18" s="354"/>
      <c r="I18" s="354"/>
      <c r="J18" s="354"/>
    </row>
    <row r="19" spans="2:10" s="323" customFormat="1" ht="18" customHeight="1">
      <c r="B19" s="322">
        <v>201601</v>
      </c>
      <c r="C19" s="355" t="s">
        <v>641</v>
      </c>
      <c r="D19" s="356">
        <v>173.21</v>
      </c>
      <c r="E19" s="314"/>
      <c r="F19" s="313"/>
      <c r="G19" s="313"/>
      <c r="H19" s="354"/>
      <c r="I19" s="354"/>
      <c r="J19" s="354"/>
    </row>
    <row r="20" spans="2:10" s="323" customFormat="1" ht="18" customHeight="1">
      <c r="B20" s="322">
        <v>201602</v>
      </c>
      <c r="C20" s="355" t="s">
        <v>641</v>
      </c>
      <c r="D20" s="356">
        <v>152.22</v>
      </c>
      <c r="E20" s="314"/>
      <c r="F20" s="313"/>
      <c r="G20" s="313"/>
      <c r="H20" s="354"/>
      <c r="I20" s="354"/>
      <c r="J20" s="354"/>
    </row>
    <row r="21" spans="2:10" s="323" customFormat="1" ht="18" customHeight="1">
      <c r="B21" s="322">
        <v>201603</v>
      </c>
      <c r="C21" s="355" t="s">
        <v>641</v>
      </c>
      <c r="D21" s="356">
        <v>148.30000000000001</v>
      </c>
      <c r="E21" s="314"/>
      <c r="F21" s="313"/>
      <c r="G21" s="313"/>
      <c r="H21" s="354"/>
      <c r="I21" s="354"/>
      <c r="J21" s="354"/>
    </row>
    <row r="22" spans="2:10" s="323" customFormat="1" ht="18" customHeight="1">
      <c r="B22" s="322">
        <v>201604</v>
      </c>
      <c r="C22" s="355" t="s">
        <v>641</v>
      </c>
      <c r="D22" s="356">
        <v>127.79</v>
      </c>
      <c r="E22" s="314"/>
      <c r="F22" s="313"/>
      <c r="G22" s="313"/>
      <c r="H22" s="354"/>
      <c r="I22" s="354"/>
      <c r="J22" s="354"/>
    </row>
    <row r="23" spans="2:10" s="323" customFormat="1" ht="18" customHeight="1">
      <c r="B23" s="322">
        <v>201605</v>
      </c>
      <c r="C23" s="355" t="s">
        <v>641</v>
      </c>
      <c r="D23" s="356">
        <v>145.25</v>
      </c>
      <c r="E23" s="314"/>
      <c r="F23" s="313"/>
      <c r="G23" s="313"/>
      <c r="H23" s="354"/>
      <c r="I23" s="354"/>
      <c r="J23" s="354"/>
    </row>
    <row r="24" spans="2:10" s="323" customFormat="1" ht="18" customHeight="1">
      <c r="B24" s="322">
        <v>201606</v>
      </c>
      <c r="C24" s="355" t="s">
        <v>641</v>
      </c>
      <c r="D24" s="356">
        <v>315.36</v>
      </c>
      <c r="E24" s="314"/>
      <c r="F24" s="313"/>
      <c r="G24" s="313"/>
      <c r="H24" s="354"/>
      <c r="I24" s="354"/>
      <c r="J24" s="354"/>
    </row>
    <row r="25" spans="2:10" s="323" customFormat="1" ht="18" customHeight="1">
      <c r="B25" s="322">
        <v>201607</v>
      </c>
      <c r="C25" s="355" t="s">
        <v>641</v>
      </c>
      <c r="D25" s="356">
        <v>375.91</v>
      </c>
      <c r="E25" s="314"/>
      <c r="F25" s="313"/>
      <c r="G25" s="313"/>
      <c r="H25" s="354"/>
      <c r="I25" s="354"/>
      <c r="J25" s="354"/>
    </row>
    <row r="26" spans="2:10" s="323" customFormat="1" ht="18" customHeight="1">
      <c r="B26" s="322">
        <v>201608</v>
      </c>
      <c r="C26" s="355" t="s">
        <v>641</v>
      </c>
      <c r="D26" s="356">
        <v>345.47</v>
      </c>
      <c r="E26" s="314"/>
      <c r="F26" s="313"/>
      <c r="G26" s="313"/>
      <c r="H26" s="354"/>
      <c r="I26" s="354"/>
      <c r="J26" s="354"/>
    </row>
    <row r="27" spans="2:10" s="323" customFormat="1" ht="18" customHeight="1">
      <c r="B27" s="322">
        <v>201608</v>
      </c>
      <c r="C27" s="355" t="s">
        <v>642</v>
      </c>
      <c r="D27" s="356">
        <v>-125.82</v>
      </c>
      <c r="E27" s="314"/>
      <c r="F27" s="313"/>
      <c r="G27" s="313"/>
      <c r="H27" s="354"/>
      <c r="I27" s="354"/>
      <c r="J27" s="354"/>
    </row>
    <row r="28" spans="2:10" s="323" customFormat="1" ht="18" customHeight="1">
      <c r="B28" s="322">
        <v>201609</v>
      </c>
      <c r="C28" s="355" t="s">
        <v>641</v>
      </c>
      <c r="D28" s="356">
        <v>270</v>
      </c>
      <c r="E28" s="373"/>
      <c r="F28" s="313"/>
      <c r="G28" s="313"/>
      <c r="H28" s="354"/>
      <c r="I28" s="354"/>
      <c r="J28" s="354"/>
    </row>
    <row r="29" spans="2:10" s="323" customFormat="1" ht="18" customHeight="1">
      <c r="B29" s="322">
        <v>201610</v>
      </c>
      <c r="C29" s="355" t="s">
        <v>641</v>
      </c>
      <c r="D29" s="356">
        <v>207.16</v>
      </c>
      <c r="E29" s="314"/>
      <c r="F29" s="313"/>
      <c r="G29" s="313"/>
      <c r="H29" s="354"/>
      <c r="I29" s="354"/>
      <c r="J29" s="354"/>
    </row>
    <row r="30" spans="2:10" s="323" customFormat="1" ht="18" customHeight="1">
      <c r="B30" s="322">
        <v>201611</v>
      </c>
      <c r="C30" s="355" t="s">
        <v>641</v>
      </c>
      <c r="D30" s="356">
        <v>221.19</v>
      </c>
      <c r="E30" s="314"/>
      <c r="F30" s="313"/>
      <c r="G30" s="313"/>
      <c r="H30" s="354"/>
      <c r="I30" s="354"/>
      <c r="J30" s="354"/>
    </row>
    <row r="31" spans="2:10" s="323" customFormat="1" ht="18" customHeight="1">
      <c r="B31" s="322">
        <v>201612</v>
      </c>
      <c r="C31" s="355" t="s">
        <v>641</v>
      </c>
      <c r="D31" s="356">
        <v>270.91000000000003</v>
      </c>
      <c r="E31" s="313"/>
      <c r="F31" s="313"/>
      <c r="G31" s="313"/>
      <c r="H31" s="354"/>
      <c r="I31" s="354"/>
      <c r="J31" s="354"/>
    </row>
    <row r="32" spans="2:10" s="323" customFormat="1" ht="18" customHeight="1">
      <c r="B32" s="322">
        <v>201612</v>
      </c>
      <c r="C32" s="355" t="s">
        <v>642</v>
      </c>
      <c r="D32" s="356">
        <v>33.200000000000003</v>
      </c>
      <c r="E32" s="313"/>
      <c r="F32" s="313"/>
      <c r="G32" s="313"/>
      <c r="H32" s="354"/>
      <c r="I32" s="354"/>
      <c r="J32" s="354"/>
    </row>
    <row r="33" spans="2:10" s="323" customFormat="1" ht="18" customHeight="1">
      <c r="B33" s="367"/>
      <c r="C33" s="368"/>
      <c r="D33" s="369">
        <f>SUM(D19:D32)</f>
        <v>2660.15</v>
      </c>
      <c r="E33" s="357" t="s">
        <v>573</v>
      </c>
      <c r="F33" s="313"/>
      <c r="G33" s="313"/>
      <c r="H33" s="354"/>
      <c r="I33" s="354"/>
      <c r="J33" s="354"/>
    </row>
    <row r="34" spans="2:10" ht="18" customHeight="1"/>
    <row r="35" spans="2:10" ht="18" customHeight="1"/>
  </sheetData>
  <pageMargins left="0.75" right="0.75" top="1" bottom="1" header="0.5" footer="0.5"/>
  <pageSetup scale="7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H36"/>
  <sheetViews>
    <sheetView showGridLines="0" topLeftCell="A4" workbookViewId="0">
      <selection activeCell="J18" sqref="J18"/>
    </sheetView>
  </sheetViews>
  <sheetFormatPr defaultRowHeight="15" customHeight="1"/>
  <cols>
    <col min="1" max="1" width="3.33203125" style="285" customWidth="1"/>
    <col min="2" max="2" width="12.109375" style="285" customWidth="1"/>
    <col min="3" max="3" width="26.88671875" style="285" bestFit="1" customWidth="1"/>
    <col min="4" max="4" width="8.88671875" style="285" customWidth="1"/>
    <col min="5" max="5" width="12.33203125" style="285" customWidth="1"/>
    <col min="6" max="6" width="11.88671875" style="285" customWidth="1"/>
    <col min="7" max="7" width="14.109375" style="285" customWidth="1"/>
    <col min="8" max="16384" width="8.88671875" style="285"/>
  </cols>
  <sheetData>
    <row r="1" spans="2:8" s="287" customFormat="1" ht="20.100000000000001" customHeight="1">
      <c r="B1" s="299" t="str">
        <f>EntityName</f>
        <v>Elk River, MN</v>
      </c>
      <c r="C1" s="303"/>
      <c r="D1" s="303"/>
      <c r="E1" s="303"/>
      <c r="F1" s="303"/>
      <c r="G1" s="303"/>
      <c r="H1" s="303"/>
    </row>
    <row r="2" spans="2:8" ht="20.100000000000001" customHeight="1">
      <c r="B2" s="413" t="s">
        <v>547</v>
      </c>
      <c r="C2" s="413"/>
      <c r="D2" s="413"/>
      <c r="E2" s="413"/>
      <c r="F2" s="413"/>
      <c r="G2" s="413"/>
      <c r="H2" s="413"/>
    </row>
    <row r="3" spans="2:8" ht="20.100000000000001" customHeight="1">
      <c r="B3" s="301">
        <f>FilingDate</f>
        <v>42735</v>
      </c>
      <c r="C3" s="303"/>
      <c r="D3" s="303"/>
      <c r="E3" s="303"/>
      <c r="F3" s="303"/>
      <c r="G3" s="303"/>
      <c r="H3" s="303"/>
    </row>
    <row r="5" spans="2:8" ht="18" customHeight="1">
      <c r="B5" s="325" t="s">
        <v>567</v>
      </c>
      <c r="C5" s="325" t="s">
        <v>568</v>
      </c>
      <c r="D5" s="320" t="s">
        <v>594</v>
      </c>
      <c r="E5" s="325" t="s">
        <v>569</v>
      </c>
      <c r="F5" s="321" t="s">
        <v>7</v>
      </c>
      <c r="G5" s="321" t="s">
        <v>570</v>
      </c>
    </row>
    <row r="6" spans="2:8" ht="18" customHeight="1">
      <c r="B6" s="326">
        <v>201601</v>
      </c>
      <c r="C6" s="326" t="s">
        <v>644</v>
      </c>
      <c r="D6" s="375">
        <v>7</v>
      </c>
      <c r="E6" s="326">
        <v>201601</v>
      </c>
      <c r="F6" s="376">
        <v>76.98</v>
      </c>
      <c r="G6" s="376"/>
    </row>
    <row r="7" spans="2:8" ht="18" customHeight="1">
      <c r="B7" s="326">
        <v>201602</v>
      </c>
      <c r="C7" s="326" t="s">
        <v>644</v>
      </c>
      <c r="D7" s="375">
        <v>7</v>
      </c>
      <c r="E7" s="326">
        <v>201602</v>
      </c>
      <c r="F7" s="376">
        <v>71.16</v>
      </c>
      <c r="G7" s="376"/>
    </row>
    <row r="8" spans="2:8" ht="18" customHeight="1">
      <c r="B8" s="326">
        <v>201603</v>
      </c>
      <c r="C8" s="326" t="s">
        <v>644</v>
      </c>
      <c r="D8" s="375">
        <v>7</v>
      </c>
      <c r="E8" s="326">
        <v>201603</v>
      </c>
      <c r="F8" s="376">
        <v>76.510000000000005</v>
      </c>
      <c r="G8" s="376"/>
    </row>
    <row r="9" spans="2:8" ht="18" customHeight="1">
      <c r="B9" s="326">
        <v>201604</v>
      </c>
      <c r="C9" s="326" t="s">
        <v>644</v>
      </c>
      <c r="D9" s="375">
        <v>7</v>
      </c>
      <c r="E9" s="326">
        <v>201604</v>
      </c>
      <c r="F9" s="376">
        <v>68.599999999999994</v>
      </c>
      <c r="G9" s="376"/>
    </row>
    <row r="10" spans="2:8" ht="18" customHeight="1">
      <c r="B10" s="326">
        <v>201605</v>
      </c>
      <c r="C10" s="326" t="s">
        <v>644</v>
      </c>
      <c r="D10" s="375">
        <v>7</v>
      </c>
      <c r="E10" s="326">
        <v>201605</v>
      </c>
      <c r="F10" s="376">
        <v>59.86</v>
      </c>
      <c r="G10" s="376"/>
    </row>
    <row r="11" spans="2:8" ht="18" customHeight="1">
      <c r="B11" s="326">
        <v>201606</v>
      </c>
      <c r="C11" s="326" t="s">
        <v>644</v>
      </c>
      <c r="D11" s="375">
        <v>7</v>
      </c>
      <c r="E11" s="326">
        <v>201606</v>
      </c>
      <c r="F11" s="376">
        <v>133.65</v>
      </c>
      <c r="G11" s="376"/>
    </row>
    <row r="12" spans="2:8" ht="18" customHeight="1">
      <c r="B12" s="326">
        <v>201607</v>
      </c>
      <c r="C12" s="326" t="s">
        <v>644</v>
      </c>
      <c r="D12" s="375">
        <v>7</v>
      </c>
      <c r="E12" s="326">
        <v>201607</v>
      </c>
      <c r="F12" s="376">
        <v>141.97</v>
      </c>
      <c r="G12" s="376"/>
    </row>
    <row r="13" spans="2:8" ht="18" customHeight="1">
      <c r="B13" s="326">
        <v>201608</v>
      </c>
      <c r="C13" s="326" t="s">
        <v>644</v>
      </c>
      <c r="D13" s="375">
        <v>7</v>
      </c>
      <c r="E13" s="326">
        <v>201608</v>
      </c>
      <c r="F13" s="376">
        <v>17.239999999999998</v>
      </c>
      <c r="G13" s="376"/>
    </row>
    <row r="14" spans="2:8" ht="18" customHeight="1">
      <c r="B14" s="326">
        <v>201609</v>
      </c>
      <c r="C14" s="326" t="s">
        <v>644</v>
      </c>
      <c r="D14" s="375">
        <v>7</v>
      </c>
      <c r="E14" s="326">
        <v>201609</v>
      </c>
      <c r="F14" s="376">
        <v>133.05000000000001</v>
      </c>
      <c r="G14" s="376"/>
    </row>
    <row r="15" spans="2:8" ht="18" customHeight="1">
      <c r="B15" s="326">
        <v>201610</v>
      </c>
      <c r="C15" s="326" t="s">
        <v>644</v>
      </c>
      <c r="D15" s="375">
        <v>7</v>
      </c>
      <c r="E15" s="326">
        <v>201610</v>
      </c>
      <c r="F15" s="376">
        <v>159.54</v>
      </c>
      <c r="G15" s="376"/>
    </row>
    <row r="16" spans="2:8" ht="18" customHeight="1">
      <c r="B16" s="326">
        <v>201611</v>
      </c>
      <c r="C16" s="326" t="s">
        <v>644</v>
      </c>
      <c r="D16" s="375">
        <v>7</v>
      </c>
      <c r="E16" s="326">
        <v>201611</v>
      </c>
      <c r="F16" s="376">
        <v>116.6</v>
      </c>
      <c r="G16" s="376"/>
    </row>
    <row r="17" spans="2:7" ht="18" customHeight="1">
      <c r="B17" s="326">
        <v>201612</v>
      </c>
      <c r="C17" s="326" t="s">
        <v>644</v>
      </c>
      <c r="D17" s="375">
        <v>7</v>
      </c>
      <c r="E17" s="326">
        <v>201612</v>
      </c>
      <c r="F17" s="376">
        <v>108.11</v>
      </c>
      <c r="G17" s="376"/>
    </row>
    <row r="18" spans="2:7" ht="18" customHeight="1">
      <c r="B18" s="326">
        <v>2016</v>
      </c>
      <c r="C18" s="326" t="s">
        <v>644</v>
      </c>
      <c r="D18" s="375"/>
      <c r="E18" s="326"/>
      <c r="F18" s="376"/>
      <c r="G18" s="376">
        <f>SUM(F6:F18)</f>
        <v>1163.2699999999998</v>
      </c>
    </row>
    <row r="19" spans="2:7" ht="18" customHeight="1">
      <c r="B19" s="326">
        <v>201601</v>
      </c>
      <c r="C19" s="326" t="s">
        <v>645</v>
      </c>
      <c r="D19" s="375">
        <v>8</v>
      </c>
      <c r="E19" s="326">
        <v>201601</v>
      </c>
      <c r="F19" s="376">
        <v>0</v>
      </c>
      <c r="G19" s="376"/>
    </row>
    <row r="20" spans="2:7" ht="18" customHeight="1">
      <c r="B20" s="326">
        <v>201602</v>
      </c>
      <c r="C20" s="326" t="s">
        <v>645</v>
      </c>
      <c r="D20" s="375">
        <v>8</v>
      </c>
      <c r="E20" s="326">
        <v>201602</v>
      </c>
      <c r="F20" s="376">
        <v>0</v>
      </c>
      <c r="G20" s="376"/>
    </row>
    <row r="21" spans="2:7" ht="18" customHeight="1">
      <c r="B21" s="326">
        <v>201603</v>
      </c>
      <c r="C21" s="326" t="s">
        <v>645</v>
      </c>
      <c r="D21" s="375">
        <v>8</v>
      </c>
      <c r="E21" s="326">
        <v>201603</v>
      </c>
      <c r="F21" s="376">
        <v>0</v>
      </c>
      <c r="G21" s="376"/>
    </row>
    <row r="22" spans="2:7" ht="18" customHeight="1">
      <c r="B22" s="326">
        <v>201604</v>
      </c>
      <c r="C22" s="326" t="s">
        <v>645</v>
      </c>
      <c r="D22" s="375">
        <v>8</v>
      </c>
      <c r="E22" s="326">
        <v>201604</v>
      </c>
      <c r="F22" s="376">
        <v>0</v>
      </c>
      <c r="G22" s="376"/>
    </row>
    <row r="23" spans="2:7" ht="18" customHeight="1">
      <c r="B23" s="326">
        <v>201605</v>
      </c>
      <c r="C23" s="326" t="s">
        <v>645</v>
      </c>
      <c r="D23" s="375">
        <v>8</v>
      </c>
      <c r="E23" s="326">
        <v>201605</v>
      </c>
      <c r="F23" s="376">
        <v>0</v>
      </c>
      <c r="G23" s="376"/>
    </row>
    <row r="24" spans="2:7" ht="18" customHeight="1">
      <c r="B24" s="326">
        <v>201606</v>
      </c>
      <c r="C24" s="326" t="s">
        <v>645</v>
      </c>
      <c r="D24" s="375">
        <v>8</v>
      </c>
      <c r="E24" s="326">
        <v>201606</v>
      </c>
      <c r="F24" s="376">
        <v>0</v>
      </c>
      <c r="G24" s="376"/>
    </row>
    <row r="25" spans="2:7" ht="18" customHeight="1">
      <c r="B25" s="326">
        <v>201607</v>
      </c>
      <c r="C25" s="326" t="s">
        <v>645</v>
      </c>
      <c r="D25" s="375">
        <v>8</v>
      </c>
      <c r="E25" s="326">
        <v>201607</v>
      </c>
      <c r="F25" s="376">
        <v>0</v>
      </c>
      <c r="G25" s="376"/>
    </row>
    <row r="26" spans="2:7" ht="18" customHeight="1">
      <c r="B26" s="326">
        <v>201608</v>
      </c>
      <c r="C26" s="326" t="s">
        <v>645</v>
      </c>
      <c r="D26" s="375">
        <v>8</v>
      </c>
      <c r="E26" s="326">
        <v>201608</v>
      </c>
      <c r="F26" s="376">
        <v>0</v>
      </c>
      <c r="G26" s="376"/>
    </row>
    <row r="27" spans="2:7" ht="18" customHeight="1">
      <c r="B27" s="326">
        <v>201609</v>
      </c>
      <c r="C27" s="326" t="s">
        <v>645</v>
      </c>
      <c r="D27" s="375">
        <v>8</v>
      </c>
      <c r="E27" s="326">
        <v>201609</v>
      </c>
      <c r="F27" s="376">
        <v>0</v>
      </c>
      <c r="G27" s="376"/>
    </row>
    <row r="28" spans="2:7" ht="18" customHeight="1">
      <c r="B28" s="326">
        <v>201610</v>
      </c>
      <c r="C28" s="326" t="s">
        <v>645</v>
      </c>
      <c r="D28" s="375">
        <v>8</v>
      </c>
      <c r="E28" s="326">
        <v>201610</v>
      </c>
      <c r="F28" s="376">
        <v>0</v>
      </c>
      <c r="G28" s="376"/>
    </row>
    <row r="29" spans="2:7" ht="18" customHeight="1">
      <c r="B29" s="326">
        <v>201611</v>
      </c>
      <c r="C29" s="326" t="s">
        <v>645</v>
      </c>
      <c r="D29" s="375">
        <v>8</v>
      </c>
      <c r="E29" s="326">
        <v>201611</v>
      </c>
      <c r="F29" s="376">
        <v>0</v>
      </c>
      <c r="G29" s="376"/>
    </row>
    <row r="30" spans="2:7" ht="18" customHeight="1">
      <c r="B30" s="326">
        <v>201612</v>
      </c>
      <c r="C30" s="326" t="s">
        <v>645</v>
      </c>
      <c r="D30" s="375">
        <v>8</v>
      </c>
      <c r="E30" s="326">
        <v>201612</v>
      </c>
      <c r="F30" s="376">
        <v>0</v>
      </c>
      <c r="G30" s="376"/>
    </row>
    <row r="31" spans="2:7" ht="18" customHeight="1">
      <c r="B31" s="326">
        <v>2016</v>
      </c>
      <c r="C31" s="326" t="s">
        <v>645</v>
      </c>
      <c r="D31" s="375"/>
      <c r="E31" s="326"/>
      <c r="F31" s="376"/>
      <c r="G31" s="376">
        <f>SUM(F19:F31)</f>
        <v>0</v>
      </c>
    </row>
    <row r="32" spans="2:7" ht="18" customHeight="1">
      <c r="B32" s="364"/>
      <c r="C32" s="364"/>
      <c r="D32" s="364"/>
      <c r="E32" s="364"/>
      <c r="F32" s="378">
        <f>SUM(F6:F31)</f>
        <v>1163.2699999999998</v>
      </c>
      <c r="G32" s="378">
        <f>SUM(G6:G31)</f>
        <v>1163.2699999999998</v>
      </c>
    </row>
    <row r="36" s="286" customFormat="1" ht="15" customHeight="1"/>
  </sheetData>
  <mergeCells count="1">
    <mergeCell ref="B2:H2"/>
  </mergeCells>
  <pageMargins left="0.7" right="0.7" top="0.75" bottom="0.75" header="0.1" footer="0.3"/>
  <pageSetup scale="88"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6" r:id="rId4" name="HEAD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6" r:id="rId4" name="HEADER"/>
      </mc:Fallback>
    </mc:AlternateContent>
    <mc:AlternateContent xmlns:mc="http://schemas.openxmlformats.org/markup-compatibility/2006">
      <mc:Choice Requires="x14">
        <control shapeId="11265" r:id="rId6" name="FILT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5" r:id="rId6" name="FILT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workbookViewId="0">
      <selection activeCell="F6" sqref="F6:F17"/>
    </sheetView>
  </sheetViews>
  <sheetFormatPr defaultRowHeight="15"/>
  <cols>
    <col min="1" max="1" width="3.33203125" customWidth="1"/>
    <col min="2" max="2" width="14.6640625" bestFit="1" customWidth="1"/>
    <col min="3" max="3" width="14" customWidth="1"/>
    <col min="4" max="4" width="9" bestFit="1" customWidth="1"/>
    <col min="5" max="5" width="13.77734375" bestFit="1" customWidth="1"/>
    <col min="6" max="6" width="13.21875" customWidth="1"/>
  </cols>
  <sheetData>
    <row r="1" spans="2:7" s="287" customFormat="1" ht="20.100000000000001" customHeight="1">
      <c r="B1" s="302" t="str">
        <f>EntityName</f>
        <v>Elk River, MN</v>
      </c>
      <c r="C1" s="303"/>
      <c r="D1" s="303"/>
      <c r="E1" s="303"/>
      <c r="F1" s="303"/>
      <c r="G1" s="303"/>
    </row>
    <row r="2" spans="2:7" s="285" customFormat="1" ht="20.100000000000001" customHeight="1">
      <c r="B2" s="305" t="s">
        <v>547</v>
      </c>
      <c r="C2" s="305"/>
      <c r="D2" s="305"/>
      <c r="E2" s="305"/>
      <c r="F2" s="305"/>
      <c r="G2" s="305"/>
    </row>
    <row r="3" spans="2:7" s="285" customFormat="1" ht="20.100000000000001" customHeight="1">
      <c r="B3" s="304">
        <f>FilingDate</f>
        <v>42735</v>
      </c>
      <c r="C3" s="303"/>
      <c r="D3" s="303"/>
      <c r="E3" s="303"/>
      <c r="F3" s="303"/>
      <c r="G3" s="303"/>
    </row>
    <row r="4" spans="2:7" s="285" customFormat="1" ht="15" customHeight="1"/>
    <row r="5" spans="2:7" s="285" customFormat="1" ht="18" customHeight="1">
      <c r="B5" s="325" t="s">
        <v>567</v>
      </c>
      <c r="C5" s="325" t="s">
        <v>568</v>
      </c>
      <c r="D5" s="325" t="s">
        <v>594</v>
      </c>
      <c r="E5" s="325" t="s">
        <v>569</v>
      </c>
      <c r="F5" s="321" t="s">
        <v>7</v>
      </c>
      <c r="G5" s="374"/>
    </row>
    <row r="6" spans="2:7" s="285" customFormat="1" ht="18" customHeight="1">
      <c r="B6" s="326">
        <v>201601</v>
      </c>
      <c r="C6" s="326" t="s">
        <v>643</v>
      </c>
      <c r="D6" s="375">
        <v>9</v>
      </c>
      <c r="E6" s="326">
        <v>201601</v>
      </c>
      <c r="F6" s="415">
        <v>5696.56</v>
      </c>
      <c r="G6" s="374"/>
    </row>
    <row r="7" spans="2:7" s="285" customFormat="1" ht="18" customHeight="1">
      <c r="B7" s="326">
        <v>201602</v>
      </c>
      <c r="C7" s="326" t="s">
        <v>643</v>
      </c>
      <c r="D7" s="375">
        <v>9</v>
      </c>
      <c r="E7" s="326">
        <v>201602</v>
      </c>
      <c r="F7" s="415">
        <v>5002.95</v>
      </c>
      <c r="G7" s="374"/>
    </row>
    <row r="8" spans="2:7" s="285" customFormat="1" ht="18" customHeight="1">
      <c r="B8" s="326">
        <v>201603</v>
      </c>
      <c r="C8" s="326" t="s">
        <v>643</v>
      </c>
      <c r="D8" s="375">
        <v>9</v>
      </c>
      <c r="E8" s="326">
        <v>201603</v>
      </c>
      <c r="F8" s="415">
        <v>4866.84</v>
      </c>
      <c r="G8" s="374"/>
    </row>
    <row r="9" spans="2:7" s="285" customFormat="1" ht="18" customHeight="1">
      <c r="B9" s="326">
        <v>201604</v>
      </c>
      <c r="C9" s="326" t="s">
        <v>643</v>
      </c>
      <c r="D9" s="375">
        <v>9</v>
      </c>
      <c r="E9" s="326">
        <v>201604</v>
      </c>
      <c r="F9" s="415">
        <v>4190.9799999999996</v>
      </c>
      <c r="G9" s="374"/>
    </row>
    <row r="10" spans="2:7" s="285" customFormat="1" ht="18" customHeight="1">
      <c r="B10" s="326">
        <v>201605</v>
      </c>
      <c r="C10" s="326" t="s">
        <v>643</v>
      </c>
      <c r="D10" s="375">
        <v>9</v>
      </c>
      <c r="E10" s="326">
        <v>201605</v>
      </c>
      <c r="F10" s="415">
        <v>4781.92</v>
      </c>
      <c r="G10" s="374"/>
    </row>
    <row r="11" spans="2:7" s="285" customFormat="1" ht="18" customHeight="1">
      <c r="B11" s="326">
        <v>201606</v>
      </c>
      <c r="C11" s="326" t="s">
        <v>643</v>
      </c>
      <c r="D11" s="375">
        <v>9</v>
      </c>
      <c r="E11" s="326">
        <v>201606</v>
      </c>
      <c r="F11" s="415">
        <v>10378.34</v>
      </c>
      <c r="G11" s="374"/>
    </row>
    <row r="12" spans="2:7" s="285" customFormat="1" ht="18" customHeight="1">
      <c r="B12" s="326">
        <v>201607</v>
      </c>
      <c r="C12" s="326" t="s">
        <v>643</v>
      </c>
      <c r="D12" s="375">
        <v>9</v>
      </c>
      <c r="E12" s="326">
        <v>201607</v>
      </c>
      <c r="F12" s="415">
        <v>12388.45</v>
      </c>
      <c r="G12" s="374"/>
    </row>
    <row r="13" spans="2:7" s="285" customFormat="1" ht="18" customHeight="1">
      <c r="B13" s="326">
        <v>201608</v>
      </c>
      <c r="C13" s="326" t="s">
        <v>643</v>
      </c>
      <c r="D13" s="375">
        <v>9</v>
      </c>
      <c r="E13" s="326">
        <v>201608</v>
      </c>
      <c r="F13" s="415">
        <v>11372.58</v>
      </c>
      <c r="G13" s="374"/>
    </row>
    <row r="14" spans="2:7" s="285" customFormat="1" ht="18" customHeight="1">
      <c r="B14" s="326">
        <v>201609</v>
      </c>
      <c r="C14" s="326" t="s">
        <v>643</v>
      </c>
      <c r="D14" s="375">
        <v>9</v>
      </c>
      <c r="E14" s="326">
        <v>201609</v>
      </c>
      <c r="F14" s="415">
        <v>8853.6</v>
      </c>
      <c r="G14" s="377"/>
    </row>
    <row r="15" spans="2:7" s="285" customFormat="1" ht="18" customHeight="1">
      <c r="B15" s="326">
        <v>201610</v>
      </c>
      <c r="C15" s="326" t="s">
        <v>643</v>
      </c>
      <c r="D15" s="375">
        <v>9</v>
      </c>
      <c r="E15" s="326">
        <v>201610</v>
      </c>
      <c r="F15" s="415">
        <v>6745.87</v>
      </c>
      <c r="G15" s="374"/>
    </row>
    <row r="16" spans="2:7" s="285" customFormat="1" ht="18" customHeight="1">
      <c r="B16" s="326">
        <v>201611</v>
      </c>
      <c r="C16" s="326" t="s">
        <v>643</v>
      </c>
      <c r="D16" s="375">
        <v>9</v>
      </c>
      <c r="E16" s="326">
        <v>201611</v>
      </c>
      <c r="F16" s="415">
        <v>7256.46</v>
      </c>
      <c r="G16" s="374"/>
    </row>
    <row r="17" spans="2:7" s="285" customFormat="1" ht="18" customHeight="1">
      <c r="B17" s="326">
        <v>201612</v>
      </c>
      <c r="C17" s="326" t="s">
        <v>643</v>
      </c>
      <c r="D17" s="375">
        <v>9</v>
      </c>
      <c r="E17" s="326">
        <v>201612</v>
      </c>
      <c r="F17" s="415">
        <v>8955.5300000000007</v>
      </c>
      <c r="G17" s="374"/>
    </row>
    <row r="18" spans="2:7" s="285" customFormat="1" ht="18" customHeight="1">
      <c r="B18" s="364"/>
      <c r="C18" s="364"/>
      <c r="D18" s="364"/>
      <c r="E18" s="364"/>
      <c r="F18" s="378">
        <f>SUM(F6:F17)</f>
        <v>90490.08</v>
      </c>
      <c r="G18" s="374"/>
    </row>
    <row r="19" spans="2:7"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workbookViewId="0">
      <selection activeCell="K22" sqref="K22"/>
    </sheetView>
  </sheetViews>
  <sheetFormatPr defaultRowHeight="15"/>
  <cols>
    <col min="1" max="1" width="3.33203125" customWidth="1"/>
    <col min="2" max="2" width="13.88671875" customWidth="1"/>
    <col min="3" max="3" width="6.6640625" customWidth="1"/>
    <col min="4" max="4" width="12" customWidth="1"/>
    <col min="5" max="5" width="13.6640625" customWidth="1"/>
    <col min="6" max="6" width="13.5546875" customWidth="1"/>
  </cols>
  <sheetData>
    <row r="1" spans="2:6" ht="19.5" customHeight="1">
      <c r="B1" s="302" t="str">
        <f>EntityName</f>
        <v>Elk River, MN</v>
      </c>
    </row>
    <row r="2" spans="2:6" ht="19.5" customHeight="1">
      <c r="B2" s="305" t="s">
        <v>595</v>
      </c>
    </row>
    <row r="3" spans="2:6" ht="19.5" customHeight="1">
      <c r="B3" s="304">
        <f>FilingDate</f>
        <v>42735</v>
      </c>
    </row>
    <row r="4" spans="2:6" ht="19.5" customHeight="1"/>
    <row r="5" spans="2:6" ht="21" customHeight="1">
      <c r="B5" s="379">
        <f>F20</f>
        <v>43.662999999999997</v>
      </c>
      <c r="C5" s="380" t="s">
        <v>596</v>
      </c>
    </row>
    <row r="6" spans="2:6" ht="21" customHeight="1">
      <c r="B6" s="380"/>
    </row>
    <row r="7" spans="2:6" ht="18" customHeight="1">
      <c r="B7" s="320" t="s">
        <v>527</v>
      </c>
      <c r="C7" s="320" t="s">
        <v>526</v>
      </c>
      <c r="D7" s="320" t="s">
        <v>623</v>
      </c>
      <c r="E7" s="320" t="s">
        <v>598</v>
      </c>
      <c r="F7" s="320" t="s">
        <v>597</v>
      </c>
    </row>
    <row r="8" spans="2:6" ht="18" customHeight="1">
      <c r="B8" s="381">
        <v>42387</v>
      </c>
      <c r="C8" s="375">
        <v>19</v>
      </c>
      <c r="D8" s="382">
        <v>44.155000000000001</v>
      </c>
      <c r="E8" s="382">
        <v>0</v>
      </c>
      <c r="F8" s="382">
        <f>D8+E8</f>
        <v>44.155000000000001</v>
      </c>
    </row>
    <row r="9" spans="2:6" ht="18" customHeight="1">
      <c r="B9" s="381">
        <v>42409</v>
      </c>
      <c r="C9" s="375">
        <v>19</v>
      </c>
      <c r="D9" s="382">
        <v>42.207999999999998</v>
      </c>
      <c r="E9" s="382">
        <v>0</v>
      </c>
      <c r="F9" s="382">
        <f t="shared" ref="F9:F19" si="0">D9+E9</f>
        <v>42.207999999999998</v>
      </c>
    </row>
    <row r="10" spans="2:6" ht="18" customHeight="1">
      <c r="B10" s="381">
        <v>42430</v>
      </c>
      <c r="C10" s="375">
        <v>20</v>
      </c>
      <c r="D10" s="382">
        <v>39.030999999999999</v>
      </c>
      <c r="E10" s="382">
        <v>0</v>
      </c>
      <c r="F10" s="382">
        <f t="shared" si="0"/>
        <v>39.030999999999999</v>
      </c>
    </row>
    <row r="11" spans="2:6" ht="18" customHeight="1">
      <c r="B11" s="381">
        <v>42467</v>
      </c>
      <c r="C11" s="375">
        <v>21</v>
      </c>
      <c r="D11" s="382">
        <v>36.453000000000003</v>
      </c>
      <c r="E11" s="382">
        <v>0</v>
      </c>
      <c r="F11" s="382">
        <f t="shared" si="0"/>
        <v>36.453000000000003</v>
      </c>
    </row>
    <row r="12" spans="2:6" ht="18" customHeight="1">
      <c r="B12" s="381">
        <v>42514</v>
      </c>
      <c r="C12" s="375">
        <v>19</v>
      </c>
      <c r="D12" s="382">
        <v>44.996000000000002</v>
      </c>
      <c r="E12" s="382">
        <v>0</v>
      </c>
      <c r="F12" s="382">
        <f t="shared" si="0"/>
        <v>44.996000000000002</v>
      </c>
    </row>
    <row r="13" spans="2:6" ht="18" customHeight="1">
      <c r="B13" s="381">
        <v>42540</v>
      </c>
      <c r="C13" s="375">
        <v>18</v>
      </c>
      <c r="D13" s="382">
        <v>51.506999999999998</v>
      </c>
      <c r="E13" s="382">
        <v>0</v>
      </c>
      <c r="F13" s="382">
        <f t="shared" si="0"/>
        <v>51.506999999999998</v>
      </c>
    </row>
    <row r="14" spans="2:6" ht="18" customHeight="1">
      <c r="B14" s="381">
        <v>42573</v>
      </c>
      <c r="C14" s="375">
        <v>18</v>
      </c>
      <c r="D14" s="382">
        <v>50.128</v>
      </c>
      <c r="E14" s="382">
        <v>0</v>
      </c>
      <c r="F14" s="382">
        <f t="shared" si="0"/>
        <v>50.128</v>
      </c>
    </row>
    <row r="15" spans="2:6" ht="18" customHeight="1">
      <c r="B15" s="381">
        <v>42585</v>
      </c>
      <c r="C15" s="375">
        <v>19</v>
      </c>
      <c r="D15" s="382">
        <v>49.798000000000002</v>
      </c>
      <c r="E15" s="382">
        <v>0</v>
      </c>
      <c r="F15" s="382">
        <f t="shared" si="0"/>
        <v>49.798000000000002</v>
      </c>
    </row>
    <row r="16" spans="2:6" ht="18" customHeight="1">
      <c r="B16" s="381">
        <v>42618</v>
      </c>
      <c r="C16" s="375">
        <v>19</v>
      </c>
      <c r="D16" s="382">
        <v>43.110999999999997</v>
      </c>
      <c r="E16" s="382">
        <v>0</v>
      </c>
      <c r="F16" s="382">
        <f t="shared" si="0"/>
        <v>43.110999999999997</v>
      </c>
    </row>
    <row r="17" spans="2:6" ht="18" customHeight="1">
      <c r="B17" s="381">
        <v>42655</v>
      </c>
      <c r="C17" s="375">
        <v>20</v>
      </c>
      <c r="D17" s="382">
        <v>37.948</v>
      </c>
      <c r="E17" s="382">
        <v>0</v>
      </c>
      <c r="F17" s="382">
        <f t="shared" si="0"/>
        <v>37.948</v>
      </c>
    </row>
    <row r="18" spans="2:6" ht="18" customHeight="1">
      <c r="B18" s="381">
        <v>42695</v>
      </c>
      <c r="C18" s="375">
        <v>19</v>
      </c>
      <c r="D18" s="382">
        <v>41.011000000000003</v>
      </c>
      <c r="E18" s="382">
        <v>0</v>
      </c>
      <c r="F18" s="382">
        <f t="shared" si="0"/>
        <v>41.011000000000003</v>
      </c>
    </row>
    <row r="19" spans="2:6" ht="18" customHeight="1">
      <c r="B19" s="381">
        <v>42722</v>
      </c>
      <c r="C19" s="375">
        <v>19</v>
      </c>
      <c r="D19" s="382">
        <v>43.603999999999999</v>
      </c>
      <c r="E19" s="382">
        <v>0</v>
      </c>
      <c r="F19" s="382">
        <f t="shared" si="0"/>
        <v>43.603999999999999</v>
      </c>
    </row>
    <row r="20" spans="2:6" ht="18" customHeight="1">
      <c r="B20" s="364" t="s">
        <v>599</v>
      </c>
      <c r="C20" s="364"/>
      <c r="D20" s="364"/>
      <c r="E20" s="364"/>
      <c r="F20" s="388">
        <f>ROUND(AVERAGE(F8:F19),3)</f>
        <v>43.662999999999997</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zoomScaleNormal="100" workbookViewId="0">
      <selection activeCell="E20" sqref="E20"/>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6" ht="15.75">
      <c r="A1" s="399" t="s">
        <v>600</v>
      </c>
      <c r="B1" s="399"/>
      <c r="C1" s="399"/>
      <c r="D1" s="399"/>
      <c r="E1" s="399"/>
      <c r="F1" s="399"/>
    </row>
    <row r="2" spans="1:6" ht="15">
      <c r="A2" s="400" t="s">
        <v>408</v>
      </c>
      <c r="B2" s="400"/>
      <c r="C2" s="400"/>
      <c r="D2" s="400"/>
      <c r="E2" s="400"/>
      <c r="F2" s="400"/>
    </row>
    <row r="3" spans="1:6" ht="15">
      <c r="A3" s="400" t="s">
        <v>407</v>
      </c>
      <c r="B3" s="400"/>
      <c r="C3" s="400"/>
      <c r="D3" s="400"/>
      <c r="E3" s="400"/>
      <c r="F3" s="400"/>
    </row>
    <row r="4" spans="1:6" ht="15.75">
      <c r="A4" s="401">
        <v>42735</v>
      </c>
      <c r="B4" s="401"/>
      <c r="C4" s="401"/>
      <c r="D4" s="401"/>
      <c r="E4" s="401"/>
      <c r="F4" s="401"/>
    </row>
    <row r="6" spans="1:6" ht="15">
      <c r="A6" s="402" t="s">
        <v>406</v>
      </c>
      <c r="B6" s="402"/>
      <c r="C6" s="402"/>
      <c r="D6" s="402"/>
      <c r="E6" s="402"/>
      <c r="F6" s="402"/>
    </row>
    <row r="7" spans="1:6">
      <c r="A7" s="208" t="s">
        <v>4</v>
      </c>
      <c r="B7" s="209"/>
      <c r="C7" s="190" t="s">
        <v>405</v>
      </c>
      <c r="D7" s="190" t="s">
        <v>4</v>
      </c>
      <c r="E7" s="209"/>
      <c r="F7" s="190" t="s">
        <v>405</v>
      </c>
    </row>
    <row r="8" spans="1:6">
      <c r="A8" s="169" t="s">
        <v>6</v>
      </c>
      <c r="B8" s="164" t="s">
        <v>404</v>
      </c>
      <c r="C8" s="164" t="s">
        <v>401</v>
      </c>
      <c r="D8" s="164" t="s">
        <v>403</v>
      </c>
      <c r="E8" s="164" t="s">
        <v>402</v>
      </c>
      <c r="F8" s="164" t="s">
        <v>401</v>
      </c>
    </row>
    <row r="9" spans="1:6" ht="15">
      <c r="A9" s="159"/>
      <c r="B9" s="207" t="s">
        <v>400</v>
      </c>
      <c r="C9" s="206"/>
      <c r="D9" s="208"/>
      <c r="E9" s="207" t="s">
        <v>399</v>
      </c>
      <c r="F9" s="206"/>
    </row>
    <row r="10" spans="1:6" ht="15">
      <c r="A10" s="159">
        <v>1</v>
      </c>
      <c r="B10" s="158" t="s">
        <v>398</v>
      </c>
      <c r="C10" s="187"/>
      <c r="D10" s="159"/>
      <c r="E10" s="158"/>
      <c r="F10" s="187"/>
    </row>
    <row r="11" spans="1:6">
      <c r="A11" s="169"/>
      <c r="B11" s="170" t="s">
        <v>397</v>
      </c>
      <c r="C11" s="205">
        <f>ROUND('412Plant'!G25,0)</f>
        <v>61559268</v>
      </c>
      <c r="D11" s="169">
        <v>29</v>
      </c>
      <c r="E11" s="174" t="s">
        <v>396</v>
      </c>
      <c r="F11" s="205">
        <v>0</v>
      </c>
    </row>
    <row r="12" spans="1:6" ht="15">
      <c r="A12" s="166">
        <v>2</v>
      </c>
      <c r="B12" s="182" t="s">
        <v>395</v>
      </c>
      <c r="C12" s="204">
        <f>'412Plant'!G27</f>
        <v>36785</v>
      </c>
      <c r="D12" s="166">
        <v>30</v>
      </c>
      <c r="E12" s="184" t="s">
        <v>394</v>
      </c>
      <c r="F12" s="203">
        <v>34524100</v>
      </c>
    </row>
    <row r="13" spans="1:6" ht="15">
      <c r="A13" s="159">
        <v>3</v>
      </c>
      <c r="B13" s="158" t="s">
        <v>354</v>
      </c>
      <c r="C13" s="187"/>
      <c r="D13" s="159"/>
      <c r="E13" s="158"/>
      <c r="F13" s="187"/>
    </row>
    <row r="14" spans="1:6" ht="15">
      <c r="A14" s="159"/>
      <c r="B14" s="171" t="s">
        <v>393</v>
      </c>
      <c r="C14" s="187"/>
      <c r="D14" s="159">
        <v>31</v>
      </c>
      <c r="E14" s="158" t="s">
        <v>392</v>
      </c>
      <c r="F14" s="187"/>
    </row>
    <row r="15" spans="1:6" ht="13.5" thickBot="1">
      <c r="A15" s="169"/>
      <c r="B15" s="170" t="s">
        <v>391</v>
      </c>
      <c r="C15" s="195">
        <f>ROUND(S1_Plant!L11,0)</f>
        <v>23639805</v>
      </c>
      <c r="D15" s="169"/>
      <c r="E15" s="170" t="s">
        <v>390</v>
      </c>
      <c r="F15" s="195">
        <v>0</v>
      </c>
    </row>
    <row r="16" spans="1:6" ht="13.5" thickBot="1">
      <c r="A16" s="166">
        <v>4</v>
      </c>
      <c r="B16" s="202" t="s">
        <v>389</v>
      </c>
      <c r="C16" s="188">
        <f>+C11+C12-C15</f>
        <v>37956248</v>
      </c>
      <c r="D16" s="201">
        <v>32</v>
      </c>
      <c r="E16" s="200" t="s">
        <v>388</v>
      </c>
      <c r="F16" s="188">
        <f>+F15+F11+F12</f>
        <v>34524100</v>
      </c>
    </row>
    <row r="17" spans="1:7" ht="15">
      <c r="A17" s="199">
        <v>5</v>
      </c>
      <c r="B17" s="176" t="s">
        <v>387</v>
      </c>
      <c r="C17" s="198">
        <v>0</v>
      </c>
      <c r="D17" s="159"/>
      <c r="E17" s="197" t="s">
        <v>386</v>
      </c>
      <c r="F17" s="187"/>
    </row>
    <row r="18" spans="1:7" ht="15">
      <c r="A18" s="172">
        <v>6</v>
      </c>
      <c r="B18" s="196" t="s">
        <v>354</v>
      </c>
      <c r="C18" s="187"/>
      <c r="D18" s="190"/>
      <c r="E18" s="158"/>
      <c r="F18" s="187"/>
    </row>
    <row r="19" spans="1:7" ht="15">
      <c r="A19" s="159"/>
      <c r="B19" s="171" t="s">
        <v>385</v>
      </c>
      <c r="C19" s="187"/>
      <c r="D19" s="159"/>
      <c r="E19" s="158"/>
      <c r="F19" s="187"/>
    </row>
    <row r="20" spans="1:7">
      <c r="A20" s="159"/>
      <c r="B20" s="171" t="s">
        <v>384</v>
      </c>
      <c r="C20" s="195">
        <v>0</v>
      </c>
      <c r="D20" s="169">
        <v>33</v>
      </c>
      <c r="E20" s="174" t="s">
        <v>383</v>
      </c>
      <c r="F20" s="194">
        <v>0</v>
      </c>
    </row>
    <row r="21" spans="1:7" ht="15.75" thickBot="1">
      <c r="A21" s="193">
        <v>7</v>
      </c>
      <c r="B21" s="192" t="s">
        <v>382</v>
      </c>
      <c r="C21" s="191"/>
      <c r="D21" s="190">
        <v>34</v>
      </c>
      <c r="E21" s="176" t="s">
        <v>381</v>
      </c>
      <c r="F21" s="187"/>
    </row>
    <row r="22" spans="1:7" ht="15.75" thickBot="1">
      <c r="A22" s="169"/>
      <c r="B22" s="189" t="s">
        <v>380</v>
      </c>
      <c r="C22" s="188">
        <f>+C16+C17-C20</f>
        <v>37956248</v>
      </c>
      <c r="D22" s="164"/>
      <c r="E22" s="170" t="s">
        <v>379</v>
      </c>
      <c r="F22" s="295">
        <f>706000+12380218</f>
        <v>13086218</v>
      </c>
      <c r="G22" s="288"/>
    </row>
    <row r="23" spans="1:7" ht="15">
      <c r="A23" s="159"/>
      <c r="B23" s="177" t="s">
        <v>378</v>
      </c>
      <c r="C23" s="187"/>
      <c r="D23" s="159">
        <v>35</v>
      </c>
      <c r="E23" s="176" t="s">
        <v>377</v>
      </c>
      <c r="F23" s="187"/>
    </row>
    <row r="24" spans="1:7">
      <c r="A24" s="169">
        <v>8</v>
      </c>
      <c r="B24" s="174" t="s">
        <v>376</v>
      </c>
      <c r="C24" s="173">
        <v>0</v>
      </c>
      <c r="D24" s="169"/>
      <c r="E24" s="186"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5" t="s">
        <v>369</v>
      </c>
      <c r="F28" s="162">
        <f>+F20+F22+F24-F26</f>
        <v>13086218</v>
      </c>
    </row>
    <row r="29" spans="1:7" ht="15.75" thickBot="1">
      <c r="A29" s="166">
        <v>11</v>
      </c>
      <c r="B29" s="182" t="s">
        <v>368</v>
      </c>
      <c r="C29" s="181">
        <v>0</v>
      </c>
      <c r="D29" s="169"/>
      <c r="E29" s="174"/>
      <c r="F29" s="178"/>
    </row>
    <row r="30" spans="1:7" ht="15.75" thickBot="1">
      <c r="A30" s="166">
        <v>12</v>
      </c>
      <c r="B30" s="165" t="s">
        <v>367</v>
      </c>
      <c r="C30" s="162">
        <f>+C24+C26+C28+C29</f>
        <v>0</v>
      </c>
      <c r="D30" s="164"/>
      <c r="E30" s="179" t="s">
        <v>366</v>
      </c>
      <c r="F30" s="178"/>
    </row>
    <row r="31" spans="1:7" ht="15">
      <c r="A31" s="159"/>
      <c r="B31" s="177" t="s">
        <v>365</v>
      </c>
      <c r="C31" s="157"/>
      <c r="D31" s="166">
        <v>38</v>
      </c>
      <c r="E31" s="184" t="s">
        <v>364</v>
      </c>
      <c r="F31" s="183">
        <v>0</v>
      </c>
    </row>
    <row r="32" spans="1:7" ht="15.75" thickBot="1">
      <c r="A32" s="159">
        <v>13</v>
      </c>
      <c r="B32" s="158" t="s">
        <v>363</v>
      </c>
      <c r="C32" s="157"/>
      <c r="D32" s="166">
        <v>39</v>
      </c>
      <c r="E32" s="184" t="s">
        <v>362</v>
      </c>
      <c r="F32" s="181">
        <v>0</v>
      </c>
    </row>
    <row r="33" spans="1:6" ht="13.5" thickBot="1">
      <c r="A33" s="169"/>
      <c r="B33" s="170" t="s">
        <v>361</v>
      </c>
      <c r="C33" s="173">
        <f>13683031+997660</f>
        <v>14680691</v>
      </c>
      <c r="D33" s="169">
        <v>40</v>
      </c>
      <c r="E33" s="163" t="s">
        <v>360</v>
      </c>
      <c r="F33" s="162">
        <f>SUM(F31:F32)</f>
        <v>0</v>
      </c>
    </row>
    <row r="34" spans="1:6" ht="15">
      <c r="A34" s="159">
        <v>14</v>
      </c>
      <c r="B34" s="158" t="s">
        <v>359</v>
      </c>
      <c r="C34" s="157"/>
      <c r="D34" s="159"/>
      <c r="E34" s="158"/>
      <c r="F34" s="157"/>
    </row>
    <row r="35" spans="1:6" ht="15">
      <c r="A35" s="169"/>
      <c r="B35" s="170" t="s">
        <v>358</v>
      </c>
      <c r="C35" s="173">
        <f>4550+1624+57025+10416</f>
        <v>73615</v>
      </c>
      <c r="D35" s="169"/>
      <c r="E35" s="179" t="s">
        <v>357</v>
      </c>
      <c r="F35" s="178"/>
    </row>
    <row r="36" spans="1:6">
      <c r="A36" s="166">
        <v>15</v>
      </c>
      <c r="B36" s="182" t="s">
        <v>356</v>
      </c>
      <c r="C36" s="183">
        <v>2674555</v>
      </c>
      <c r="D36" s="169">
        <v>41</v>
      </c>
      <c r="E36" s="174" t="s">
        <v>355</v>
      </c>
      <c r="F36" s="173">
        <f>195216+1018860</f>
        <v>1214076</v>
      </c>
    </row>
    <row r="37" spans="1:6" ht="15">
      <c r="A37" s="159">
        <v>16</v>
      </c>
      <c r="B37" s="158" t="s">
        <v>354</v>
      </c>
      <c r="C37" s="157"/>
      <c r="D37" s="159"/>
      <c r="E37" s="158"/>
      <c r="F37" s="157"/>
    </row>
    <row r="38" spans="1:6">
      <c r="A38" s="169"/>
      <c r="B38" s="170" t="s">
        <v>353</v>
      </c>
      <c r="C38" s="173">
        <v>0</v>
      </c>
      <c r="D38" s="169">
        <v>42</v>
      </c>
      <c r="E38" s="174" t="s">
        <v>352</v>
      </c>
      <c r="F38" s="173">
        <v>2682415</v>
      </c>
    </row>
    <row r="39" spans="1:6" ht="15">
      <c r="A39" s="159">
        <v>17</v>
      </c>
      <c r="B39" s="158" t="s">
        <v>351</v>
      </c>
      <c r="C39" s="157" t="s">
        <v>2</v>
      </c>
      <c r="D39" s="159">
        <v>43</v>
      </c>
      <c r="E39" s="176" t="s">
        <v>350</v>
      </c>
      <c r="F39" s="157"/>
    </row>
    <row r="40" spans="1:6">
      <c r="A40" s="169"/>
      <c r="B40" s="170" t="s">
        <v>349</v>
      </c>
      <c r="C40" s="173">
        <v>0</v>
      </c>
      <c r="D40" s="169"/>
      <c r="E40" s="170" t="s">
        <v>348</v>
      </c>
      <c r="F40" s="173">
        <v>0</v>
      </c>
    </row>
    <row r="41" spans="1:6">
      <c r="A41" s="166">
        <v>18</v>
      </c>
      <c r="B41" s="182" t="s">
        <v>347</v>
      </c>
      <c r="C41" s="183">
        <v>793380</v>
      </c>
      <c r="D41" s="169">
        <v>44</v>
      </c>
      <c r="E41" s="174" t="s">
        <v>346</v>
      </c>
      <c r="F41" s="173">
        <v>724770</v>
      </c>
    </row>
    <row r="42" spans="1:6">
      <c r="A42" s="166">
        <v>19</v>
      </c>
      <c r="B42" s="182" t="s">
        <v>345</v>
      </c>
      <c r="C42" s="183">
        <v>0</v>
      </c>
      <c r="D42" s="169">
        <v>45</v>
      </c>
      <c r="E42" s="174" t="s">
        <v>344</v>
      </c>
      <c r="F42" s="173">
        <v>0</v>
      </c>
    </row>
    <row r="43" spans="1:6">
      <c r="A43" s="166">
        <v>20</v>
      </c>
      <c r="B43" s="182" t="s">
        <v>343</v>
      </c>
      <c r="C43" s="183">
        <v>197439</v>
      </c>
      <c r="D43" s="169">
        <v>46</v>
      </c>
      <c r="E43" s="174" t="s">
        <v>342</v>
      </c>
      <c r="F43" s="173">
        <v>155971</v>
      </c>
    </row>
    <row r="44" spans="1:6" ht="13.5" thickBot="1">
      <c r="A44" s="180">
        <v>21</v>
      </c>
      <c r="B44" s="182" t="s">
        <v>341</v>
      </c>
      <c r="C44" s="183">
        <v>0</v>
      </c>
      <c r="D44" s="169">
        <v>47</v>
      </c>
      <c r="E44" s="174" t="s">
        <v>340</v>
      </c>
      <c r="F44" s="167">
        <f>100644+755539+113078+875+156874+70545+152133</f>
        <v>1349688</v>
      </c>
    </row>
    <row r="45" spans="1:6" ht="13.5" thickBot="1">
      <c r="A45" s="180">
        <v>22</v>
      </c>
      <c r="B45" s="182" t="s">
        <v>339</v>
      </c>
      <c r="C45" s="181">
        <v>0</v>
      </c>
      <c r="D45" s="169">
        <v>48</v>
      </c>
      <c r="E45" s="163" t="s">
        <v>338</v>
      </c>
      <c r="F45" s="162">
        <f>+F44+F43+F42+F41+F40+F38+F36</f>
        <v>6126920</v>
      </c>
    </row>
    <row r="46" spans="1:6" ht="15.75" thickBot="1">
      <c r="A46" s="180">
        <v>23</v>
      </c>
      <c r="B46" s="165" t="s">
        <v>337</v>
      </c>
      <c r="C46" s="162">
        <f>+C33+C35+C36-C38+C40+C42+C43+C44+C45+C41</f>
        <v>18419680</v>
      </c>
      <c r="D46" s="164"/>
      <c r="E46" s="179" t="s">
        <v>336</v>
      </c>
      <c r="F46" s="178"/>
    </row>
    <row r="47" spans="1:6" ht="15">
      <c r="A47" s="158"/>
      <c r="B47" s="177" t="s">
        <v>335</v>
      </c>
      <c r="C47" s="157"/>
      <c r="D47" s="172">
        <v>49</v>
      </c>
      <c r="E47" s="176" t="s">
        <v>334</v>
      </c>
      <c r="F47" s="157"/>
    </row>
    <row r="48" spans="1:6">
      <c r="A48" s="175">
        <v>24</v>
      </c>
      <c r="B48" s="174" t="s">
        <v>333</v>
      </c>
      <c r="C48" s="173">
        <v>0</v>
      </c>
      <c r="D48" s="169"/>
      <c r="E48" s="168" t="s">
        <v>332</v>
      </c>
      <c r="F48" s="173">
        <v>0</v>
      </c>
    </row>
    <row r="49" spans="1:7" ht="15">
      <c r="A49" s="172">
        <v>25</v>
      </c>
      <c r="B49" s="158" t="s">
        <v>331</v>
      </c>
      <c r="C49" s="157"/>
      <c r="D49" s="172">
        <v>50</v>
      </c>
      <c r="E49" s="158" t="s">
        <v>330</v>
      </c>
      <c r="F49" s="157"/>
    </row>
    <row r="50" spans="1:7">
      <c r="A50" s="174"/>
      <c r="B50" s="170" t="s">
        <v>329</v>
      </c>
      <c r="C50" s="173">
        <v>0</v>
      </c>
      <c r="D50" s="169"/>
      <c r="E50" s="170" t="s">
        <v>328</v>
      </c>
      <c r="F50" s="173">
        <f>3749423+415506</f>
        <v>4164929</v>
      </c>
    </row>
    <row r="51" spans="1:7" ht="15">
      <c r="A51" s="172">
        <v>26</v>
      </c>
      <c r="B51" s="158" t="s">
        <v>327</v>
      </c>
      <c r="C51" s="157"/>
      <c r="D51" s="159"/>
      <c r="E51" s="158"/>
      <c r="F51" s="157"/>
    </row>
    <row r="52" spans="1:7" ht="15">
      <c r="A52" s="159"/>
      <c r="B52" s="171" t="s">
        <v>326</v>
      </c>
      <c r="C52" s="157">
        <v>0</v>
      </c>
      <c r="D52" s="159">
        <v>51</v>
      </c>
      <c r="E52" s="158" t="s">
        <v>325</v>
      </c>
      <c r="F52" s="157"/>
    </row>
    <row r="53" spans="1:7" ht="15.75" thickBot="1">
      <c r="A53" s="169"/>
      <c r="B53" s="170" t="s">
        <v>324</v>
      </c>
      <c r="C53" s="157">
        <f>41216+1485023</f>
        <v>1526239</v>
      </c>
      <c r="D53" s="169"/>
      <c r="E53" s="168" t="s">
        <v>323</v>
      </c>
      <c r="F53" s="167">
        <v>0</v>
      </c>
    </row>
    <row r="54" spans="1:7" ht="13.5" thickBot="1">
      <c r="A54" s="166">
        <v>27</v>
      </c>
      <c r="B54" s="165" t="s">
        <v>322</v>
      </c>
      <c r="C54" s="162">
        <f>C48+C50+C53</f>
        <v>1526239</v>
      </c>
      <c r="D54" s="164">
        <v>52</v>
      </c>
      <c r="E54" s="163" t="s">
        <v>321</v>
      </c>
      <c r="F54" s="162">
        <f>+F53+F50+F48</f>
        <v>4164929</v>
      </c>
    </row>
    <row r="55" spans="1:7" ht="15.75" thickBot="1">
      <c r="A55" s="159"/>
      <c r="B55" s="161"/>
      <c r="C55" s="160"/>
      <c r="D55" s="159"/>
      <c r="E55" s="158"/>
      <c r="F55" s="157"/>
    </row>
    <row r="56" spans="1:7" ht="13.5" thickBot="1">
      <c r="A56" s="156">
        <v>28</v>
      </c>
      <c r="B56" s="154" t="s">
        <v>320</v>
      </c>
      <c r="C56" s="153">
        <f>+C54+C46+C21+C22+C30</f>
        <v>57902167</v>
      </c>
      <c r="D56" s="155">
        <v>53</v>
      </c>
      <c r="E56" s="154" t="s">
        <v>319</v>
      </c>
      <c r="F56" s="153">
        <f>+F54+F45+F28+F16+F33</f>
        <v>57902167</v>
      </c>
      <c r="G56" s="383" t="s">
        <v>605</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60"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Normal="100" workbookViewId="0">
      <selection activeCell="A37" sqref="A37"/>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399" t="str">
        <f>+'412BS'!A1:F1</f>
        <v>Elk River, MN</v>
      </c>
      <c r="B1" s="399"/>
      <c r="C1" s="399"/>
      <c r="D1" s="232"/>
      <c r="E1" s="232"/>
      <c r="F1" s="232"/>
    </row>
    <row r="2" spans="1:6" ht="15">
      <c r="A2" s="400" t="s">
        <v>408</v>
      </c>
      <c r="B2" s="400"/>
      <c r="C2" s="400"/>
      <c r="D2" s="232"/>
      <c r="E2" s="232"/>
      <c r="F2" s="232"/>
    </row>
    <row r="3" spans="1:6" ht="15">
      <c r="A3" s="400" t="s">
        <v>433</v>
      </c>
      <c r="B3" s="400"/>
      <c r="C3" s="400"/>
      <c r="D3" s="232"/>
      <c r="E3" s="232"/>
      <c r="F3" s="232"/>
    </row>
    <row r="4" spans="1:6" ht="15.75">
      <c r="A4" s="401">
        <f>+'412BS'!A4:F4</f>
        <v>42735</v>
      </c>
      <c r="B4" s="401"/>
      <c r="C4" s="401"/>
      <c r="D4" s="231"/>
      <c r="E4" s="231"/>
      <c r="F4" s="231"/>
    </row>
    <row r="5" spans="1:6">
      <c r="A5" s="230"/>
      <c r="B5" s="230"/>
      <c r="C5" s="230"/>
      <c r="D5" s="230"/>
      <c r="E5" s="230"/>
      <c r="F5" s="230"/>
    </row>
    <row r="6" spans="1:6" ht="15">
      <c r="A6" s="402" t="s">
        <v>432</v>
      </c>
      <c r="B6" s="402"/>
      <c r="C6" s="402"/>
      <c r="D6" s="229"/>
      <c r="E6" s="229"/>
      <c r="F6" s="229"/>
    </row>
    <row r="7" spans="1:6">
      <c r="A7" s="228" t="s">
        <v>4</v>
      </c>
      <c r="B7" s="227"/>
      <c r="C7" s="226" t="s">
        <v>7</v>
      </c>
    </row>
    <row r="8" spans="1:6">
      <c r="A8" s="174" t="s">
        <v>6</v>
      </c>
      <c r="B8" s="216"/>
      <c r="C8" s="164" t="s">
        <v>401</v>
      </c>
    </row>
    <row r="9" spans="1:6">
      <c r="A9" s="169">
        <v>1</v>
      </c>
      <c r="B9" s="216" t="s">
        <v>431</v>
      </c>
      <c r="C9" s="225">
        <v>33481349</v>
      </c>
    </row>
    <row r="10" spans="1:6">
      <c r="A10" s="169">
        <v>2</v>
      </c>
      <c r="B10" s="216" t="s">
        <v>430</v>
      </c>
      <c r="C10" s="222">
        <f>'412OM'!D31+'412OM'!C19</f>
        <v>29894427.850000001</v>
      </c>
    </row>
    <row r="11" spans="1:6">
      <c r="A11" s="169">
        <v>3</v>
      </c>
      <c r="B11" s="216" t="s">
        <v>429</v>
      </c>
      <c r="C11" s="222">
        <f>'412OM'!E31</f>
        <v>731686.15</v>
      </c>
    </row>
    <row r="12" spans="1:6">
      <c r="A12" s="166">
        <v>4</v>
      </c>
      <c r="B12" s="224" t="s">
        <v>428</v>
      </c>
      <c r="C12" s="223">
        <f>S1_Plant!I11</f>
        <v>2005093</v>
      </c>
    </row>
    <row r="13" spans="1:6">
      <c r="A13" s="169">
        <v>5</v>
      </c>
      <c r="B13" s="216" t="s">
        <v>427</v>
      </c>
      <c r="C13" s="222">
        <v>0</v>
      </c>
    </row>
    <row r="14" spans="1:6" ht="13.5" thickBot="1">
      <c r="A14" s="159">
        <v>6</v>
      </c>
      <c r="B14" s="209" t="s">
        <v>426</v>
      </c>
      <c r="C14" s="221">
        <f>PILOT+PayrollTaxes</f>
        <v>1089287</v>
      </c>
    </row>
    <row r="15" spans="1:6" ht="13.5" thickBot="1">
      <c r="A15" s="213">
        <v>7</v>
      </c>
      <c r="B15" s="218" t="s">
        <v>425</v>
      </c>
      <c r="C15" s="217">
        <f>SUM(C10:C14)</f>
        <v>33720494</v>
      </c>
    </row>
    <row r="16" spans="1:6" ht="13.5" thickBot="1">
      <c r="A16" s="213">
        <v>8</v>
      </c>
      <c r="B16" s="212" t="s">
        <v>424</v>
      </c>
      <c r="C16" s="217">
        <f>+C9-C15</f>
        <v>-239145</v>
      </c>
    </row>
    <row r="17" spans="1:5" ht="13.5" thickBot="1">
      <c r="A17" s="159">
        <v>9</v>
      </c>
      <c r="B17" s="209" t="s">
        <v>423</v>
      </c>
      <c r="C17" s="214">
        <v>0</v>
      </c>
    </row>
    <row r="18" spans="1:5" ht="13.5" thickBot="1">
      <c r="A18" s="220">
        <v>10</v>
      </c>
      <c r="B18" s="219" t="s">
        <v>422</v>
      </c>
      <c r="C18" s="217">
        <f>+C17+C16</f>
        <v>-239145</v>
      </c>
    </row>
    <row r="19" spans="1:5">
      <c r="A19" s="169">
        <v>11</v>
      </c>
      <c r="B19" s="216" t="s">
        <v>421</v>
      </c>
      <c r="C19" s="215">
        <f>177572+1087749+269197+253137+90804+281702</f>
        <v>2160161</v>
      </c>
    </row>
    <row r="20" spans="1:5">
      <c r="A20" s="169">
        <v>12</v>
      </c>
      <c r="B20" s="216" t="s">
        <v>420</v>
      </c>
      <c r="C20" s="215">
        <v>0</v>
      </c>
    </row>
    <row r="21" spans="1:5">
      <c r="A21" s="169">
        <v>13</v>
      </c>
      <c r="B21" s="216" t="s">
        <v>419</v>
      </c>
      <c r="C21" s="215"/>
    </row>
    <row r="22" spans="1:5" ht="13.5" thickBot="1">
      <c r="A22" s="159">
        <v>14</v>
      </c>
      <c r="B22" s="209" t="s">
        <v>418</v>
      </c>
      <c r="C22" s="214"/>
    </row>
    <row r="23" spans="1:5" ht="13.5" thickBot="1">
      <c r="A23" s="213">
        <v>15</v>
      </c>
      <c r="B23" s="218" t="s">
        <v>417</v>
      </c>
      <c r="C23" s="217">
        <f>+C18+C19-C20-C21-C22</f>
        <v>1921016</v>
      </c>
    </row>
    <row r="24" spans="1:5">
      <c r="A24" s="169">
        <v>16</v>
      </c>
      <c r="B24" s="216" t="s">
        <v>416</v>
      </c>
      <c r="C24" s="215">
        <v>198194</v>
      </c>
    </row>
    <row r="25" spans="1:5">
      <c r="A25" s="169">
        <v>17</v>
      </c>
      <c r="B25" s="216" t="s">
        <v>415</v>
      </c>
      <c r="C25" s="215">
        <f>80126+85195</f>
        <v>165321</v>
      </c>
    </row>
    <row r="26" spans="1:5" ht="13.5" thickBot="1">
      <c r="A26" s="159">
        <v>18</v>
      </c>
      <c r="B26" s="209" t="s">
        <v>414</v>
      </c>
      <c r="C26" s="214">
        <v>0</v>
      </c>
    </row>
    <row r="27" spans="1:5" ht="13.5" thickBot="1">
      <c r="A27" s="213">
        <v>19</v>
      </c>
      <c r="B27" s="218" t="s">
        <v>413</v>
      </c>
      <c r="C27" s="217">
        <f>SUM(C24:C26)</f>
        <v>363515</v>
      </c>
    </row>
    <row r="28" spans="1:5" ht="13.5" thickBot="1">
      <c r="A28" s="213">
        <v>20</v>
      </c>
      <c r="B28" s="218" t="s">
        <v>412</v>
      </c>
      <c r="C28" s="217">
        <f>+C23-C27</f>
        <v>1557501</v>
      </c>
    </row>
    <row r="29" spans="1:5">
      <c r="A29" s="169">
        <v>21</v>
      </c>
      <c r="B29" s="216" t="s">
        <v>411</v>
      </c>
      <c r="C29" s="215">
        <v>330923</v>
      </c>
    </row>
    <row r="30" spans="1:5" ht="13.5" thickBot="1">
      <c r="A30" s="159">
        <v>22</v>
      </c>
      <c r="B30" s="209" t="s">
        <v>410</v>
      </c>
      <c r="C30" s="214">
        <v>0</v>
      </c>
    </row>
    <row r="31" spans="1:5" ht="13.5" thickBot="1">
      <c r="A31" s="213">
        <v>23</v>
      </c>
      <c r="B31" s="212" t="s">
        <v>409</v>
      </c>
      <c r="C31" s="211">
        <f>SUM(C28:C30)</f>
        <v>1888424</v>
      </c>
      <c r="D31" s="383" t="s">
        <v>640</v>
      </c>
      <c r="E31" s="294"/>
    </row>
    <row r="32" spans="1:5">
      <c r="A32" s="149"/>
      <c r="B32" s="149"/>
      <c r="C32" s="150"/>
    </row>
    <row r="33" spans="1:4">
      <c r="A33" s="391" t="s">
        <v>493</v>
      </c>
      <c r="B33" s="149"/>
      <c r="C33" s="150"/>
      <c r="D33" s="149"/>
    </row>
    <row r="34" spans="1:4" ht="15">
      <c r="A34" s="390" t="s">
        <v>630</v>
      </c>
      <c r="B34" s="289"/>
      <c r="C34" s="150"/>
      <c r="D34" s="149"/>
    </row>
    <row r="35" spans="1:4" ht="15">
      <c r="A35" s="390" t="s">
        <v>629</v>
      </c>
      <c r="B35" s="289"/>
      <c r="C35" s="150"/>
      <c r="D35" s="149"/>
    </row>
    <row r="36" spans="1:4">
      <c r="A36" s="149"/>
      <c r="B36" s="149"/>
      <c r="C36" s="150"/>
      <c r="D36" s="149"/>
    </row>
    <row r="37" spans="1:4">
      <c r="A37" s="149" t="s">
        <v>632</v>
      </c>
      <c r="B37" s="149"/>
      <c r="C37" s="150"/>
      <c r="D37" s="149"/>
    </row>
    <row r="38" spans="1:4">
      <c r="A38" s="149"/>
      <c r="B38" s="149"/>
      <c r="C38" s="150"/>
      <c r="D38" s="149"/>
    </row>
    <row r="39" spans="1:4">
      <c r="A39" s="149" t="s">
        <v>639</v>
      </c>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10"/>
    </row>
    <row r="49" spans="3:3">
      <c r="C49" s="210"/>
    </row>
    <row r="50" spans="3:3">
      <c r="C50" s="210"/>
    </row>
    <row r="51" spans="3:3">
      <c r="C51" s="210"/>
    </row>
    <row r="52" spans="3:3">
      <c r="C52" s="210"/>
    </row>
    <row r="53" spans="3:3">
      <c r="C53" s="210"/>
    </row>
  </sheetData>
  <mergeCells count="5">
    <mergeCell ref="A1:C1"/>
    <mergeCell ref="A2:C2"/>
    <mergeCell ref="A4:C4"/>
    <mergeCell ref="A6:C6"/>
    <mergeCell ref="A3:C3"/>
  </mergeCells>
  <pageMargins left="0.75" right="0.75" top="1" bottom="1" header="0.5" footer="0.5"/>
  <pageSetup scale="65"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zoomScaleNormal="100" workbookViewId="0">
      <selection activeCell="C14" sqref="C14"/>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399" t="str">
        <f>+'412BS'!A1:F1</f>
        <v>Elk River, MN</v>
      </c>
      <c r="B1" s="399"/>
      <c r="C1" s="399"/>
      <c r="D1" s="399"/>
      <c r="E1" s="399"/>
      <c r="F1" s="399"/>
      <c r="G1" s="399"/>
    </row>
    <row r="2" spans="1:7" ht="15">
      <c r="A2" s="400" t="s">
        <v>408</v>
      </c>
      <c r="B2" s="400"/>
      <c r="C2" s="400"/>
      <c r="D2" s="400"/>
      <c r="E2" s="400"/>
      <c r="F2" s="400"/>
      <c r="G2" s="400"/>
    </row>
    <row r="3" spans="1:7" ht="15">
      <c r="A3" s="400" t="s">
        <v>456</v>
      </c>
      <c r="B3" s="400"/>
      <c r="C3" s="400"/>
      <c r="D3" s="400"/>
      <c r="E3" s="400"/>
      <c r="F3" s="400"/>
      <c r="G3" s="400"/>
    </row>
    <row r="4" spans="1:7" ht="15.75">
      <c r="A4" s="401">
        <f>+'412BS'!A4:F4</f>
        <v>42735</v>
      </c>
      <c r="B4" s="401"/>
      <c r="C4" s="401"/>
      <c r="D4" s="401"/>
      <c r="E4" s="401"/>
      <c r="F4" s="401"/>
      <c r="G4" s="401"/>
    </row>
    <row r="5" spans="1:7">
      <c r="A5" s="230"/>
      <c r="B5" s="230"/>
      <c r="C5" s="230"/>
    </row>
    <row r="6" spans="1:7" ht="15">
      <c r="A6" s="402" t="s">
        <v>400</v>
      </c>
      <c r="B6" s="402"/>
      <c r="C6" s="402"/>
      <c r="D6" s="402"/>
      <c r="E6" s="402"/>
      <c r="F6" s="402"/>
      <c r="G6" s="402"/>
    </row>
    <row r="7" spans="1:7">
      <c r="A7" s="208" t="s">
        <v>4</v>
      </c>
      <c r="B7" s="226"/>
      <c r="C7" s="226" t="s">
        <v>455</v>
      </c>
      <c r="D7" s="226"/>
      <c r="E7" s="226"/>
      <c r="F7" s="226"/>
      <c r="G7" s="226" t="s">
        <v>454</v>
      </c>
    </row>
    <row r="8" spans="1:7">
      <c r="A8" s="169" t="s">
        <v>6</v>
      </c>
      <c r="B8" s="164"/>
      <c r="C8" s="164" t="s">
        <v>450</v>
      </c>
      <c r="D8" s="164" t="s">
        <v>453</v>
      </c>
      <c r="E8" s="164" t="s">
        <v>452</v>
      </c>
      <c r="F8" s="164" t="s">
        <v>451</v>
      </c>
      <c r="G8" s="164" t="s">
        <v>450</v>
      </c>
    </row>
    <row r="9" spans="1:7" ht="20.100000000000001" customHeight="1">
      <c r="A9" s="166">
        <v>1</v>
      </c>
      <c r="B9" s="182" t="s">
        <v>449</v>
      </c>
      <c r="C9" s="244">
        <v>0</v>
      </c>
      <c r="D9" s="244">
        <v>0</v>
      </c>
      <c r="E9" s="244">
        <v>0</v>
      </c>
      <c r="F9" s="244">
        <v>0</v>
      </c>
      <c r="G9" s="242">
        <f>+C9+D9+E9-F9</f>
        <v>0</v>
      </c>
    </row>
    <row r="10" spans="1:7" ht="12.75" customHeight="1">
      <c r="A10" s="166"/>
      <c r="B10" s="182"/>
      <c r="C10" s="243"/>
      <c r="D10" s="243"/>
      <c r="E10" s="243"/>
      <c r="F10" s="243"/>
      <c r="G10" s="242"/>
    </row>
    <row r="11" spans="1:7" ht="20.100000000000001" customHeight="1">
      <c r="A11" s="166">
        <v>2</v>
      </c>
      <c r="B11" s="182" t="s">
        <v>448</v>
      </c>
      <c r="C11" s="240">
        <v>0</v>
      </c>
      <c r="D11" s="240">
        <v>0</v>
      </c>
      <c r="E11" s="240">
        <v>0</v>
      </c>
      <c r="F11" s="240"/>
      <c r="G11" s="239">
        <f>+C11+D11-E11-F11</f>
        <v>0</v>
      </c>
    </row>
    <row r="12" spans="1:7" ht="20.100000000000001" customHeight="1">
      <c r="A12" s="166">
        <v>3</v>
      </c>
      <c r="B12" s="182" t="s">
        <v>447</v>
      </c>
      <c r="C12" s="240">
        <v>0</v>
      </c>
      <c r="D12" s="240">
        <v>0</v>
      </c>
      <c r="E12" s="240">
        <v>0</v>
      </c>
      <c r="F12" s="240">
        <v>0</v>
      </c>
      <c r="G12" s="239">
        <f>+C12+D12-E12-F12</f>
        <v>0</v>
      </c>
    </row>
    <row r="13" spans="1:7" ht="20.100000000000001" customHeight="1">
      <c r="A13" s="166">
        <v>4</v>
      </c>
      <c r="B13" s="182" t="s">
        <v>446</v>
      </c>
      <c r="C13" s="240">
        <v>0</v>
      </c>
      <c r="D13" s="240">
        <v>0</v>
      </c>
      <c r="E13" s="240">
        <v>0</v>
      </c>
      <c r="F13" s="240">
        <v>0</v>
      </c>
      <c r="G13" s="239">
        <f>+C13+D13-E13-F13</f>
        <v>0</v>
      </c>
    </row>
    <row r="14" spans="1:7" ht="20.100000000000001" customHeight="1" thickBot="1">
      <c r="A14" s="166">
        <v>5</v>
      </c>
      <c r="B14" s="182" t="s">
        <v>445</v>
      </c>
      <c r="C14" s="236">
        <f>S1_Plant!C7</f>
        <v>3810672</v>
      </c>
      <c r="D14" s="236">
        <f>S1_Plant!D7</f>
        <v>186468</v>
      </c>
      <c r="E14" s="236">
        <f>S1_Plant!E7</f>
        <v>167621</v>
      </c>
      <c r="F14" s="236"/>
      <c r="G14" s="239">
        <f>+C14+D14-E14-F14</f>
        <v>3829519</v>
      </c>
    </row>
    <row r="15" spans="1:7" ht="20.100000000000001" customHeight="1" thickBot="1">
      <c r="A15" s="166">
        <v>6</v>
      </c>
      <c r="B15" s="165" t="s">
        <v>444</v>
      </c>
      <c r="C15" s="234">
        <f>SUM(C11:C14)</f>
        <v>3810672</v>
      </c>
      <c r="D15" s="233">
        <f>SUM(D11:D14)</f>
        <v>186468</v>
      </c>
      <c r="E15" s="233">
        <f>SUM(E11:E14)</f>
        <v>167621</v>
      </c>
      <c r="F15" s="233">
        <f>SUM(F11:F14)</f>
        <v>0</v>
      </c>
      <c r="G15" s="211">
        <f>+C15+D15-E15-F15</f>
        <v>3829519</v>
      </c>
    </row>
    <row r="16" spans="1:7" ht="12" customHeight="1">
      <c r="A16" s="166"/>
      <c r="B16" s="238"/>
      <c r="C16" s="241"/>
      <c r="D16" s="241"/>
      <c r="E16" s="241"/>
      <c r="F16" s="241"/>
      <c r="G16" s="241"/>
    </row>
    <row r="17" spans="1:8" ht="20.100000000000001" customHeight="1">
      <c r="A17" s="166">
        <v>7</v>
      </c>
      <c r="B17" s="182" t="s">
        <v>443</v>
      </c>
      <c r="C17" s="240">
        <f>S1_Plant!C8</f>
        <v>747961</v>
      </c>
      <c r="D17" s="240">
        <f>S1_Plant!D8</f>
        <v>15702</v>
      </c>
      <c r="E17" s="240">
        <f>S1_Plant!E8</f>
        <v>0</v>
      </c>
      <c r="F17" s="240">
        <v>0</v>
      </c>
      <c r="G17" s="239">
        <f>+C17+D17-E17-F17</f>
        <v>763663</v>
      </c>
    </row>
    <row r="18" spans="1:8" ht="20.100000000000001" customHeight="1">
      <c r="A18" s="166">
        <v>8</v>
      </c>
      <c r="B18" s="182" t="s">
        <v>442</v>
      </c>
      <c r="C18" s="240">
        <f>S1_Plant!C9</f>
        <v>38197958</v>
      </c>
      <c r="D18" s="240">
        <f>S1_Plant!D9</f>
        <v>2398080</v>
      </c>
      <c r="E18" s="240">
        <f>S1_Plant!E9</f>
        <v>33500</v>
      </c>
      <c r="F18" s="240">
        <v>0</v>
      </c>
      <c r="G18" s="239">
        <f>+C18+D18-E18-F18</f>
        <v>40562538</v>
      </c>
    </row>
    <row r="19" spans="1:8" ht="20.100000000000001" customHeight="1" thickBot="1">
      <c r="A19" s="166">
        <v>9</v>
      </c>
      <c r="B19" s="182" t="s">
        <v>441</v>
      </c>
      <c r="C19" s="236">
        <f>S1_Plant!C10</f>
        <v>6215473</v>
      </c>
      <c r="D19" s="236">
        <f>S1_Plant!D10</f>
        <v>10322954</v>
      </c>
      <c r="E19" s="236">
        <f>S1_Plant!E10</f>
        <v>134879</v>
      </c>
      <c r="F19" s="236">
        <v>0</v>
      </c>
      <c r="G19" s="239">
        <f>+C19+D19-E19-F19</f>
        <v>16403548</v>
      </c>
    </row>
    <row r="20" spans="1:8" ht="20.100000000000001" customHeight="1" thickBot="1">
      <c r="A20" s="166">
        <v>10</v>
      </c>
      <c r="B20" s="165" t="s">
        <v>440</v>
      </c>
      <c r="C20" s="234">
        <f>SUM(C15:C19)+C9</f>
        <v>48972064</v>
      </c>
      <c r="D20" s="234">
        <f>SUM(D15:D19)+D9</f>
        <v>12923204</v>
      </c>
      <c r="E20" s="234">
        <f>SUM(E15:E19)+E9</f>
        <v>336000</v>
      </c>
      <c r="F20" s="234">
        <f>SUM(F15:F19)+F9</f>
        <v>0</v>
      </c>
      <c r="G20" s="234">
        <f>SUM(G15:G19)+G9</f>
        <v>61559268</v>
      </c>
    </row>
    <row r="21" spans="1:8" ht="11.25" customHeight="1">
      <c r="A21" s="166"/>
      <c r="B21" s="238"/>
      <c r="C21" s="241"/>
      <c r="D21" s="241"/>
      <c r="E21" s="241"/>
      <c r="F21" s="241"/>
      <c r="G21" s="241"/>
    </row>
    <row r="22" spans="1:8" ht="20.100000000000001" customHeight="1">
      <c r="A22" s="166">
        <v>11</v>
      </c>
      <c r="B22" s="182" t="s">
        <v>439</v>
      </c>
      <c r="C22" s="240">
        <v>0</v>
      </c>
      <c r="D22" s="240">
        <v>0</v>
      </c>
      <c r="E22" s="240">
        <v>0</v>
      </c>
      <c r="F22" s="240">
        <v>0</v>
      </c>
      <c r="G22" s="239">
        <f>+C22+D22-E22-F22</f>
        <v>0</v>
      </c>
    </row>
    <row r="23" spans="1:8" ht="20.100000000000001" customHeight="1">
      <c r="A23" s="166">
        <v>12</v>
      </c>
      <c r="B23" s="182" t="s">
        <v>438</v>
      </c>
      <c r="C23" s="240">
        <v>0</v>
      </c>
      <c r="D23" s="240">
        <v>0</v>
      </c>
      <c r="E23" s="240">
        <v>0</v>
      </c>
      <c r="F23" s="240">
        <v>0</v>
      </c>
      <c r="G23" s="239">
        <f>+C23+D23-E23-F23</f>
        <v>0</v>
      </c>
    </row>
    <row r="24" spans="1:8" ht="20.100000000000001" customHeight="1" thickBot="1">
      <c r="A24" s="166">
        <v>13</v>
      </c>
      <c r="B24" s="182" t="s">
        <v>437</v>
      </c>
      <c r="C24" s="236">
        <v>0</v>
      </c>
      <c r="D24" s="236">
        <v>0</v>
      </c>
      <c r="E24" s="236">
        <v>0</v>
      </c>
      <c r="F24" s="236">
        <v>0</v>
      </c>
      <c r="G24" s="239">
        <f>+C24+D24-E24-F24</f>
        <v>0</v>
      </c>
    </row>
    <row r="25" spans="1:8" ht="20.100000000000001" customHeight="1" thickBot="1">
      <c r="A25" s="166">
        <v>14</v>
      </c>
      <c r="B25" s="165" t="s">
        <v>398</v>
      </c>
      <c r="C25" s="234">
        <f>SUM(C20:C24)</f>
        <v>48972064</v>
      </c>
      <c r="D25" s="233">
        <f>SUM(D20:D24)</f>
        <v>12923204</v>
      </c>
      <c r="E25" s="233">
        <f>SUM(E20:E24)</f>
        <v>336000</v>
      </c>
      <c r="F25" s="233">
        <f>SUM(F20:F24)</f>
        <v>0</v>
      </c>
      <c r="G25" s="211">
        <f>+C25+D25-E25-F25</f>
        <v>61559268</v>
      </c>
    </row>
    <row r="26" spans="1:8" ht="11.25" customHeight="1">
      <c r="A26" s="166"/>
      <c r="B26" s="238"/>
      <c r="C26" s="237"/>
      <c r="D26" s="237"/>
      <c r="E26" s="237"/>
      <c r="F26" s="237"/>
      <c r="G26" s="237"/>
    </row>
    <row r="27" spans="1:8" ht="20.100000000000001" customHeight="1" thickBot="1">
      <c r="A27" s="166">
        <v>15</v>
      </c>
      <c r="B27" s="182" t="s">
        <v>436</v>
      </c>
      <c r="C27" s="236">
        <f>S1_Plant!C12</f>
        <v>125997</v>
      </c>
      <c r="D27" s="236">
        <f>S1_Plant!D12</f>
        <v>36785</v>
      </c>
      <c r="E27" s="236">
        <f>S1_Plant!E12</f>
        <v>125997</v>
      </c>
      <c r="F27" s="236">
        <v>0</v>
      </c>
      <c r="G27" s="235">
        <f>+C27+D27-E27-F27</f>
        <v>36785</v>
      </c>
    </row>
    <row r="28" spans="1:8" ht="20.100000000000001" customHeight="1" thickBot="1">
      <c r="A28" s="166">
        <v>16</v>
      </c>
      <c r="B28" s="165" t="s">
        <v>435</v>
      </c>
      <c r="C28" s="234">
        <f>SUM(C25:C27)</f>
        <v>49098061</v>
      </c>
      <c r="D28" s="233">
        <f>SUM(D25:D27)</f>
        <v>12959989</v>
      </c>
      <c r="E28" s="233">
        <f>SUM(E25:E27)</f>
        <v>461997</v>
      </c>
      <c r="F28" s="233">
        <f>SUM(F25:F27)</f>
        <v>0</v>
      </c>
      <c r="G28" s="211">
        <f>+C28+D28-E28-F28</f>
        <v>61596053</v>
      </c>
      <c r="H28" s="383" t="s">
        <v>638</v>
      </c>
    </row>
    <row r="29" spans="1:8" ht="20.100000000000001" customHeight="1">
      <c r="B29" s="148" t="s">
        <v>434</v>
      </c>
      <c r="G29" s="210" t="s">
        <v>2</v>
      </c>
    </row>
    <row r="31" spans="1:8">
      <c r="G31" s="210">
        <f>+'412BS'!C11+'412BS'!C12-'412Plant'!G28</f>
        <v>0</v>
      </c>
    </row>
    <row r="32" spans="1:8">
      <c r="G32" s="210" t="s">
        <v>2</v>
      </c>
    </row>
    <row r="33" spans="14:14">
      <c r="N33" s="148" t="s">
        <v>633</v>
      </c>
    </row>
  </sheetData>
  <mergeCells count="5">
    <mergeCell ref="A1:G1"/>
    <mergeCell ref="A2:G2"/>
    <mergeCell ref="A4:G4"/>
    <mergeCell ref="A6:G6"/>
    <mergeCell ref="A3:G3"/>
  </mergeCells>
  <pageMargins left="0.5" right="0.5" top="0.75" bottom="0.5" header="0.5" footer="0.5"/>
  <pageSetup scale="66"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topLeftCell="A4" zoomScaleNormal="100" workbookViewId="0">
      <selection activeCell="K26" sqref="K26"/>
    </sheetView>
  </sheetViews>
  <sheetFormatPr defaultRowHeight="12.75"/>
  <cols>
    <col min="1" max="1" width="5.21875" style="148" customWidth="1"/>
    <col min="2" max="2" width="23" style="148" customWidth="1"/>
    <col min="3" max="3" width="12.6640625" style="148" customWidth="1"/>
    <col min="4" max="6" width="12.21875" style="148" customWidth="1"/>
    <col min="7" max="16384" width="8.88671875" style="148"/>
  </cols>
  <sheetData>
    <row r="1" spans="1:7" ht="15.75">
      <c r="A1" s="399" t="str">
        <f>+'412BS'!A1:F1</f>
        <v>Elk River, MN</v>
      </c>
      <c r="B1" s="399"/>
      <c r="C1" s="399"/>
      <c r="D1" s="399"/>
      <c r="E1" s="399"/>
      <c r="F1" s="399"/>
      <c r="G1" s="274"/>
    </row>
    <row r="2" spans="1:7" ht="15">
      <c r="A2" s="400" t="s">
        <v>408</v>
      </c>
      <c r="B2" s="400"/>
      <c r="C2" s="400"/>
      <c r="D2" s="400"/>
      <c r="E2" s="400"/>
      <c r="F2" s="400"/>
      <c r="G2" s="274"/>
    </row>
    <row r="3" spans="1:7" ht="15">
      <c r="A3" s="400" t="s">
        <v>492</v>
      </c>
      <c r="B3" s="400"/>
      <c r="C3" s="400"/>
      <c r="D3" s="400"/>
      <c r="E3" s="400"/>
      <c r="F3" s="400"/>
      <c r="G3" s="274"/>
    </row>
    <row r="4" spans="1:7" ht="15.75">
      <c r="A4" s="401">
        <f>+'412BS'!A4:F4</f>
        <v>42735</v>
      </c>
      <c r="B4" s="401"/>
      <c r="C4" s="401"/>
      <c r="D4" s="401"/>
      <c r="E4" s="401"/>
      <c r="F4" s="401"/>
      <c r="G4" s="273"/>
    </row>
    <row r="6" spans="1:7">
      <c r="A6" s="403" t="s">
        <v>491</v>
      </c>
      <c r="B6" s="403"/>
      <c r="C6" s="403"/>
      <c r="D6" s="403"/>
      <c r="E6" s="403"/>
      <c r="F6" s="403"/>
    </row>
    <row r="7" spans="1:7">
      <c r="A7" s="208" t="s">
        <v>4</v>
      </c>
      <c r="B7" s="190"/>
      <c r="C7" s="190" t="s">
        <v>490</v>
      </c>
      <c r="D7" s="190" t="s">
        <v>489</v>
      </c>
      <c r="E7" s="190" t="s">
        <v>488</v>
      </c>
      <c r="F7" s="190" t="s">
        <v>487</v>
      </c>
    </row>
    <row r="8" spans="1:7">
      <c r="A8" s="169" t="s">
        <v>403</v>
      </c>
      <c r="B8" s="164"/>
      <c r="C8" s="190" t="s">
        <v>486</v>
      </c>
      <c r="D8" s="164" t="s">
        <v>485</v>
      </c>
      <c r="E8" s="164" t="s">
        <v>484</v>
      </c>
      <c r="F8" s="164" t="s">
        <v>9</v>
      </c>
    </row>
    <row r="9" spans="1:7">
      <c r="A9" s="158">
        <v>1</v>
      </c>
      <c r="B9" s="149" t="s">
        <v>483</v>
      </c>
      <c r="C9" s="272"/>
      <c r="D9" s="252"/>
      <c r="E9" s="252"/>
      <c r="F9" s="252"/>
    </row>
    <row r="10" spans="1:7">
      <c r="A10" s="174"/>
      <c r="B10" s="269" t="s">
        <v>482</v>
      </c>
      <c r="C10" s="205">
        <v>0</v>
      </c>
      <c r="D10" s="271">
        <v>0</v>
      </c>
      <c r="E10" s="271">
        <v>0</v>
      </c>
      <c r="F10" s="270">
        <f>SUM(C10:E10)</f>
        <v>0</v>
      </c>
    </row>
    <row r="11" spans="1:7">
      <c r="A11" s="174">
        <v>2</v>
      </c>
      <c r="B11" s="269" t="s">
        <v>481</v>
      </c>
      <c r="C11" s="173">
        <v>0</v>
      </c>
      <c r="D11" s="215">
        <v>0</v>
      </c>
      <c r="E11" s="215">
        <v>0</v>
      </c>
      <c r="F11" s="266">
        <f>SUM(C11:E11)</f>
        <v>0</v>
      </c>
    </row>
    <row r="12" spans="1:7">
      <c r="A12" s="158">
        <v>3</v>
      </c>
      <c r="B12" s="149" t="s">
        <v>480</v>
      </c>
      <c r="C12" s="167"/>
      <c r="D12" s="214"/>
      <c r="E12" s="214"/>
      <c r="F12" s="263"/>
    </row>
    <row r="13" spans="1:7">
      <c r="A13" s="174"/>
      <c r="B13" s="251" t="s">
        <v>479</v>
      </c>
      <c r="C13" s="173">
        <v>0</v>
      </c>
      <c r="D13" s="215">
        <v>0</v>
      </c>
      <c r="E13" s="215">
        <v>0</v>
      </c>
      <c r="F13" s="266">
        <f>SUM(C13:E13)</f>
        <v>0</v>
      </c>
    </row>
    <row r="14" spans="1:7">
      <c r="A14" s="176">
        <v>4</v>
      </c>
      <c r="B14" s="268" t="s">
        <v>478</v>
      </c>
      <c r="C14" s="167"/>
      <c r="D14" s="214"/>
      <c r="E14" s="214"/>
      <c r="F14" s="263"/>
    </row>
    <row r="15" spans="1:7">
      <c r="A15" s="174"/>
      <c r="B15" s="267" t="s">
        <v>477</v>
      </c>
      <c r="C15" s="173">
        <v>0</v>
      </c>
      <c r="D15" s="215">
        <v>0</v>
      </c>
      <c r="E15" s="215">
        <v>0</v>
      </c>
      <c r="F15" s="266">
        <f>SUM(C15:E15)</f>
        <v>0</v>
      </c>
    </row>
    <row r="16" spans="1:7">
      <c r="A16" s="184">
        <v>5</v>
      </c>
      <c r="B16" s="265" t="s">
        <v>476</v>
      </c>
      <c r="C16" s="183">
        <v>24795677</v>
      </c>
      <c r="D16" s="256">
        <v>0</v>
      </c>
      <c r="E16" s="256">
        <v>0</v>
      </c>
      <c r="F16" s="264">
        <f>SUM(C16:E16)</f>
        <v>24795677</v>
      </c>
    </row>
    <row r="17" spans="1:11">
      <c r="A17" s="158">
        <v>6</v>
      </c>
      <c r="B17" s="149" t="s">
        <v>475</v>
      </c>
      <c r="C17" s="167"/>
      <c r="D17" s="214"/>
      <c r="E17" s="214"/>
      <c r="F17" s="263"/>
    </row>
    <row r="18" spans="1:11" ht="13.5" thickBot="1">
      <c r="A18" s="174"/>
      <c r="B18" s="251" t="s">
        <v>474</v>
      </c>
      <c r="C18" s="167">
        <v>0</v>
      </c>
      <c r="D18" s="214">
        <f>753870-E18-C15</f>
        <v>704013</v>
      </c>
      <c r="E18" s="214">
        <f>23607+13925+12325</f>
        <v>49857</v>
      </c>
      <c r="F18" s="263">
        <f>SUM(C18:E18)</f>
        <v>753870</v>
      </c>
    </row>
    <row r="19" spans="1:11" ht="13.5" thickBot="1">
      <c r="A19" s="182">
        <v>7</v>
      </c>
      <c r="B19" s="262" t="s">
        <v>473</v>
      </c>
      <c r="C19" s="234">
        <f>SUM(C10:C18)</f>
        <v>24795677</v>
      </c>
      <c r="D19" s="250">
        <f>SUM(D10:D18)</f>
        <v>704013</v>
      </c>
      <c r="E19" s="250">
        <f>SUM(E10:E18)</f>
        <v>49857</v>
      </c>
      <c r="F19" s="249">
        <f>SUM(C19:E19)</f>
        <v>25549547</v>
      </c>
    </row>
    <row r="20" spans="1:11">
      <c r="A20" s="158">
        <v>8</v>
      </c>
      <c r="B20" s="209" t="s">
        <v>472</v>
      </c>
      <c r="C20" s="253"/>
      <c r="D20" s="253"/>
      <c r="E20" s="253"/>
      <c r="F20" s="252"/>
    </row>
    <row r="21" spans="1:11" ht="15">
      <c r="A21" s="174"/>
      <c r="B21" s="259" t="s">
        <v>471</v>
      </c>
      <c r="C21" s="258" t="s">
        <v>462</v>
      </c>
      <c r="D21" s="258" t="s">
        <v>462</v>
      </c>
      <c r="E21" s="215">
        <f>TransmissionOM</f>
        <v>23568.15</v>
      </c>
      <c r="F21" s="255">
        <f>SUM(D21:E21)</f>
        <v>23568.15</v>
      </c>
      <c r="G21" s="148" t="s">
        <v>2</v>
      </c>
    </row>
    <row r="22" spans="1:11" ht="15">
      <c r="A22" s="158">
        <v>9</v>
      </c>
      <c r="B22" s="209" t="s">
        <v>470</v>
      </c>
      <c r="C22" s="261"/>
      <c r="D22" s="214"/>
      <c r="E22" s="214"/>
      <c r="F22" s="260"/>
    </row>
    <row r="23" spans="1:11" ht="15">
      <c r="A23" s="174"/>
      <c r="B23" s="259" t="s">
        <v>469</v>
      </c>
      <c r="C23" s="258" t="s">
        <v>462</v>
      </c>
      <c r="D23" s="394">
        <f>1287940-679169</f>
        <v>608771</v>
      </c>
      <c r="E23" s="394">
        <f>-23037+2129+679169</f>
        <v>658261</v>
      </c>
      <c r="F23" s="255">
        <f>+D23+E23</f>
        <v>1267032</v>
      </c>
    </row>
    <row r="24" spans="1:11" ht="15">
      <c r="A24" s="158">
        <v>10</v>
      </c>
      <c r="B24" s="209" t="s">
        <v>468</v>
      </c>
      <c r="C24" s="261"/>
      <c r="D24" s="214"/>
      <c r="E24" s="214"/>
      <c r="F24" s="260"/>
    </row>
    <row r="25" spans="1:11" ht="15">
      <c r="A25" s="174"/>
      <c r="B25" s="259" t="s">
        <v>467</v>
      </c>
      <c r="C25" s="258" t="s">
        <v>462</v>
      </c>
      <c r="D25" s="215">
        <f>230312+303961</f>
        <v>534273</v>
      </c>
      <c r="E25" s="215">
        <v>0</v>
      </c>
      <c r="F25" s="255">
        <f>+D25+E25</f>
        <v>534273</v>
      </c>
    </row>
    <row r="26" spans="1:11" ht="15">
      <c r="A26" s="158">
        <v>11</v>
      </c>
      <c r="B26" s="209" t="s">
        <v>466</v>
      </c>
      <c r="C26" s="261"/>
      <c r="D26" s="214"/>
      <c r="E26" s="214"/>
      <c r="F26" s="260"/>
    </row>
    <row r="27" spans="1:11" ht="15">
      <c r="A27" s="174"/>
      <c r="B27" s="259" t="s">
        <v>465</v>
      </c>
      <c r="C27" s="258" t="s">
        <v>462</v>
      </c>
      <c r="D27" s="215">
        <v>0</v>
      </c>
      <c r="E27" s="215">
        <v>0</v>
      </c>
      <c r="F27" s="255">
        <f>+D27+E27</f>
        <v>0</v>
      </c>
    </row>
    <row r="28" spans="1:11" ht="15">
      <c r="A28" s="182">
        <v>12</v>
      </c>
      <c r="B28" s="224" t="s">
        <v>464</v>
      </c>
      <c r="C28" s="257" t="s">
        <v>462</v>
      </c>
      <c r="D28" s="392">
        <f>-SalesExpenses</f>
        <v>110839</v>
      </c>
      <c r="E28" s="256">
        <v>0</v>
      </c>
      <c r="F28" s="255">
        <f>+D28+E28</f>
        <v>110839</v>
      </c>
      <c r="K28" s="288"/>
    </row>
    <row r="29" spans="1:11" ht="15">
      <c r="A29" s="182">
        <v>13</v>
      </c>
      <c r="B29" s="224" t="s">
        <v>463</v>
      </c>
      <c r="C29" s="257" t="s">
        <v>462</v>
      </c>
      <c r="D29" s="392">
        <f>AdminGeneralTotal</f>
        <v>3140854.85</v>
      </c>
      <c r="E29" s="256">
        <v>0</v>
      </c>
      <c r="F29" s="255">
        <f>+D29+E29</f>
        <v>3140854.85</v>
      </c>
      <c r="J29" s="292"/>
      <c r="K29" s="288"/>
    </row>
    <row r="30" spans="1:11" ht="13.5" thickBot="1">
      <c r="A30" s="158">
        <v>14</v>
      </c>
      <c r="B30" s="209" t="s">
        <v>461</v>
      </c>
      <c r="C30" s="254"/>
      <c r="D30" s="253"/>
      <c r="E30" s="253"/>
      <c r="F30" s="252"/>
      <c r="J30" s="292"/>
      <c r="K30" s="288"/>
    </row>
    <row r="31" spans="1:11" ht="13.5" thickBot="1">
      <c r="A31" s="174"/>
      <c r="B31" s="251" t="s">
        <v>460</v>
      </c>
      <c r="C31" s="234" t="s">
        <v>459</v>
      </c>
      <c r="D31" s="250">
        <f>SUM(D19:D29)</f>
        <v>5098750.8499999996</v>
      </c>
      <c r="E31" s="250">
        <f>SUM(E19:E29)</f>
        <v>731686.15</v>
      </c>
      <c r="F31" s="249">
        <f>SUM(F19:F30)</f>
        <v>30626114</v>
      </c>
      <c r="J31" s="292"/>
      <c r="K31" s="288"/>
    </row>
    <row r="32" spans="1:11">
      <c r="C32" s="210"/>
      <c r="D32" s="210"/>
      <c r="E32" s="210"/>
      <c r="F32" s="210"/>
      <c r="J32" s="292"/>
      <c r="K32" s="288"/>
    </row>
    <row r="33" spans="2:11">
      <c r="B33" s="404" t="s">
        <v>458</v>
      </c>
      <c r="C33" s="405"/>
      <c r="D33" s="248">
        <v>23</v>
      </c>
      <c r="E33" s="210"/>
      <c r="F33" s="210"/>
      <c r="K33" s="288"/>
    </row>
    <row r="34" spans="2:11">
      <c r="B34" s="247" t="s">
        <v>457</v>
      </c>
      <c r="C34" s="246"/>
      <c r="D34" s="245">
        <v>1</v>
      </c>
      <c r="E34" s="210"/>
      <c r="F34" s="210"/>
      <c r="J34" s="293"/>
    </row>
    <row r="35" spans="2:11">
      <c r="C35" s="210"/>
      <c r="D35" s="210"/>
      <c r="E35" s="210"/>
      <c r="F35" s="210"/>
    </row>
    <row r="36" spans="2:11">
      <c r="J36" s="294"/>
    </row>
  </sheetData>
  <mergeCells count="6">
    <mergeCell ref="A6:F6"/>
    <mergeCell ref="B33:C33"/>
    <mergeCell ref="A1:F1"/>
    <mergeCell ref="A2:F2"/>
    <mergeCell ref="A4:F4"/>
    <mergeCell ref="A3:F3"/>
  </mergeCells>
  <pageMargins left="0.75" right="0.75" top="1" bottom="1" header="0.5" footer="0.5"/>
  <pageSetup scale="86" orientation="portrait"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topLeftCell="A4" zoomScaleNormal="100" workbookViewId="0">
      <selection activeCell="D16" sqref="D16"/>
    </sheetView>
  </sheetViews>
  <sheetFormatPr defaultRowHeight="12.75"/>
  <cols>
    <col min="1" max="16384" width="8.88671875" style="148"/>
  </cols>
  <sheetData>
    <row r="1" spans="1:10" ht="15.75">
      <c r="A1" s="399" t="str">
        <f>EntityName</f>
        <v>Elk River, MN</v>
      </c>
      <c r="B1" s="399"/>
      <c r="C1" s="399"/>
      <c r="D1" s="399"/>
      <c r="E1" s="399"/>
      <c r="F1" s="399"/>
    </row>
    <row r="2" spans="1:10" ht="15">
      <c r="A2" s="400" t="s">
        <v>408</v>
      </c>
      <c r="B2" s="400"/>
      <c r="C2" s="400"/>
      <c r="D2" s="400"/>
      <c r="E2" s="400"/>
      <c r="F2" s="400"/>
    </row>
    <row r="3" spans="1:10" ht="15">
      <c r="A3" s="400" t="s">
        <v>496</v>
      </c>
      <c r="B3" s="400"/>
      <c r="C3" s="400"/>
      <c r="D3" s="400"/>
      <c r="E3" s="400"/>
      <c r="F3" s="400"/>
    </row>
    <row r="4" spans="1:10" ht="15.75">
      <c r="A4" s="401">
        <v>42369</v>
      </c>
      <c r="B4" s="401"/>
      <c r="C4" s="401"/>
      <c r="D4" s="401"/>
      <c r="E4" s="401"/>
      <c r="F4" s="401"/>
    </row>
    <row r="5" spans="1:10" ht="15.75">
      <c r="A5" s="276"/>
      <c r="B5" s="276"/>
      <c r="C5" s="276"/>
      <c r="D5" s="276"/>
      <c r="E5" s="276"/>
      <c r="F5" s="276"/>
    </row>
    <row r="6" spans="1:10" ht="18" customHeight="1">
      <c r="A6" s="318" t="s">
        <v>582</v>
      </c>
      <c r="C6" s="370"/>
      <c r="D6" s="370"/>
      <c r="E6" s="370"/>
      <c r="F6" s="370"/>
      <c r="G6" s="371" t="str">
        <f>EntityName</f>
        <v>Elk River, MN</v>
      </c>
      <c r="H6" s="372"/>
      <c r="I6" s="275"/>
    </row>
    <row r="7" spans="1:10" ht="18" customHeight="1">
      <c r="A7" s="315" t="s">
        <v>583</v>
      </c>
      <c r="B7" s="315"/>
      <c r="C7" s="315"/>
      <c r="D7" s="315"/>
      <c r="E7" s="315"/>
      <c r="F7" s="315"/>
      <c r="G7" s="315"/>
      <c r="H7" s="315"/>
      <c r="I7" s="315"/>
      <c r="J7" s="317"/>
    </row>
    <row r="8" spans="1:10" ht="18" customHeight="1">
      <c r="A8" s="315" t="s">
        <v>584</v>
      </c>
      <c r="B8" s="315"/>
      <c r="C8" s="315"/>
      <c r="D8" s="315"/>
      <c r="E8" s="315"/>
      <c r="F8" s="315"/>
      <c r="G8" s="315"/>
      <c r="H8" s="315"/>
      <c r="I8" s="315"/>
      <c r="J8" s="317"/>
    </row>
    <row r="9" spans="1:10" ht="18" customHeight="1">
      <c r="A9" s="315" t="s">
        <v>494</v>
      </c>
      <c r="B9" s="315"/>
      <c r="C9" s="315"/>
      <c r="D9" s="315"/>
      <c r="E9" s="315"/>
      <c r="F9" s="315"/>
      <c r="G9" s="315"/>
      <c r="H9" s="315"/>
      <c r="I9" s="315"/>
      <c r="J9" s="317"/>
    </row>
    <row r="10" spans="1:10" ht="18" customHeight="1">
      <c r="A10" s="315" t="s">
        <v>585</v>
      </c>
      <c r="B10" s="315"/>
      <c r="C10" s="315"/>
      <c r="D10" s="315"/>
      <c r="E10" s="315"/>
      <c r="F10" s="315"/>
      <c r="G10" s="315"/>
      <c r="H10" s="315"/>
      <c r="I10" s="315"/>
      <c r="J10" s="317"/>
    </row>
    <row r="11" spans="1:10" ht="18" customHeight="1">
      <c r="A11" s="315" t="s">
        <v>586</v>
      </c>
      <c r="B11" s="315"/>
      <c r="C11" s="315"/>
      <c r="D11" s="315"/>
      <c r="E11" s="315"/>
      <c r="F11" s="315"/>
      <c r="G11" s="315"/>
      <c r="H11" s="315"/>
      <c r="I11" s="315"/>
      <c r="J11" s="317"/>
    </row>
    <row r="12" spans="1:10" ht="18" customHeight="1">
      <c r="A12" s="315" t="s">
        <v>587</v>
      </c>
      <c r="B12" s="315"/>
      <c r="C12" s="315"/>
      <c r="D12" s="315"/>
      <c r="E12" s="315"/>
      <c r="F12" s="315"/>
      <c r="G12" s="315"/>
      <c r="H12" s="315"/>
      <c r="I12" s="315"/>
      <c r="J12" s="317"/>
    </row>
    <row r="13" spans="1:10" ht="18" customHeight="1">
      <c r="A13" s="315" t="s">
        <v>494</v>
      </c>
      <c r="B13" s="315"/>
      <c r="C13" s="315"/>
      <c r="D13" s="315"/>
      <c r="E13" s="315"/>
      <c r="F13" s="315"/>
      <c r="G13" s="315"/>
      <c r="H13" s="315"/>
      <c r="I13" s="315"/>
      <c r="J13" s="317"/>
    </row>
    <row r="14" spans="1:10" ht="18" customHeight="1">
      <c r="A14" s="315" t="s">
        <v>588</v>
      </c>
      <c r="B14" s="315"/>
      <c r="C14" s="315"/>
      <c r="D14" s="315"/>
      <c r="E14" s="315"/>
      <c r="F14" s="315"/>
      <c r="G14" s="315"/>
      <c r="H14" s="315"/>
      <c r="I14" s="315"/>
      <c r="J14" s="317"/>
    </row>
    <row r="15" spans="1:10" ht="18" customHeight="1">
      <c r="A15" s="315" t="s">
        <v>494</v>
      </c>
      <c r="B15" s="315"/>
      <c r="C15" s="315"/>
      <c r="D15" s="315"/>
      <c r="E15" s="315"/>
      <c r="F15" s="315"/>
      <c r="G15" s="315"/>
      <c r="H15" s="315"/>
      <c r="I15" s="315"/>
      <c r="J15" s="317"/>
    </row>
    <row r="16" spans="1:10" ht="18" customHeight="1">
      <c r="A16" s="315" t="s">
        <v>589</v>
      </c>
      <c r="B16" s="315"/>
      <c r="C16" s="315"/>
      <c r="D16" s="315"/>
      <c r="E16" s="315"/>
      <c r="F16" s="315"/>
      <c r="G16" s="315"/>
      <c r="H16" s="315"/>
      <c r="I16" s="315"/>
      <c r="J16" s="317"/>
    </row>
    <row r="17" spans="1:10" ht="18" customHeight="1">
      <c r="A17" s="315" t="s">
        <v>494</v>
      </c>
      <c r="B17" s="315"/>
      <c r="C17" s="315"/>
      <c r="D17" s="315"/>
      <c r="E17" s="315"/>
      <c r="F17" s="315"/>
      <c r="G17" s="315"/>
      <c r="H17" s="315"/>
      <c r="I17" s="315"/>
      <c r="J17" s="317"/>
    </row>
    <row r="18" spans="1:10" ht="18" customHeight="1">
      <c r="A18" s="315" t="s">
        <v>590</v>
      </c>
      <c r="B18" s="315"/>
      <c r="C18" s="315"/>
      <c r="D18" s="315"/>
      <c r="E18" s="315"/>
      <c r="F18" s="315"/>
      <c r="G18" s="315"/>
      <c r="H18" s="315"/>
      <c r="I18" s="315"/>
      <c r="J18" s="317"/>
    </row>
    <row r="19" spans="1:10" ht="18" customHeight="1">
      <c r="A19" s="315" t="s">
        <v>591</v>
      </c>
      <c r="B19" s="315"/>
      <c r="C19" s="315"/>
      <c r="D19" s="315"/>
      <c r="E19" s="315"/>
      <c r="F19" s="315"/>
      <c r="G19" s="315"/>
      <c r="H19" s="315"/>
      <c r="I19" s="315"/>
      <c r="J19" s="317"/>
    </row>
    <row r="20" spans="1:10" ht="18" customHeight="1">
      <c r="A20" s="315" t="s">
        <v>592</v>
      </c>
      <c r="B20" s="315"/>
      <c r="C20" s="315"/>
      <c r="D20" s="315"/>
      <c r="E20" s="315"/>
      <c r="F20" s="315"/>
      <c r="G20" s="315"/>
      <c r="H20" s="315"/>
      <c r="I20" s="315"/>
      <c r="J20" s="317"/>
    </row>
    <row r="21" spans="1:10" ht="18" customHeight="1">
      <c r="A21" s="315" t="s">
        <v>495</v>
      </c>
      <c r="B21" s="315"/>
      <c r="C21" s="315"/>
      <c r="D21" s="315"/>
      <c r="E21" s="315"/>
      <c r="F21" s="315"/>
      <c r="G21" s="315"/>
      <c r="H21" s="315"/>
      <c r="I21" s="315"/>
      <c r="J21" s="317"/>
    </row>
    <row r="22" spans="1:10" ht="18" customHeight="1">
      <c r="A22" s="317"/>
      <c r="B22" s="317"/>
      <c r="C22" s="317"/>
      <c r="D22" s="317"/>
      <c r="E22" s="317"/>
      <c r="F22" s="317"/>
      <c r="G22" s="317"/>
      <c r="H22" s="317"/>
      <c r="I22" s="317"/>
      <c r="J22" s="317"/>
    </row>
    <row r="23" spans="1:10" ht="15" customHeight="1">
      <c r="A23" s="316"/>
      <c r="B23" s="316"/>
      <c r="C23" s="316"/>
      <c r="D23" s="316"/>
      <c r="E23" s="316"/>
      <c r="F23" s="316"/>
      <c r="G23" s="316"/>
      <c r="H23" s="316"/>
      <c r="I23" s="316"/>
      <c r="J23" s="316"/>
    </row>
    <row r="24" spans="1:10" ht="15" customHeight="1">
      <c r="A24" s="316"/>
      <c r="B24" s="316"/>
      <c r="C24" s="316"/>
      <c r="D24" s="316"/>
      <c r="E24" s="316"/>
      <c r="F24" s="316"/>
      <c r="G24" s="316"/>
      <c r="H24" s="316"/>
      <c r="I24" s="316"/>
      <c r="J24" s="316"/>
    </row>
    <row r="25" spans="1:10" ht="15" customHeight="1">
      <c r="A25" s="316"/>
      <c r="B25" s="316"/>
      <c r="C25" s="316"/>
      <c r="D25" s="316"/>
      <c r="E25" s="316"/>
      <c r="F25" s="316"/>
      <c r="G25" s="316"/>
      <c r="H25" s="316"/>
      <c r="I25" s="316"/>
      <c r="J25" s="316"/>
    </row>
    <row r="26" spans="1:10">
      <c r="A26" s="316"/>
      <c r="B26" s="316"/>
      <c r="C26" s="316"/>
      <c r="D26" s="316"/>
      <c r="E26" s="316"/>
      <c r="F26" s="316"/>
      <c r="G26" s="316"/>
      <c r="H26" s="316"/>
      <c r="I26" s="316"/>
      <c r="J26" s="316"/>
    </row>
    <row r="27" spans="1:10">
      <c r="A27" s="316"/>
      <c r="B27" s="316"/>
      <c r="C27" s="316"/>
      <c r="D27" s="316"/>
      <c r="E27" s="316"/>
      <c r="F27" s="316"/>
      <c r="G27" s="316"/>
      <c r="H27" s="316"/>
      <c r="I27" s="316"/>
      <c r="J27" s="316"/>
    </row>
  </sheetData>
  <mergeCells count="4">
    <mergeCell ref="A1:F1"/>
    <mergeCell ref="A2:F2"/>
    <mergeCell ref="A3:F3"/>
    <mergeCell ref="A4:F4"/>
  </mergeCells>
  <pageMargins left="0.75" right="0.75" top="1" bottom="1" header="0.5" footer="0.5"/>
  <pageSetup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24"/>
  <sheetViews>
    <sheetView showGridLines="0" view="pageBreakPreview" zoomScale="60" zoomScaleNormal="100" workbookViewId="0">
      <selection activeCell="G14" sqref="G14"/>
    </sheetView>
  </sheetViews>
  <sheetFormatPr defaultRowHeight="15" customHeight="1"/>
  <cols>
    <col min="1" max="1" width="3.33203125" style="277" customWidth="1"/>
    <col min="2" max="2" width="17" style="277" customWidth="1"/>
    <col min="3" max="3" width="14.5546875" style="277" bestFit="1" customWidth="1"/>
    <col min="4" max="4" width="14.21875" style="277" bestFit="1" customWidth="1"/>
    <col min="5" max="5" width="11.21875" style="277" bestFit="1" customWidth="1"/>
    <col min="6" max="6" width="11" style="277" bestFit="1" customWidth="1"/>
    <col min="7" max="7" width="14.21875" style="277" bestFit="1" customWidth="1"/>
    <col min="8" max="8" width="34.77734375" style="277" bestFit="1" customWidth="1"/>
    <col min="9" max="9" width="13.21875" style="277" bestFit="1" customWidth="1"/>
    <col min="10" max="10" width="10.44140625" style="277" bestFit="1" customWidth="1"/>
    <col min="11" max="11" width="9.88671875" style="277" bestFit="1" customWidth="1"/>
    <col min="12" max="13" width="14.5546875" style="277" bestFit="1" customWidth="1"/>
    <col min="14" max="14" width="11.5546875" style="277" bestFit="1" customWidth="1"/>
    <col min="15" max="15" width="10" style="277" bestFit="1" customWidth="1"/>
    <col min="16" max="16" width="9.44140625" style="277" customWidth="1"/>
    <col min="17" max="17" width="8.33203125" style="277" bestFit="1" customWidth="1"/>
    <col min="18" max="18" width="13.44140625" style="277" customWidth="1"/>
    <col min="19" max="19" width="1.109375" style="277" customWidth="1"/>
    <col min="20" max="20" width="12.21875" style="277" customWidth="1"/>
    <col min="21" max="21" width="8.33203125" style="277" bestFit="1" customWidth="1"/>
    <col min="22" max="22" width="16.5546875" style="277" customWidth="1"/>
    <col min="23" max="23" width="8.88671875" style="277"/>
    <col min="24" max="24" width="10.44140625" style="277" customWidth="1"/>
    <col min="25" max="25" width="9.77734375" style="277" customWidth="1"/>
    <col min="26" max="26" width="9.33203125" style="277" bestFit="1" customWidth="1"/>
    <col min="27" max="27" width="9.6640625" style="277" customWidth="1"/>
    <col min="28" max="28" width="55.33203125" style="277" customWidth="1"/>
    <col min="29" max="29" width="8.88671875" style="277"/>
    <col min="30" max="30" width="13.77734375" style="277" customWidth="1"/>
    <col min="31" max="31" width="19.44140625" style="277" customWidth="1"/>
    <col min="32" max="32" width="12.6640625" style="277" customWidth="1"/>
    <col min="33" max="33" width="12.109375" style="277" customWidth="1"/>
    <col min="34" max="34" width="14.6640625" style="277" customWidth="1"/>
    <col min="35" max="35" width="10.109375" style="277" customWidth="1"/>
    <col min="36" max="36" width="10.5546875" style="277" customWidth="1"/>
    <col min="37" max="37" width="11.88671875" style="277" customWidth="1"/>
    <col min="38" max="38" width="15.5546875" style="283" customWidth="1"/>
    <col min="39" max="39" width="8.88671875" style="277"/>
    <col min="40" max="40" width="16.33203125" style="277" customWidth="1"/>
    <col min="41" max="41" width="11.109375" style="277" customWidth="1"/>
    <col min="42" max="42" width="10.21875" style="277" customWidth="1"/>
    <col min="43" max="44" width="8.77734375" style="277" customWidth="1"/>
    <col min="45" max="16384" width="8.88671875" style="277"/>
  </cols>
  <sheetData>
    <row r="1" spans="2:38" ht="20.100000000000001" customHeight="1">
      <c r="B1" s="299" t="str">
        <f>EntityName</f>
        <v>Elk River, MN</v>
      </c>
      <c r="C1" s="297"/>
      <c r="D1" s="297"/>
      <c r="E1" s="297"/>
      <c r="F1" s="297"/>
      <c r="G1" s="297"/>
      <c r="H1" s="297"/>
      <c r="I1" s="297"/>
      <c r="J1" s="297"/>
      <c r="K1" s="297"/>
      <c r="L1" s="297"/>
      <c r="M1" s="297"/>
      <c r="N1" s="297"/>
      <c r="O1" s="297"/>
      <c r="AL1" s="277"/>
    </row>
    <row r="2" spans="2:38" ht="20.100000000000001" customHeight="1">
      <c r="B2" s="300" t="s">
        <v>544</v>
      </c>
      <c r="C2" s="298"/>
      <c r="D2" s="298"/>
      <c r="E2" s="298"/>
      <c r="F2" s="298"/>
      <c r="G2" s="298"/>
      <c r="H2" s="298"/>
      <c r="I2" s="298"/>
      <c r="J2" s="298"/>
      <c r="K2" s="298"/>
      <c r="L2" s="298"/>
      <c r="M2" s="298"/>
      <c r="N2" s="298"/>
      <c r="O2" s="298"/>
      <c r="AL2" s="277"/>
    </row>
    <row r="3" spans="2:38" ht="20.100000000000001" customHeight="1">
      <c r="B3" s="301">
        <f>FilingDate</f>
        <v>42735</v>
      </c>
      <c r="C3" s="297"/>
      <c r="D3" s="297"/>
      <c r="E3" s="297"/>
      <c r="F3" s="297"/>
      <c r="G3" s="297"/>
      <c r="H3" s="297"/>
      <c r="I3" s="297"/>
      <c r="J3" s="297"/>
      <c r="K3" s="297"/>
      <c r="L3" s="297"/>
      <c r="M3" s="297"/>
      <c r="N3" s="297"/>
      <c r="O3" s="297"/>
      <c r="AL3" s="277"/>
    </row>
    <row r="4" spans="2:38" ht="15" customHeight="1">
      <c r="AL4" s="277"/>
    </row>
    <row r="5" spans="2:38" ht="18" customHeight="1">
      <c r="B5" s="323"/>
      <c r="C5" s="406" t="s">
        <v>548</v>
      </c>
      <c r="D5" s="407"/>
      <c r="E5" s="407"/>
      <c r="F5" s="407"/>
      <c r="G5" s="408"/>
      <c r="H5" s="409" t="s">
        <v>552</v>
      </c>
      <c r="I5" s="410"/>
      <c r="J5" s="410"/>
      <c r="K5" s="410"/>
      <c r="L5" s="411"/>
      <c r="M5" s="324"/>
      <c r="N5" s="323"/>
      <c r="O5" s="323"/>
      <c r="P5" s="323"/>
      <c r="AL5" s="277"/>
    </row>
    <row r="6" spans="2:38" ht="18" customHeight="1">
      <c r="B6" s="325" t="s">
        <v>557</v>
      </c>
      <c r="C6" s="320" t="s">
        <v>549</v>
      </c>
      <c r="D6" s="320" t="s">
        <v>453</v>
      </c>
      <c r="E6" s="320" t="s">
        <v>550</v>
      </c>
      <c r="F6" s="320" t="s">
        <v>451</v>
      </c>
      <c r="G6" s="320" t="s">
        <v>551</v>
      </c>
      <c r="H6" s="320" t="s">
        <v>549</v>
      </c>
      <c r="I6" s="320" t="s">
        <v>453</v>
      </c>
      <c r="J6" s="320" t="s">
        <v>550</v>
      </c>
      <c r="K6" s="320" t="s">
        <v>451</v>
      </c>
      <c r="L6" s="320" t="s">
        <v>551</v>
      </c>
      <c r="M6" s="320" t="s">
        <v>529</v>
      </c>
      <c r="N6" s="323"/>
      <c r="O6" s="323"/>
      <c r="P6" s="323"/>
      <c r="AL6" s="277"/>
    </row>
    <row r="7" spans="2:38" ht="18" customHeight="1">
      <c r="B7" s="326" t="s">
        <v>554</v>
      </c>
      <c r="C7" s="327">
        <v>3810672</v>
      </c>
      <c r="D7" s="327">
        <v>186468</v>
      </c>
      <c r="E7" s="327">
        <v>167621</v>
      </c>
      <c r="F7" s="327"/>
      <c r="G7" s="327">
        <f>C7+D7-E7</f>
        <v>3829519</v>
      </c>
      <c r="H7" s="327">
        <v>2379388</v>
      </c>
      <c r="I7" s="327">
        <v>295345</v>
      </c>
      <c r="J7" s="327">
        <v>92541</v>
      </c>
      <c r="K7" s="327"/>
      <c r="L7" s="327">
        <f>H7+I7-J7</f>
        <v>2582192</v>
      </c>
      <c r="M7" s="327">
        <f>G7-L7</f>
        <v>1247327</v>
      </c>
      <c r="N7" s="323"/>
      <c r="O7" s="323"/>
      <c r="P7" s="323"/>
      <c r="AL7" s="277"/>
    </row>
    <row r="8" spans="2:38" ht="18" customHeight="1">
      <c r="B8" s="326" t="s">
        <v>498</v>
      </c>
      <c r="C8" s="327">
        <v>747961</v>
      </c>
      <c r="D8" s="327">
        <f>15702</f>
        <v>15702</v>
      </c>
      <c r="E8" s="327">
        <v>0</v>
      </c>
      <c r="F8" s="327">
        <v>1079143</v>
      </c>
      <c r="G8" s="327">
        <f>C8+D8-E8+F8</f>
        <v>1842806</v>
      </c>
      <c r="H8" s="327">
        <v>265354</v>
      </c>
      <c r="I8" s="327">
        <v>33348</v>
      </c>
      <c r="J8" s="327">
        <v>0</v>
      </c>
      <c r="K8" s="327">
        <v>258042</v>
      </c>
      <c r="L8" s="327">
        <f>H8+I8-J8+K8</f>
        <v>556744</v>
      </c>
      <c r="M8" s="327">
        <f>G8-L8</f>
        <v>1286062</v>
      </c>
      <c r="N8" s="323"/>
      <c r="O8" s="323"/>
      <c r="P8" s="323"/>
      <c r="AL8" s="277"/>
    </row>
    <row r="9" spans="2:38" ht="18" customHeight="1">
      <c r="B9" s="326" t="s">
        <v>555</v>
      </c>
      <c r="C9" s="327">
        <v>38197958</v>
      </c>
      <c r="D9" s="327">
        <v>2398080</v>
      </c>
      <c r="E9" s="327">
        <v>33500</v>
      </c>
      <c r="F9" s="327">
        <v>-1079143</v>
      </c>
      <c r="G9" s="327">
        <f>C9+D9-E9+F9</f>
        <v>39483395</v>
      </c>
      <c r="H9" s="327">
        <v>16268488</v>
      </c>
      <c r="I9" s="327">
        <v>1340795</v>
      </c>
      <c r="J9" s="327">
        <v>6142</v>
      </c>
      <c r="K9" s="327">
        <v>-258042</v>
      </c>
      <c r="L9" s="327">
        <f>H9+I9-J9+K9</f>
        <v>17345099</v>
      </c>
      <c r="M9" s="327">
        <f t="shared" ref="M9" si="0">G9-L9</f>
        <v>22138296</v>
      </c>
      <c r="N9" s="323"/>
      <c r="O9" s="323"/>
      <c r="P9" s="323"/>
      <c r="AL9" s="277"/>
    </row>
    <row r="10" spans="2:38" ht="18" customHeight="1">
      <c r="B10" s="326" t="s">
        <v>556</v>
      </c>
      <c r="C10" s="327">
        <v>6215473</v>
      </c>
      <c r="D10" s="327">
        <v>10322954</v>
      </c>
      <c r="E10" s="327">
        <v>134879</v>
      </c>
      <c r="F10" s="327"/>
      <c r="G10" s="327">
        <f>C10+D10-E10</f>
        <v>16403548</v>
      </c>
      <c r="H10" s="327">
        <v>2933221</v>
      </c>
      <c r="I10" s="327">
        <v>335605</v>
      </c>
      <c r="J10" s="327">
        <v>113056</v>
      </c>
      <c r="K10" s="327"/>
      <c r="L10" s="327">
        <f>H10+I10-J10</f>
        <v>3155770</v>
      </c>
      <c r="M10" s="327">
        <f>G10-L10</f>
        <v>13247778</v>
      </c>
      <c r="N10" s="323"/>
      <c r="O10" s="323"/>
      <c r="P10" s="323"/>
      <c r="AL10" s="277"/>
    </row>
    <row r="11" spans="2:38" ht="18" customHeight="1">
      <c r="B11" s="328" t="s">
        <v>575</v>
      </c>
      <c r="C11" s="361">
        <f>SUM(C7:C10)</f>
        <v>48972064</v>
      </c>
      <c r="D11" s="361">
        <f t="shared" ref="D11:M11" si="1">SUM(D7:D10)</f>
        <v>12923204</v>
      </c>
      <c r="E11" s="361">
        <f t="shared" si="1"/>
        <v>336000</v>
      </c>
      <c r="F11" s="361"/>
      <c r="G11" s="361">
        <f t="shared" si="1"/>
        <v>61559268</v>
      </c>
      <c r="H11" s="361">
        <f t="shared" si="1"/>
        <v>21846451</v>
      </c>
      <c r="I11" s="361">
        <f t="shared" si="1"/>
        <v>2005093</v>
      </c>
      <c r="J11" s="361">
        <f t="shared" si="1"/>
        <v>211739</v>
      </c>
      <c r="K11" s="361"/>
      <c r="L11" s="361">
        <f t="shared" si="1"/>
        <v>23639805</v>
      </c>
      <c r="M11" s="361">
        <f t="shared" si="1"/>
        <v>37919463</v>
      </c>
      <c r="N11" s="323"/>
      <c r="O11" s="323"/>
      <c r="P11" s="323"/>
      <c r="AL11" s="277"/>
    </row>
    <row r="12" spans="2:38" ht="18" customHeight="1">
      <c r="B12" s="326" t="s">
        <v>528</v>
      </c>
      <c r="C12" s="327">
        <v>125997</v>
      </c>
      <c r="D12" s="327">
        <v>36785</v>
      </c>
      <c r="E12" s="327">
        <v>125997</v>
      </c>
      <c r="F12" s="327"/>
      <c r="G12" s="327">
        <f>C12+D12-E12</f>
        <v>36785</v>
      </c>
      <c r="H12" s="327"/>
      <c r="I12" s="327"/>
      <c r="J12" s="327"/>
      <c r="K12" s="327"/>
      <c r="L12" s="327">
        <v>0</v>
      </c>
      <c r="M12" s="327">
        <v>0</v>
      </c>
      <c r="N12" s="323"/>
      <c r="O12" s="323"/>
      <c r="P12" s="323"/>
      <c r="AL12" s="277"/>
    </row>
    <row r="13" spans="2:38" ht="18" customHeight="1">
      <c r="B13" s="328" t="s">
        <v>574</v>
      </c>
      <c r="C13" s="361">
        <f t="shared" ref="C13:L13" si="2">C11+C12</f>
        <v>49098061</v>
      </c>
      <c r="D13" s="361">
        <f t="shared" si="2"/>
        <v>12959989</v>
      </c>
      <c r="E13" s="361">
        <f t="shared" si="2"/>
        <v>461997</v>
      </c>
      <c r="F13" s="361"/>
      <c r="G13" s="361">
        <f t="shared" si="2"/>
        <v>61596053</v>
      </c>
      <c r="H13" s="361">
        <f t="shared" si="2"/>
        <v>21846451</v>
      </c>
      <c r="I13" s="361">
        <f t="shared" si="2"/>
        <v>2005093</v>
      </c>
      <c r="J13" s="361">
        <f t="shared" si="2"/>
        <v>211739</v>
      </c>
      <c r="K13" s="361"/>
      <c r="L13" s="361">
        <f t="shared" si="2"/>
        <v>23639805</v>
      </c>
      <c r="M13" s="361">
        <f>G13-L13</f>
        <v>37956248</v>
      </c>
      <c r="O13" s="323"/>
      <c r="P13" s="323"/>
      <c r="AL13" s="277"/>
    </row>
    <row r="14" spans="2:38" ht="18" customHeight="1">
      <c r="B14" s="323"/>
      <c r="C14" s="323"/>
      <c r="D14" s="323"/>
      <c r="E14" s="323"/>
      <c r="F14" s="323"/>
      <c r="G14" s="337" t="s">
        <v>617</v>
      </c>
      <c r="H14" s="323"/>
      <c r="I14" s="323"/>
      <c r="J14" s="323"/>
      <c r="K14" s="323"/>
      <c r="L14" s="337" t="s">
        <v>617</v>
      </c>
      <c r="M14" s="337" t="s">
        <v>617</v>
      </c>
      <c r="N14" s="323"/>
      <c r="O14" s="323"/>
      <c r="P14" s="323"/>
      <c r="AL14" s="277"/>
    </row>
    <row r="15" spans="2:38" ht="18" customHeight="1">
      <c r="B15" s="323"/>
      <c r="C15" s="323"/>
      <c r="D15" s="323"/>
      <c r="E15" s="323"/>
      <c r="F15" s="323"/>
      <c r="G15" s="323"/>
      <c r="H15" s="323" t="s">
        <v>618</v>
      </c>
      <c r="I15" s="323"/>
      <c r="J15" s="323"/>
      <c r="K15" s="323"/>
      <c r="L15" s="323"/>
      <c r="M15" s="323"/>
      <c r="N15" s="323"/>
      <c r="O15" s="323"/>
      <c r="P15" s="323"/>
      <c r="AL15" s="277"/>
    </row>
    <row r="16" spans="2:38" ht="18" customHeight="1">
      <c r="B16" s="323"/>
      <c r="C16" s="323"/>
      <c r="D16" s="323"/>
      <c r="E16" s="323"/>
      <c r="F16" s="323"/>
      <c r="G16" s="323"/>
      <c r="H16" s="323"/>
      <c r="I16" s="323"/>
      <c r="J16" s="323"/>
      <c r="K16" s="323"/>
      <c r="L16" s="323"/>
      <c r="M16" s="323"/>
      <c r="N16" s="323"/>
      <c r="O16" s="323"/>
      <c r="P16" s="323"/>
      <c r="AL16" s="277"/>
    </row>
    <row r="17" spans="2:38" ht="18" customHeight="1">
      <c r="B17" s="325" t="s">
        <v>579</v>
      </c>
      <c r="C17" s="320" t="s">
        <v>7</v>
      </c>
      <c r="D17" s="323"/>
      <c r="E17" s="323"/>
      <c r="F17" s="323"/>
      <c r="G17" s="323"/>
      <c r="H17" s="323"/>
      <c r="I17" s="323"/>
      <c r="J17" s="323"/>
      <c r="K17" s="323"/>
      <c r="L17" s="323"/>
      <c r="M17" s="323"/>
      <c r="N17" s="323"/>
      <c r="O17" s="323"/>
      <c r="P17" s="323"/>
      <c r="AL17" s="277"/>
    </row>
    <row r="18" spans="2:38" ht="18" customHeight="1">
      <c r="B18" s="326" t="s">
        <v>554</v>
      </c>
      <c r="C18" s="327">
        <v>0</v>
      </c>
      <c r="D18" s="323"/>
      <c r="E18" s="323"/>
      <c r="F18" s="323"/>
      <c r="G18" s="323"/>
      <c r="H18" s="323"/>
      <c r="I18" s="323"/>
      <c r="J18" s="323"/>
      <c r="K18" s="323"/>
      <c r="L18" s="323"/>
      <c r="M18" s="323"/>
      <c r="N18" s="323"/>
      <c r="O18" s="323"/>
      <c r="P18" s="323"/>
      <c r="AL18" s="277"/>
    </row>
    <row r="19" spans="2:38" ht="18" customHeight="1">
      <c r="B19" s="326" t="s">
        <v>498</v>
      </c>
      <c r="C19" s="327">
        <v>0</v>
      </c>
      <c r="D19" s="323"/>
      <c r="E19" s="323"/>
      <c r="F19" s="323"/>
      <c r="G19" s="323"/>
      <c r="H19" s="323"/>
      <c r="I19" s="323"/>
      <c r="J19" s="323"/>
      <c r="K19" s="323"/>
      <c r="L19" s="323"/>
      <c r="M19" s="323"/>
      <c r="N19" s="323"/>
      <c r="O19" s="323"/>
      <c r="P19" s="323"/>
      <c r="AL19" s="277"/>
    </row>
    <row r="20" spans="2:38" ht="18" customHeight="1">
      <c r="B20" s="326" t="s">
        <v>555</v>
      </c>
      <c r="C20" s="327">
        <v>0</v>
      </c>
      <c r="D20" s="323"/>
      <c r="E20" s="323"/>
      <c r="F20" s="323"/>
      <c r="G20" s="323"/>
      <c r="H20" s="323"/>
      <c r="I20" s="323"/>
      <c r="J20" s="323"/>
      <c r="K20" s="323"/>
      <c r="L20" s="323"/>
      <c r="M20" s="323"/>
      <c r="N20" s="323"/>
      <c r="O20" s="323"/>
      <c r="P20" s="323"/>
      <c r="AL20" s="277"/>
    </row>
    <row r="21" spans="2:38" ht="18" customHeight="1">
      <c r="B21" s="326" t="s">
        <v>556</v>
      </c>
      <c r="C21" s="327">
        <v>354927</v>
      </c>
      <c r="D21" s="323"/>
      <c r="E21" s="323"/>
      <c r="F21" s="323"/>
      <c r="G21" s="323"/>
      <c r="H21" s="323"/>
      <c r="I21" s="323"/>
      <c r="J21" s="323"/>
      <c r="K21" s="323"/>
      <c r="L21" s="323"/>
      <c r="M21" s="323"/>
      <c r="N21" s="323"/>
      <c r="O21" s="323"/>
      <c r="P21" s="323"/>
      <c r="AL21" s="277"/>
    </row>
    <row r="22" spans="2:38" ht="18" customHeight="1">
      <c r="AL22" s="277"/>
    </row>
    <row r="23" spans="2:38" ht="15" customHeight="1">
      <c r="AL23" s="277"/>
    </row>
    <row r="24" spans="2:38" ht="15" customHeight="1">
      <c r="AL24" s="277"/>
    </row>
  </sheetData>
  <mergeCells count="2">
    <mergeCell ref="C5:G5"/>
    <mergeCell ref="H5:L5"/>
  </mergeCells>
  <pageMargins left="0.75" right="0.75" top="1" bottom="1" header="0.5" footer="0.5"/>
  <pageSetup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showGridLines="0" workbookViewId="0">
      <selection activeCell="B6" sqref="B6"/>
    </sheetView>
  </sheetViews>
  <sheetFormatPr defaultRowHeight="15" customHeight="1"/>
  <cols>
    <col min="1" max="1" width="3.33203125" style="277" customWidth="1"/>
    <col min="2" max="2" width="19.77734375" style="278" customWidth="1"/>
    <col min="3" max="3" width="15.6640625" style="277" customWidth="1"/>
    <col min="4" max="4" width="14.33203125" style="277" customWidth="1"/>
    <col min="5" max="5" width="13.6640625" style="277" customWidth="1"/>
    <col min="6" max="6" width="15.109375" style="277" customWidth="1"/>
    <col min="7" max="7" width="13.6640625" style="277" customWidth="1"/>
    <col min="8" max="8" width="15.109375" style="277" customWidth="1"/>
    <col min="9" max="9" width="12" style="277" customWidth="1"/>
    <col min="10" max="10" width="13" style="277" customWidth="1"/>
    <col min="11" max="11" width="12.33203125" style="277" customWidth="1"/>
    <col min="12" max="16384" width="8.88671875" style="277"/>
  </cols>
  <sheetData>
    <row r="1" spans="2:14" ht="20.100000000000001" customHeight="1">
      <c r="B1" s="299" t="str">
        <f>EntityName</f>
        <v>Elk River, MN</v>
      </c>
      <c r="C1" s="303"/>
      <c r="D1" s="303"/>
    </row>
    <row r="2" spans="2:14" ht="20.100000000000001" customHeight="1">
      <c r="B2" s="300" t="s">
        <v>541</v>
      </c>
      <c r="C2" s="305"/>
      <c r="D2" s="305"/>
      <c r="E2" s="296"/>
      <c r="F2" s="296"/>
      <c r="G2" s="296"/>
      <c r="H2" s="296"/>
      <c r="I2" s="296"/>
    </row>
    <row r="3" spans="2:14" ht="20.100000000000001" customHeight="1">
      <c r="B3" s="301">
        <f>FilingDate</f>
        <v>42735</v>
      </c>
      <c r="C3" s="303"/>
      <c r="D3" s="303"/>
    </row>
    <row r="4" spans="2:14" ht="20.100000000000001" customHeight="1">
      <c r="B4" s="304"/>
      <c r="C4" s="303"/>
      <c r="D4" s="303"/>
    </row>
    <row r="5" spans="2:14" ht="20.100000000000001" customHeight="1">
      <c r="B5" s="306">
        <f>J11</f>
        <v>198194</v>
      </c>
      <c r="C5" s="312" t="s">
        <v>565</v>
      </c>
      <c r="D5" s="303"/>
    </row>
    <row r="6" spans="2:14" ht="20.100000000000001" customHeight="1">
      <c r="B6" s="306">
        <f>H31</f>
        <v>13086218</v>
      </c>
      <c r="C6" s="312" t="s">
        <v>571</v>
      </c>
      <c r="D6" s="303"/>
    </row>
    <row r="7" spans="2:14" ht="15" customHeight="1">
      <c r="B7" s="282"/>
      <c r="C7" s="282"/>
    </row>
    <row r="8" spans="2:14" ht="18" customHeight="1">
      <c r="B8" s="282"/>
      <c r="C8" s="282"/>
      <c r="I8" s="329" t="s">
        <v>620</v>
      </c>
    </row>
    <row r="9" spans="2:14" ht="18" customHeight="1">
      <c r="B9" s="412" t="s">
        <v>503</v>
      </c>
      <c r="C9" s="412"/>
      <c r="D9" s="412"/>
      <c r="E9" s="412"/>
      <c r="F9" s="412"/>
      <c r="G9" s="412"/>
      <c r="H9" s="412"/>
      <c r="I9" s="412"/>
      <c r="J9" s="323"/>
      <c r="K9" s="323"/>
      <c r="L9" s="323"/>
      <c r="M9" s="323"/>
      <c r="N9" s="323"/>
    </row>
    <row r="10" spans="2:14" ht="18" customHeight="1">
      <c r="B10" s="320" t="s">
        <v>500</v>
      </c>
      <c r="C10" s="321" t="s">
        <v>601</v>
      </c>
      <c r="D10" s="321" t="s">
        <v>602</v>
      </c>
      <c r="E10" s="321" t="s">
        <v>603</v>
      </c>
      <c r="F10" s="321" t="s">
        <v>634</v>
      </c>
      <c r="G10" s="321" t="s">
        <v>635</v>
      </c>
      <c r="H10" s="321" t="s">
        <v>499</v>
      </c>
      <c r="I10" s="321" t="s">
        <v>578</v>
      </c>
      <c r="J10" s="321" t="s">
        <v>502</v>
      </c>
      <c r="L10" s="323"/>
      <c r="M10" s="323"/>
      <c r="N10" s="323"/>
    </row>
    <row r="11" spans="2:14" ht="18" customHeight="1">
      <c r="B11" s="322">
        <v>2016</v>
      </c>
      <c r="C11" s="352">
        <v>41650</v>
      </c>
      <c r="D11" s="352">
        <v>23390</v>
      </c>
      <c r="E11" s="352">
        <v>21325</v>
      </c>
      <c r="F11" s="352">
        <v>124687</v>
      </c>
      <c r="G11" s="352">
        <v>14684</v>
      </c>
      <c r="H11" s="352">
        <f>C11+D11+E11+F11+G11</f>
        <v>225736</v>
      </c>
      <c r="I11" s="352">
        <f>6139-33681</f>
        <v>-27542</v>
      </c>
      <c r="J11" s="352">
        <f t="shared" ref="J11:J18" si="0">H11+I11</f>
        <v>198194</v>
      </c>
      <c r="K11" s="323" t="s">
        <v>619</v>
      </c>
      <c r="L11" s="323"/>
      <c r="M11" s="323"/>
      <c r="N11" s="323"/>
    </row>
    <row r="12" spans="2:14" ht="18" customHeight="1">
      <c r="B12" s="322">
        <v>2017</v>
      </c>
      <c r="C12" s="352"/>
      <c r="D12" s="352">
        <v>21150</v>
      </c>
      <c r="E12" s="352">
        <v>16600</v>
      </c>
      <c r="F12" s="352">
        <v>286337</v>
      </c>
      <c r="G12" s="352">
        <v>31521</v>
      </c>
      <c r="H12" s="352">
        <f t="shared" ref="H12:H18" si="1">C12+D12+E12+F12+G12</f>
        <v>355608</v>
      </c>
      <c r="I12" s="352"/>
      <c r="J12" s="352">
        <f t="shared" si="0"/>
        <v>355608</v>
      </c>
      <c r="K12" s="323"/>
      <c r="L12" s="323"/>
      <c r="M12" s="323"/>
      <c r="N12" s="323"/>
    </row>
    <row r="13" spans="2:14" ht="18" customHeight="1">
      <c r="B13" s="322">
        <v>2018</v>
      </c>
      <c r="C13" s="352"/>
      <c r="D13" s="352">
        <v>18026</v>
      </c>
      <c r="E13" s="352">
        <v>8400</v>
      </c>
      <c r="F13" s="352">
        <v>273425</v>
      </c>
      <c r="G13" s="352">
        <v>25600</v>
      </c>
      <c r="H13" s="352">
        <f t="shared" si="1"/>
        <v>325451</v>
      </c>
      <c r="I13" s="352"/>
      <c r="J13" s="352">
        <f t="shared" si="0"/>
        <v>325451</v>
      </c>
      <c r="K13" s="323"/>
      <c r="L13" s="323"/>
      <c r="M13" s="323"/>
      <c r="N13" s="323"/>
    </row>
    <row r="14" spans="2:14" ht="18" customHeight="1">
      <c r="B14" s="322">
        <v>2019</v>
      </c>
      <c r="C14" s="352"/>
      <c r="D14" s="352">
        <v>14827</v>
      </c>
      <c r="E14" s="352"/>
      <c r="F14" s="352">
        <v>265225</v>
      </c>
      <c r="G14" s="352">
        <v>21150</v>
      </c>
      <c r="H14" s="352">
        <f t="shared" si="1"/>
        <v>301202</v>
      </c>
      <c r="I14" s="352"/>
      <c r="J14" s="352">
        <f t="shared" si="0"/>
        <v>301202</v>
      </c>
      <c r="K14" s="323"/>
      <c r="L14" s="323"/>
      <c r="M14" s="323"/>
      <c r="N14" s="323"/>
    </row>
    <row r="15" spans="2:14" ht="18" customHeight="1">
      <c r="B15" s="322">
        <v>2020</v>
      </c>
      <c r="C15" s="352"/>
      <c r="D15" s="352">
        <v>11480</v>
      </c>
      <c r="E15" s="352"/>
      <c r="F15" s="352">
        <v>248325</v>
      </c>
      <c r="G15" s="352">
        <v>16600</v>
      </c>
      <c r="H15" s="352">
        <f t="shared" si="1"/>
        <v>276405</v>
      </c>
      <c r="I15" s="352"/>
      <c r="J15" s="352">
        <f t="shared" si="0"/>
        <v>276405</v>
      </c>
      <c r="K15" s="323"/>
      <c r="L15" s="323"/>
      <c r="M15" s="323"/>
      <c r="N15" s="323"/>
    </row>
    <row r="16" spans="2:14" ht="18" customHeight="1">
      <c r="B16" s="322">
        <v>2021</v>
      </c>
      <c r="C16" s="352"/>
      <c r="D16" s="352">
        <v>9967</v>
      </c>
      <c r="E16" s="352"/>
      <c r="F16" s="352">
        <v>230725</v>
      </c>
      <c r="G16" s="352">
        <v>11950</v>
      </c>
      <c r="H16" s="352">
        <f t="shared" si="1"/>
        <v>252642</v>
      </c>
      <c r="I16" s="352"/>
      <c r="J16" s="352">
        <f t="shared" si="0"/>
        <v>252642</v>
      </c>
      <c r="K16" s="323"/>
      <c r="L16" s="323"/>
      <c r="M16" s="323"/>
      <c r="N16" s="323"/>
    </row>
    <row r="17" spans="2:14" ht="18" customHeight="1">
      <c r="B17" s="322">
        <v>2022</v>
      </c>
      <c r="C17" s="352"/>
      <c r="D17" s="352">
        <v>4307</v>
      </c>
      <c r="E17" s="352"/>
      <c r="F17" s="352">
        <v>214775</v>
      </c>
      <c r="G17" s="352">
        <v>4800</v>
      </c>
      <c r="H17" s="352">
        <f t="shared" si="1"/>
        <v>223882</v>
      </c>
      <c r="I17" s="352"/>
      <c r="J17" s="352">
        <f t="shared" si="0"/>
        <v>223882</v>
      </c>
      <c r="K17" s="323"/>
      <c r="L17" s="323"/>
      <c r="M17" s="323"/>
      <c r="N17" s="323"/>
    </row>
    <row r="18" spans="2:14" ht="18" customHeight="1">
      <c r="B18" s="322" t="s">
        <v>636</v>
      </c>
      <c r="C18" s="352"/>
      <c r="D18" s="352">
        <v>334</v>
      </c>
      <c r="E18" s="352"/>
      <c r="F18" s="352">
        <v>1573400</v>
      </c>
      <c r="G18" s="352"/>
      <c r="H18" s="352">
        <f t="shared" si="1"/>
        <v>1573734</v>
      </c>
      <c r="I18" s="352"/>
      <c r="J18" s="352">
        <f t="shared" si="0"/>
        <v>1573734</v>
      </c>
      <c r="K18" s="323"/>
      <c r="L18" s="323"/>
      <c r="M18" s="323"/>
      <c r="N18" s="323"/>
    </row>
    <row r="19" spans="2:14" ht="18" customHeight="1">
      <c r="B19" s="386" t="s">
        <v>606</v>
      </c>
      <c r="C19" s="330"/>
      <c r="D19" s="330"/>
      <c r="E19" s="330"/>
      <c r="F19" s="330"/>
      <c r="G19" s="330"/>
      <c r="H19" s="330"/>
      <c r="I19" s="330"/>
      <c r="J19" s="323"/>
      <c r="K19" s="323"/>
      <c r="L19" s="323"/>
      <c r="M19" s="323"/>
      <c r="N19" s="323"/>
    </row>
    <row r="20" spans="2:14" ht="18" customHeight="1">
      <c r="B20" s="331"/>
      <c r="C20" s="332"/>
      <c r="D20" s="332"/>
      <c r="E20" s="332"/>
      <c r="F20" s="332"/>
      <c r="G20" s="332"/>
      <c r="H20" s="332"/>
      <c r="I20" s="332"/>
      <c r="J20" s="323"/>
      <c r="K20" s="323"/>
      <c r="L20" s="323"/>
      <c r="M20" s="323"/>
      <c r="N20" s="323"/>
    </row>
    <row r="21" spans="2:14" ht="18" customHeight="1">
      <c r="B21" s="412" t="s">
        <v>501</v>
      </c>
      <c r="C21" s="412"/>
      <c r="D21" s="412"/>
      <c r="E21" s="412"/>
      <c r="F21" s="412"/>
      <c r="G21" s="412"/>
      <c r="H21" s="412"/>
      <c r="I21" s="412"/>
      <c r="J21" s="323"/>
      <c r="K21" s="323"/>
      <c r="L21" s="323"/>
      <c r="M21" s="323"/>
      <c r="N21" s="323"/>
    </row>
    <row r="22" spans="2:14" ht="18" customHeight="1">
      <c r="B22" s="320" t="s">
        <v>500</v>
      </c>
      <c r="C22" s="321" t="s">
        <v>601</v>
      </c>
      <c r="D22" s="321" t="s">
        <v>602</v>
      </c>
      <c r="E22" s="321" t="s">
        <v>603</v>
      </c>
      <c r="F22" s="321" t="s">
        <v>634</v>
      </c>
      <c r="G22" s="321" t="s">
        <v>635</v>
      </c>
      <c r="H22" s="321" t="s">
        <v>499</v>
      </c>
      <c r="I22" s="333"/>
      <c r="J22" s="323"/>
      <c r="K22" s="323"/>
      <c r="L22" s="323"/>
      <c r="M22" s="323"/>
      <c r="N22" s="323"/>
    </row>
    <row r="23" spans="2:14" ht="18" customHeight="1">
      <c r="B23" s="334">
        <v>2016</v>
      </c>
      <c r="C23" s="353"/>
      <c r="D23" s="353">
        <v>72000</v>
      </c>
      <c r="E23" s="353">
        <v>405000</v>
      </c>
      <c r="F23" s="353"/>
      <c r="G23" s="353"/>
      <c r="H23" s="353">
        <f>C23+D23+E23+F23+G23</f>
        <v>477000</v>
      </c>
      <c r="I23" s="335"/>
      <c r="J23" s="323"/>
      <c r="K23" s="323"/>
      <c r="L23" s="323"/>
      <c r="M23" s="323"/>
      <c r="N23" s="323"/>
    </row>
    <row r="24" spans="2:14" ht="18" customHeight="1">
      <c r="B24" s="334">
        <v>2017</v>
      </c>
      <c r="C24" s="353"/>
      <c r="D24" s="353">
        <f>76000+3316.86</f>
        <v>79316.86</v>
      </c>
      <c r="E24" s="353">
        <f>410000+13910.16</f>
        <v>423910.16</v>
      </c>
      <c r="F24" s="353"/>
      <c r="G24" s="353">
        <f>220000+10845.6</f>
        <v>230845.6</v>
      </c>
      <c r="H24" s="353">
        <f>C24+D24+E24+F24+G24</f>
        <v>734072.62</v>
      </c>
      <c r="I24" s="335"/>
      <c r="J24" s="323"/>
      <c r="K24" s="323"/>
      <c r="L24" s="323"/>
      <c r="M24" s="323"/>
      <c r="N24" s="323"/>
    </row>
    <row r="25" spans="2:14" ht="18" customHeight="1">
      <c r="B25" s="334">
        <v>2018</v>
      </c>
      <c r="C25" s="353"/>
      <c r="D25" s="353">
        <f>80000+3316.86</f>
        <v>83316.86</v>
      </c>
      <c r="E25" s="353">
        <f>420000+8114.84</f>
        <v>428114.84</v>
      </c>
      <c r="F25" s="353"/>
      <c r="G25" s="353">
        <f>220000+10845.6</f>
        <v>230845.6</v>
      </c>
      <c r="H25" s="353">
        <f t="shared" ref="H25:H30" si="2">C25+D25+E25+F25+G25</f>
        <v>742277.3</v>
      </c>
      <c r="I25" s="335"/>
      <c r="J25" s="323"/>
      <c r="K25" s="323"/>
      <c r="L25" s="323"/>
      <c r="M25" s="323"/>
      <c r="N25" s="323"/>
    </row>
    <row r="26" spans="2:14" ht="18" customHeight="1">
      <c r="B26" s="334">
        <v>2019</v>
      </c>
      <c r="C26" s="353"/>
      <c r="D26" s="353">
        <f>80000+3316.86</f>
        <v>83316.86</v>
      </c>
      <c r="E26" s="353"/>
      <c r="F26" s="353">
        <f>410000+22721.76</f>
        <v>432721.76</v>
      </c>
      <c r="G26" s="353">
        <f>225000+10845.6</f>
        <v>235845.6</v>
      </c>
      <c r="H26" s="353">
        <f t="shared" si="2"/>
        <v>751884.22</v>
      </c>
      <c r="I26" s="335"/>
      <c r="J26" s="323"/>
      <c r="K26" s="323"/>
      <c r="L26" s="323"/>
      <c r="M26" s="323"/>
      <c r="N26" s="323"/>
    </row>
    <row r="27" spans="2:14" ht="18" customHeight="1">
      <c r="B27" s="334">
        <v>2020</v>
      </c>
      <c r="C27" s="353"/>
      <c r="D27" s="353">
        <f>84000+3316.86</f>
        <v>87316.86</v>
      </c>
      <c r="E27" s="353">
        <v>0</v>
      </c>
      <c r="F27" s="353">
        <f>435000+22721.76</f>
        <v>457721.76</v>
      </c>
      <c r="G27" s="353">
        <f>230000+10845.6</f>
        <v>240845.6</v>
      </c>
      <c r="H27" s="353">
        <f t="shared" si="2"/>
        <v>785884.22</v>
      </c>
      <c r="I27" s="335"/>
      <c r="J27" s="323"/>
      <c r="K27" s="323"/>
      <c r="L27" s="323"/>
      <c r="M27" s="323"/>
      <c r="N27" s="323"/>
    </row>
    <row r="28" spans="2:14" ht="18" customHeight="1">
      <c r="B28" s="334">
        <v>2021</v>
      </c>
      <c r="C28" s="353"/>
      <c r="D28" s="353">
        <f>88000+3316.86</f>
        <v>91316.86</v>
      </c>
      <c r="E28" s="353">
        <v>0</v>
      </c>
      <c r="F28" s="353">
        <f>445000+22721.76</f>
        <v>467721.76</v>
      </c>
      <c r="G28" s="353">
        <f>235000+10845.6</f>
        <v>245845.6</v>
      </c>
      <c r="H28" s="353">
        <f t="shared" si="2"/>
        <v>804884.22</v>
      </c>
      <c r="I28" s="335"/>
      <c r="J28" s="323"/>
      <c r="K28" s="323"/>
      <c r="L28" s="323"/>
      <c r="M28" s="323"/>
      <c r="N28" s="323"/>
    </row>
    <row r="29" spans="2:14" ht="18" customHeight="1">
      <c r="B29" s="334">
        <v>2022</v>
      </c>
      <c r="C29" s="353"/>
      <c r="D29" s="353">
        <f>92000+3316.86</f>
        <v>95316.86</v>
      </c>
      <c r="E29" s="353">
        <v>0</v>
      </c>
      <c r="F29" s="353">
        <f>470000+22721.76</f>
        <v>492721.76</v>
      </c>
      <c r="G29" s="353">
        <f>240000+904</f>
        <v>240904</v>
      </c>
      <c r="H29" s="353">
        <f t="shared" si="2"/>
        <v>828942.62</v>
      </c>
      <c r="I29" s="335"/>
      <c r="J29" s="323"/>
      <c r="K29" s="323"/>
      <c r="L29" s="323"/>
      <c r="M29" s="323"/>
      <c r="N29" s="323"/>
    </row>
    <row r="30" spans="2:14" ht="18" customHeight="1">
      <c r="B30" s="334" t="s">
        <v>636</v>
      </c>
      <c r="C30" s="353"/>
      <c r="D30" s="353">
        <f>100000+551.84</f>
        <v>100551.84</v>
      </c>
      <c r="E30" s="353">
        <v>0</v>
      </c>
      <c r="F30" s="353">
        <f>7995000+342720.96</f>
        <v>8337720.96</v>
      </c>
      <c r="G30" s="353"/>
      <c r="H30" s="353">
        <f t="shared" si="2"/>
        <v>8438272.8000000007</v>
      </c>
      <c r="I30" s="335"/>
      <c r="J30" s="323"/>
      <c r="K30" s="323"/>
      <c r="L30" s="323"/>
      <c r="M30" s="323"/>
      <c r="N30" s="323"/>
    </row>
    <row r="31" spans="2:14" ht="18" customHeight="1">
      <c r="B31" s="362" t="s">
        <v>566</v>
      </c>
      <c r="C31" s="363">
        <f t="shared" ref="C31:H31" si="3">SUM(C24:C30)</f>
        <v>0</v>
      </c>
      <c r="D31" s="363">
        <f t="shared" si="3"/>
        <v>620453</v>
      </c>
      <c r="E31" s="363">
        <f t="shared" si="3"/>
        <v>852025</v>
      </c>
      <c r="F31" s="363">
        <f t="shared" si="3"/>
        <v>10188608</v>
      </c>
      <c r="G31" s="363">
        <f t="shared" si="3"/>
        <v>1425132</v>
      </c>
      <c r="H31" s="363">
        <f t="shared" si="3"/>
        <v>13086218</v>
      </c>
      <c r="I31" s="323" t="s">
        <v>621</v>
      </c>
      <c r="J31" s="336"/>
      <c r="K31" s="393"/>
      <c r="L31" s="323"/>
      <c r="M31" s="323"/>
      <c r="N31" s="323"/>
    </row>
    <row r="32" spans="2:14" ht="18" customHeight="1">
      <c r="B32" s="337"/>
      <c r="C32" s="323"/>
      <c r="D32" s="323"/>
      <c r="E32" s="323"/>
      <c r="F32" s="323"/>
      <c r="G32" s="323"/>
      <c r="H32" s="323"/>
      <c r="I32" s="323"/>
      <c r="J32" s="323"/>
      <c r="K32" s="323"/>
      <c r="L32" s="323"/>
      <c r="M32" s="323"/>
      <c r="N32" s="323"/>
    </row>
    <row r="33" spans="2:14" ht="18" customHeight="1">
      <c r="B33" s="337"/>
      <c r="C33" s="323"/>
      <c r="D33" s="323"/>
      <c r="E33" s="329" t="s">
        <v>622</v>
      </c>
      <c r="F33" s="329"/>
      <c r="G33" s="329"/>
      <c r="H33" s="323"/>
      <c r="I33" s="323"/>
      <c r="J33" s="323"/>
      <c r="K33" s="323"/>
      <c r="L33" s="323"/>
      <c r="M33" s="323"/>
      <c r="N33" s="323"/>
    </row>
    <row r="34" spans="2:14" ht="18" customHeight="1">
      <c r="H34" s="384"/>
      <c r="I34" s="280"/>
    </row>
    <row r="35" spans="2:14" ht="18" customHeight="1">
      <c r="H35" s="384"/>
      <c r="I35" s="280"/>
    </row>
    <row r="36" spans="2:14" ht="18" customHeight="1">
      <c r="H36" s="385"/>
    </row>
    <row r="37" spans="2:14" ht="18" customHeight="1"/>
    <row r="44" spans="2:14" ht="15" customHeight="1">
      <c r="B44" s="277"/>
    </row>
    <row r="45" spans="2:14" ht="15" customHeight="1">
      <c r="B45" s="277"/>
    </row>
    <row r="46" spans="2:14" ht="15" customHeight="1">
      <c r="B46" s="277"/>
    </row>
    <row r="47" spans="2:14" ht="15" customHeight="1">
      <c r="B47" s="277"/>
    </row>
    <row r="48" spans="2:14" ht="15" customHeight="1">
      <c r="B48" s="277"/>
    </row>
    <row r="49" spans="2:2" ht="15" customHeight="1">
      <c r="B49" s="277"/>
    </row>
    <row r="50" spans="2:2" ht="15" customHeight="1">
      <c r="B50" s="277"/>
    </row>
    <row r="51" spans="2:2" ht="15" customHeight="1">
      <c r="B51" s="277"/>
    </row>
    <row r="52" spans="2:2" ht="15" customHeight="1">
      <c r="B52" s="277"/>
    </row>
    <row r="53" spans="2:2" ht="15" customHeight="1">
      <c r="B53" s="277"/>
    </row>
    <row r="54" spans="2:2" ht="15" customHeight="1">
      <c r="B54" s="277"/>
    </row>
    <row r="55" spans="2:2" ht="15" customHeight="1">
      <c r="B55" s="277"/>
    </row>
    <row r="56" spans="2:2" ht="15" customHeight="1">
      <c r="B56" s="279"/>
    </row>
    <row r="57" spans="2:2" ht="15" customHeight="1">
      <c r="B57" s="279"/>
    </row>
  </sheetData>
  <mergeCells count="2">
    <mergeCell ref="B9:I9"/>
    <mergeCell ref="B21:I21"/>
  </mergeCells>
  <pageMargins left="0.75" right="0.75" top="1" bottom="1" header="0.5" footer="0.5"/>
  <pageSetup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showGridLines="0" workbookViewId="0">
      <selection activeCell="C7" sqref="C7"/>
    </sheetView>
  </sheetViews>
  <sheetFormatPr defaultRowHeight="15" customHeight="1"/>
  <cols>
    <col min="1" max="1" width="3.33203125" style="277" customWidth="1"/>
    <col min="2" max="2" width="16.5546875" style="277" customWidth="1"/>
    <col min="3" max="4" width="14.109375" style="277" customWidth="1"/>
    <col min="5" max="5" width="13.21875" style="277" customWidth="1"/>
    <col min="6" max="6" width="8.88671875" style="277"/>
    <col min="7" max="7" width="10" style="277" bestFit="1" customWidth="1"/>
    <col min="8" max="8" width="11" style="277" bestFit="1" customWidth="1"/>
    <col min="9" max="16384" width="8.88671875" style="277"/>
  </cols>
  <sheetData>
    <row r="1" spans="2:8" ht="20.100000000000001" customHeight="1">
      <c r="B1" s="299" t="str">
        <f>EntityName</f>
        <v>Elk River, MN</v>
      </c>
      <c r="C1" s="303"/>
      <c r="D1" s="303"/>
      <c r="E1" s="303"/>
    </row>
    <row r="2" spans="2:8" ht="20.100000000000001" customHeight="1">
      <c r="B2" s="300" t="s">
        <v>543</v>
      </c>
      <c r="C2" s="305"/>
      <c r="D2" s="305"/>
      <c r="E2" s="303"/>
    </row>
    <row r="3" spans="2:8" ht="20.100000000000001" customHeight="1">
      <c r="B3" s="301">
        <f>FilingDate</f>
        <v>42735</v>
      </c>
      <c r="C3" s="303"/>
      <c r="D3" s="303"/>
      <c r="E3" s="303"/>
    </row>
    <row r="4" spans="2:8" ht="15" customHeight="1">
      <c r="B4" s="304"/>
      <c r="C4" s="303"/>
      <c r="D4" s="303"/>
      <c r="E4" s="303"/>
    </row>
    <row r="5" spans="2:8" ht="18" customHeight="1">
      <c r="B5" s="320" t="s">
        <v>559</v>
      </c>
      <c r="C5" s="320" t="s">
        <v>560</v>
      </c>
      <c r="D5" s="320" t="s">
        <v>607</v>
      </c>
      <c r="E5" s="320" t="s">
        <v>624</v>
      </c>
      <c r="G5" s="320">
        <v>2015</v>
      </c>
      <c r="H5" s="320">
        <v>2014</v>
      </c>
    </row>
    <row r="6" spans="2:8" ht="18" customHeight="1">
      <c r="B6" s="326" t="s">
        <v>554</v>
      </c>
      <c r="C6" s="351">
        <v>115323</v>
      </c>
      <c r="D6" s="351">
        <f>ProductionLabor</f>
        <v>115323</v>
      </c>
      <c r="E6" s="350">
        <f>ProductionLabor/LaborTotalNoAdmin</f>
        <v>0.12766091698271109</v>
      </c>
      <c r="G6" s="351">
        <v>112646</v>
      </c>
      <c r="H6" s="351">
        <v>51275</v>
      </c>
    </row>
    <row r="7" spans="2:8" ht="18" customHeight="1">
      <c r="B7" s="326" t="s">
        <v>498</v>
      </c>
      <c r="C7" s="351">
        <v>20908</v>
      </c>
      <c r="D7" s="351">
        <f>TransmissionLabor</f>
        <v>20908</v>
      </c>
      <c r="E7" s="350">
        <f>TransmissionLabor/LaborTotalNoAdmin</f>
        <v>2.3144857940519441E-2</v>
      </c>
      <c r="G7" s="351">
        <v>21224</v>
      </c>
      <c r="H7" s="351">
        <v>14799</v>
      </c>
    </row>
    <row r="8" spans="2:8" ht="18" customHeight="1">
      <c r="B8" s="326" t="s">
        <v>555</v>
      </c>
      <c r="C8" s="351">
        <v>719565</v>
      </c>
      <c r="D8" s="351">
        <f>DistributionLabor</f>
        <v>719565</v>
      </c>
      <c r="E8" s="350">
        <f>DistributionLabor/LaborTotalNoAdmin</f>
        <v>0.79654819705231839</v>
      </c>
      <c r="G8" s="351">
        <v>790336</v>
      </c>
      <c r="H8" s="351">
        <v>1006017</v>
      </c>
    </row>
    <row r="9" spans="2:8" ht="18" customHeight="1">
      <c r="B9" s="326" t="s">
        <v>497</v>
      </c>
      <c r="C9" s="351">
        <v>47558</v>
      </c>
      <c r="D9" s="351">
        <f>OtherLabor</f>
        <v>47558</v>
      </c>
      <c r="E9" s="350">
        <f>OtherLabor/LaborTotalNoAdmin</f>
        <v>5.2646028024451098E-2</v>
      </c>
      <c r="G9" s="351">
        <v>50484</v>
      </c>
      <c r="H9" s="351">
        <v>199233</v>
      </c>
    </row>
    <row r="10" spans="2:8" ht="18" customHeight="1">
      <c r="B10" s="326" t="s">
        <v>558</v>
      </c>
      <c r="C10" s="351">
        <v>158182</v>
      </c>
      <c r="D10" s="351">
        <v>0</v>
      </c>
      <c r="E10" s="350">
        <v>0</v>
      </c>
      <c r="G10" s="351"/>
      <c r="H10" s="351"/>
    </row>
    <row r="11" spans="2:8" ht="18" customHeight="1">
      <c r="B11" s="364" t="s">
        <v>553</v>
      </c>
      <c r="C11" s="366">
        <f>SUM(C6:C10)</f>
        <v>1061536</v>
      </c>
      <c r="D11" s="366">
        <f>SUM(D6:D10)</f>
        <v>903354</v>
      </c>
      <c r="E11" s="365">
        <f>SUM(E6:E10)</f>
        <v>1</v>
      </c>
      <c r="G11" s="366">
        <f>SUM(G6:G10)</f>
        <v>974690</v>
      </c>
      <c r="H11" s="366">
        <f>SUM(H6:H10)</f>
        <v>1271324</v>
      </c>
    </row>
    <row r="12" spans="2:8" ht="18" customHeight="1">
      <c r="B12" s="303"/>
      <c r="C12" s="303"/>
      <c r="D12" s="303"/>
      <c r="E12" s="303"/>
    </row>
    <row r="13" spans="2:8" ht="15" customHeight="1">
      <c r="B13" s="303"/>
      <c r="C13" s="303"/>
      <c r="D13" s="303"/>
      <c r="E13" s="303"/>
    </row>
    <row r="14" spans="2:8" ht="15" customHeight="1">
      <c r="B14" s="303"/>
      <c r="C14" s="303"/>
      <c r="D14" s="303"/>
      <c r="E14" s="303"/>
    </row>
    <row r="17" spans="3:3" ht="15" customHeight="1">
      <c r="C17" s="389"/>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37</vt:i4>
      </vt:variant>
    </vt:vector>
  </HeadingPairs>
  <TitlesOfParts>
    <vt:vector size="52"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LaborTotal</vt:lpstr>
      <vt:lpstr>LaborTotalNoAdmin</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2018-04-05T15:27:02Z</cp:lastPrinted>
  <dcterms:created xsi:type="dcterms:W3CDTF">2008-03-20T17:17:49Z</dcterms:created>
  <dcterms:modified xsi:type="dcterms:W3CDTF">2018-04-05T16:05:41Z</dcterms:modified>
</cp:coreProperties>
</file>