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K:\CPK Attachment O posting files\2018 Postings\City Attachment O\"/>
    </mc:Choice>
  </mc:AlternateContent>
  <bookViews>
    <workbookView xWindow="0" yWindow="0" windowWidth="28800" windowHeight="14175" tabRatio="723"/>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2" r:id="rId15"/>
  </sheets>
  <definedNames>
    <definedName name="AdminGeneralTotal">'S5_A&amp;G'!$C$5</definedName>
    <definedName name="AdminLabor">S3_Labor!$E$21</definedName>
    <definedName name="AttachO_Fees">S6_Other!$B$13</definedName>
    <definedName name="AveragePeak">PeakLoad!$B$5</definedName>
    <definedName name="CapitalizedLabor">S3_Labor!#REF!</definedName>
    <definedName name="CustomerAccountExpenses">'S5_A&amp;G'!$C$29</definedName>
    <definedName name="CWIP">S1_Plant!$F$12</definedName>
    <definedName name="Debt">S2_Debt!$B$6</definedName>
    <definedName name="DistributionLabor">S3_Labor!$E$19</definedName>
    <definedName name="DistributionLaborAllocator">S3_Labor!$D$9</definedName>
    <definedName name="DistributionPlant">S1_Plant!$F$9</definedName>
    <definedName name="DistributionPlantAD">S1_Plant!$J$9</definedName>
    <definedName name="ElectricRent">'412IS'!$C$17</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S3_Labor!#REF!</definedName>
    <definedName name="LaborTotalNoAdmin">S3_Labor!$D$12</definedName>
    <definedName name="NetworkRevenue">Rev_9!$B$5</definedName>
    <definedName name="NonNetworkRevenue">'Rev_7&amp;8'!$B$5</definedName>
    <definedName name="OtherLabor">S3_Labor!$E$20</definedName>
    <definedName name="OtherLaborAllocator">S3_Labor!$D$10</definedName>
    <definedName name="PayrollTaxes">S6_Other!$B$9</definedName>
    <definedName name="PILOT">S6_Other!$B$5</definedName>
    <definedName name="Prepayments">'412BS'!$C$43</definedName>
    <definedName name="_xlnm.Print_Area" localSheetId="2">'412IS'!$A$1:$C$31</definedName>
    <definedName name="_xlnm.Print_Area" localSheetId="0">Nonlevelized_EIA412!$A$1:$K$316</definedName>
    <definedName name="ProductionLabor">S3_Labor!$E$17</definedName>
    <definedName name="ProductionLaborAllocator">S3_Labor!$D$7</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$15:$15,'Rev_7&amp;8'!$16:$16,'Rev_7&amp;8'!$17:$17,'Rev_7&amp;8'!$18:$18,'Rev_7&amp;8'!#REF!,'Rev_7&amp;8'!#REF!,'Rev_7&amp;8'!#REF!,'Rev_7&amp;8'!#REF!</definedName>
    <definedName name="QB_DATA_1" localSheetId="12" hidden="1">'Rev_7&amp;8'!#REF!,'Rev_7&amp;8'!#REF!,'Rev_7&amp;8'!#REF!,'Rev_7&amp;8'!#REF!,'Rev_7&amp;8'!#REF!,'Rev_7&amp;8'!#REF!,'Rev_7&amp;8'!#REF!,'Rev_7&amp;8'!#REF!,'Rev_7&amp;8'!$20:$20,'Rev_7&amp;8'!$21:$21,'Rev_7&amp;8'!$22:$22,'Rev_7&amp;8'!$23:$23,'Rev_7&amp;8'!$24:$24,'Rev_7&amp;8'!$25:$25,'Rev_7&amp;8'!$26:$26,'Rev_7&amp;8'!$27:$27</definedName>
    <definedName name="QB_DATA_2" localSheetId="12" hidden="1">'Rev_7&amp;8'!$28:$28,'Rev_7&amp;8'!$29:$29,'Rev_7&amp;8'!$30:$30,'Rev_7&amp;8'!$31:$31,'Rev_7&amp;8'!#REF!,'Rev_7&amp;8'!#REF!,'Rev_7&amp;8'!#REF!,'Rev_7&amp;8'!#REF!,'Rev_7&amp;8'!#REF!,'Rev_7&amp;8'!#REF!,'Rev_7&amp;8'!#REF!,'Rev_7&amp;8'!#REF!,'Rev_7&amp;8'!#REF!,'Rev_7&amp;8'!#REF!,'Rev_7&amp;8'!#REF!,'Rev_7&amp;8'!#REF!</definedName>
    <definedName name="QB_DATA_3" localSheetId="12" hidden="1">'Rev_7&amp;8'!$34:$34</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S1_Plant!$H$8</definedName>
    <definedName name="TransmissionLabor">S3_Labor!$E$18</definedName>
    <definedName name="TransmissionLaborAllocator">S3_Labor!$D$8</definedName>
    <definedName name="TransmissionOM">S4_TransOM!$B$5</definedName>
    <definedName name="TransmissionPlant">S1_Plant!$F$8</definedName>
    <definedName name="TransmissionPlantAD">S1_Plant!$J$8</definedName>
  </definedNames>
  <calcPr calcId="171027"/>
</workbook>
</file>

<file path=xl/calcChain.xml><?xml version="1.0" encoding="utf-8"?>
<calcChain xmlns="http://schemas.openxmlformats.org/spreadsheetml/2006/main">
  <c r="E22" i="19" l="1"/>
  <c r="E23" i="19"/>
  <c r="E24" i="19"/>
  <c r="E25" i="19"/>
  <c r="E26" i="19"/>
  <c r="E27" i="19"/>
  <c r="E28" i="19"/>
  <c r="E29" i="19"/>
  <c r="E30" i="19"/>
  <c r="E31" i="19"/>
  <c r="E32" i="19"/>
  <c r="E21" i="19"/>
  <c r="E9" i="19"/>
  <c r="E10" i="19"/>
  <c r="E11" i="19"/>
  <c r="E12" i="19"/>
  <c r="E13" i="19"/>
  <c r="E14" i="19"/>
  <c r="E15" i="19"/>
  <c r="E16" i="19"/>
  <c r="E17" i="19"/>
  <c r="E18" i="19"/>
  <c r="E19" i="19"/>
  <c r="E8" i="19"/>
  <c r="C9" i="5"/>
  <c r="C19" i="5"/>
  <c r="E23" i="8"/>
  <c r="C30" i="17" l="1"/>
  <c r="C29" i="17"/>
  <c r="E9" i="20"/>
  <c r="E10" i="20"/>
  <c r="E11" i="20"/>
  <c r="E12" i="20"/>
  <c r="E13" i="20"/>
  <c r="E14" i="20"/>
  <c r="E15" i="20"/>
  <c r="E16" i="20"/>
  <c r="E17" i="20"/>
  <c r="E18" i="20"/>
  <c r="E19" i="20"/>
  <c r="E8" i="20"/>
  <c r="D22" i="13" l="1"/>
  <c r="C18" i="13"/>
  <c r="C19" i="13"/>
  <c r="C20" i="13"/>
  <c r="C21" i="13"/>
  <c r="C17" i="13"/>
  <c r="C16" i="8" l="1"/>
  <c r="J11" i="16"/>
  <c r="J7" i="16"/>
  <c r="C11" i="4"/>
  <c r="F44" i="4" l="1"/>
  <c r="F50" i="4"/>
  <c r="J10" i="16"/>
  <c r="F10" i="16"/>
  <c r="G18" i="6"/>
  <c r="G17" i="6"/>
  <c r="C35" i="4"/>
  <c r="C12" i="17"/>
  <c r="C11" i="17"/>
  <c r="C10" i="17"/>
  <c r="C13" i="17"/>
  <c r="C21" i="17" l="1"/>
  <c r="C14" i="17"/>
  <c r="C17" i="17"/>
  <c r="C16" i="17"/>
  <c r="C15" i="17"/>
  <c r="D7" i="13" l="1"/>
  <c r="K10" i="16"/>
  <c r="J9" i="16"/>
  <c r="F9" i="16"/>
  <c r="K9" i="16" s="1"/>
  <c r="J8" i="16"/>
  <c r="F8" i="16"/>
  <c r="K8" i="16" s="1"/>
  <c r="K7" i="16"/>
  <c r="F7" i="16"/>
  <c r="B3" i="16"/>
  <c r="C28" i="17" l="1"/>
  <c r="B9" i="18" l="1"/>
  <c r="C22" i="13" l="1"/>
  <c r="E19" i="13" l="1"/>
  <c r="E18" i="13"/>
  <c r="E21" i="13"/>
  <c r="D20" i="13"/>
  <c r="E20" i="13" s="1"/>
  <c r="E17" i="13" l="1"/>
  <c r="E22" i="13" s="1"/>
  <c r="E24" i="13" s="1"/>
  <c r="D25" i="8" l="1"/>
  <c r="D28" i="8"/>
  <c r="C27" i="17"/>
  <c r="C31" i="17"/>
  <c r="C12" i="13"/>
  <c r="D10" i="13"/>
  <c r="D9" i="13"/>
  <c r="D8" i="13"/>
  <c r="D12" i="13" l="1"/>
  <c r="E10" i="13" s="1"/>
  <c r="D235" i="1"/>
  <c r="D234" i="1"/>
  <c r="D233" i="1"/>
  <c r="D232" i="1"/>
  <c r="D168" i="1"/>
  <c r="E8" i="13" l="1"/>
  <c r="E9" i="13"/>
  <c r="E7" i="13"/>
  <c r="E30" i="12"/>
  <c r="G33" i="19" l="1"/>
  <c r="G20" i="19"/>
  <c r="B1" i="22" l="1"/>
  <c r="B3" i="22"/>
  <c r="F20" i="22" l="1"/>
  <c r="B5" i="22" s="1"/>
  <c r="I27" i="1" s="1"/>
  <c r="I261" i="1" l="1"/>
  <c r="F21" i="20" l="1"/>
  <c r="B3" i="20"/>
  <c r="B1" i="20"/>
  <c r="F34" i="19"/>
  <c r="B5" i="19" s="1"/>
  <c r="G34" i="19"/>
  <c r="B5" i="20" l="1"/>
  <c r="I264" i="1" s="1"/>
  <c r="I265" i="1" l="1"/>
  <c r="H6" i="9"/>
  <c r="B1" i="9"/>
  <c r="B29" i="17" l="1"/>
  <c r="D30" i="18"/>
  <c r="B13" i="18" l="1"/>
  <c r="C14" i="5"/>
  <c r="D174" i="1"/>
  <c r="D249" i="1"/>
  <c r="D162" i="1"/>
  <c r="D161" i="1"/>
  <c r="D119" i="1"/>
  <c r="D94" i="1"/>
  <c r="D93" i="1"/>
  <c r="D92" i="1"/>
  <c r="D91" i="1"/>
  <c r="D86" i="1"/>
  <c r="D85" i="1"/>
  <c r="D84" i="1"/>
  <c r="D83" i="1"/>
  <c r="F30" i="12" l="1"/>
  <c r="C23" i="17"/>
  <c r="G24" i="6"/>
  <c r="G23" i="6"/>
  <c r="G22" i="6"/>
  <c r="G13" i="6"/>
  <c r="G12" i="6"/>
  <c r="G11" i="6"/>
  <c r="F12" i="16"/>
  <c r="C32" i="17" l="1"/>
  <c r="C5" i="17" s="1"/>
  <c r="C15" i="4"/>
  <c r="I11" i="16"/>
  <c r="H11" i="16"/>
  <c r="C12" i="5" s="1"/>
  <c r="G11" i="16"/>
  <c r="F11" i="16"/>
  <c r="E11" i="16"/>
  <c r="D11" i="16"/>
  <c r="C11" i="16"/>
  <c r="E17" i="6"/>
  <c r="D17" i="6"/>
  <c r="E27" i="6"/>
  <c r="D27" i="6"/>
  <c r="C27" i="6"/>
  <c r="G9" i="6"/>
  <c r="E19" i="6"/>
  <c r="G19" i="6" s="1"/>
  <c r="D19" i="6"/>
  <c r="E18" i="6"/>
  <c r="D18" i="6"/>
  <c r="E14" i="6"/>
  <c r="G27" i="6" l="1"/>
  <c r="C12" i="4" s="1"/>
  <c r="I13" i="16" l="1"/>
  <c r="H13" i="16"/>
  <c r="C17" i="6"/>
  <c r="C14" i="6"/>
  <c r="C18" i="6"/>
  <c r="C19" i="6"/>
  <c r="E13" i="16" l="1"/>
  <c r="D13" i="16" l="1"/>
  <c r="D14" i="6"/>
  <c r="G14" i="6" s="1"/>
  <c r="F13" i="16" l="1"/>
  <c r="K11" i="16"/>
  <c r="K13" i="16" s="1"/>
  <c r="E16" i="11"/>
  <c r="G16" i="11" s="1"/>
  <c r="E15" i="11"/>
  <c r="G15" i="11" s="1"/>
  <c r="E14" i="11"/>
  <c r="G14" i="11" s="1"/>
  <c r="E13" i="11"/>
  <c r="G13" i="11" s="1"/>
  <c r="E12" i="11"/>
  <c r="G12" i="11" s="1"/>
  <c r="E11" i="11"/>
  <c r="E26" i="11"/>
  <c r="E25" i="11"/>
  <c r="D27" i="11"/>
  <c r="G11" i="11" l="1"/>
  <c r="B5" i="11"/>
  <c r="D245" i="1" s="1"/>
  <c r="B3" i="19"/>
  <c r="B1" i="19"/>
  <c r="B3" i="18" l="1"/>
  <c r="B1" i="18"/>
  <c r="B3" i="17"/>
  <c r="B1" i="17"/>
  <c r="B1" i="16"/>
  <c r="B3" i="13"/>
  <c r="B1" i="13"/>
  <c r="B3" i="12"/>
  <c r="B1" i="12"/>
  <c r="B3" i="11"/>
  <c r="B1" i="11"/>
  <c r="F8" i="12"/>
  <c r="F9" i="12"/>
  <c r="F10" i="12"/>
  <c r="F11" i="12"/>
  <c r="F12" i="12"/>
  <c r="F13" i="12"/>
  <c r="F14" i="12"/>
  <c r="F24" i="12"/>
  <c r="F25" i="12"/>
  <c r="F26" i="12"/>
  <c r="F27" i="12"/>
  <c r="F28" i="12"/>
  <c r="E21" i="11"/>
  <c r="E22" i="11"/>
  <c r="E23" i="11"/>
  <c r="E24" i="11"/>
  <c r="C27" i="11"/>
  <c r="F29" i="12" l="1"/>
  <c r="E27" i="11"/>
  <c r="B6" i="11" s="1"/>
  <c r="D248" i="1" s="1"/>
  <c r="C13" i="16"/>
  <c r="J13" i="16"/>
  <c r="G13" i="16"/>
  <c r="D152" i="1" l="1"/>
  <c r="D29" i="8"/>
  <c r="A1" i="8" l="1"/>
  <c r="A4" i="8"/>
  <c r="F10" i="8"/>
  <c r="F11" i="8"/>
  <c r="F13" i="8"/>
  <c r="F15" i="8"/>
  <c r="F16" i="8"/>
  <c r="C19" i="8"/>
  <c r="E19" i="8"/>
  <c r="F27" i="8"/>
  <c r="F28" i="8"/>
  <c r="F29" i="8"/>
  <c r="A1" i="6"/>
  <c r="A4" i="6"/>
  <c r="C15" i="6"/>
  <c r="D15" i="6"/>
  <c r="D20" i="6" s="1"/>
  <c r="D25" i="6" s="1"/>
  <c r="D28" i="6" s="1"/>
  <c r="E15" i="6"/>
  <c r="E20" i="6" s="1"/>
  <c r="E25" i="6" s="1"/>
  <c r="E28" i="6" s="1"/>
  <c r="F15" i="6"/>
  <c r="F20" i="6" s="1"/>
  <c r="F25" i="6"/>
  <c r="F28" i="6"/>
  <c r="A1" i="5"/>
  <c r="A4" i="5"/>
  <c r="C27" i="5"/>
  <c r="F16" i="4"/>
  <c r="F28" i="4"/>
  <c r="C30" i="4"/>
  <c r="F33" i="4"/>
  <c r="F45" i="4"/>
  <c r="C46" i="4"/>
  <c r="C54" i="4"/>
  <c r="F54" i="4"/>
  <c r="G15" i="6" l="1"/>
  <c r="G20" i="6" s="1"/>
  <c r="F56" i="4"/>
  <c r="C20" i="6"/>
  <c r="C25" i="6" s="1"/>
  <c r="I252" i="1"/>
  <c r="G25" i="6" l="1"/>
  <c r="C16" i="4" s="1"/>
  <c r="C22" i="4" s="1"/>
  <c r="C56" i="4" s="1"/>
  <c r="C28" i="6"/>
  <c r="G28" i="6" s="1"/>
  <c r="I22" i="1"/>
  <c r="I268" i="1" l="1"/>
  <c r="D88" i="1" l="1"/>
  <c r="D239" i="1" s="1"/>
  <c r="D242" i="1" s="1"/>
  <c r="G240" i="1" s="1"/>
  <c r="I215" i="1"/>
  <c r="D99" i="1"/>
  <c r="D100" i="1"/>
  <c r="D101" i="1"/>
  <c r="D102"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I248" i="1"/>
  <c r="E250" i="1" l="1"/>
  <c r="G84" i="1"/>
  <c r="G14" i="1"/>
  <c r="G16" i="1" s="1"/>
  <c r="I16" i="1" s="1"/>
  <c r="E233" i="1"/>
  <c r="I228" i="1"/>
  <c r="I250" i="1"/>
  <c r="G17" i="1"/>
  <c r="I17" i="1" s="1"/>
  <c r="I14" i="1" l="1"/>
  <c r="D179" i="1"/>
  <c r="I253" i="1"/>
  <c r="G15" i="1"/>
  <c r="I15" i="1" s="1"/>
  <c r="G92" i="1"/>
  <c r="I84" i="1"/>
  <c r="I18" i="1" l="1"/>
  <c r="I92" i="1"/>
  <c r="I100" i="1" s="1"/>
  <c r="G114" i="1"/>
  <c r="I114" i="1" l="1"/>
  <c r="G161" i="1"/>
  <c r="I161" i="1" s="1"/>
  <c r="D18" i="8" l="1"/>
  <c r="D19" i="8" s="1"/>
  <c r="G232" i="1"/>
  <c r="F19" i="8" l="1"/>
  <c r="F18" i="8"/>
  <c r="G233" i="1"/>
  <c r="F31" i="12"/>
  <c r="F32" i="12" s="1"/>
  <c r="B5" i="12" l="1"/>
  <c r="D149" i="1" s="1"/>
  <c r="I223" i="1" s="1"/>
  <c r="E21" i="8"/>
  <c r="D158" i="1" l="1"/>
  <c r="D117" i="1" s="1"/>
  <c r="D120" i="1" s="1"/>
  <c r="D122" i="1" s="1"/>
  <c r="D189" i="1" s="1"/>
  <c r="D185" i="1" s="1"/>
  <c r="D187" i="1" s="1"/>
  <c r="D192" i="1" s="1"/>
  <c r="D201" i="1" s="1"/>
  <c r="I225" i="1"/>
  <c r="I227" i="1" s="1"/>
  <c r="I229" i="1" s="1"/>
  <c r="F21" i="8"/>
  <c r="E31" i="8"/>
  <c r="C11" i="5" s="1"/>
  <c r="G149" i="1" l="1"/>
  <c r="G118" i="1"/>
  <c r="I118" i="1" s="1"/>
  <c r="G151" i="1" l="1"/>
  <c r="I151" i="1" s="1"/>
  <c r="I149" i="1"/>
  <c r="G155" i="1"/>
  <c r="I155" i="1" s="1"/>
  <c r="D23" i="8"/>
  <c r="G234" i="1"/>
  <c r="F23" i="8" l="1"/>
  <c r="D236" i="1"/>
  <c r="D31" i="8"/>
  <c r="C10" i="5" l="1"/>
  <c r="C15" i="5" s="1"/>
  <c r="C16" i="5" s="1"/>
  <c r="C18" i="5" s="1"/>
  <c r="C23" i="5" s="1"/>
  <c r="C28" i="5" s="1"/>
  <c r="C31" i="5" s="1"/>
  <c r="F25" i="8"/>
  <c r="F31" i="8" s="1"/>
  <c r="G235" i="1"/>
  <c r="G236" i="1" s="1"/>
  <c r="I236" i="1" s="1"/>
  <c r="I240" i="1" l="1"/>
  <c r="K240" i="1" s="1"/>
  <c r="G86" i="1"/>
  <c r="G153" i="1"/>
  <c r="I153" i="1" s="1"/>
  <c r="G154" i="1"/>
  <c r="I154" i="1" s="1"/>
  <c r="G152" i="1"/>
  <c r="G94" i="1" l="1"/>
  <c r="I94" i="1" s="1"/>
  <c r="I86" i="1"/>
  <c r="G162" i="1"/>
  <c r="I152" i="1"/>
  <c r="G156" i="1"/>
  <c r="G87" i="1"/>
  <c r="G168" i="1" l="1"/>
  <c r="I162" i="1"/>
  <c r="I87" i="1"/>
  <c r="G95" i="1"/>
  <c r="I95" i="1" s="1"/>
  <c r="I96" i="1" s="1"/>
  <c r="I102" i="1"/>
  <c r="I156" i="1"/>
  <c r="I158" i="1" s="1"/>
  <c r="I117" i="1" s="1"/>
  <c r="G163" i="1"/>
  <c r="I163" i="1" s="1"/>
  <c r="I103" i="1" l="1"/>
  <c r="I104" i="1" s="1"/>
  <c r="G104" i="1" s="1"/>
  <c r="I164" i="1"/>
  <c r="I88" i="1"/>
  <c r="G88" i="1" s="1"/>
  <c r="G169" i="1"/>
  <c r="I169" i="1" s="1"/>
  <c r="I168" i="1"/>
  <c r="G108" i="1" l="1"/>
  <c r="G186" i="1"/>
  <c r="I186" i="1" s="1"/>
  <c r="G171" i="1"/>
  <c r="G119" i="1"/>
  <c r="I119" i="1" s="1"/>
  <c r="I120" i="1" s="1"/>
  <c r="I171" i="1" l="1"/>
  <c r="G173" i="1"/>
  <c r="I108" i="1"/>
  <c r="G109" i="1"/>
  <c r="I173" i="1" l="1"/>
  <c r="G174" i="1"/>
  <c r="I174" i="1" s="1"/>
  <c r="I109" i="1"/>
  <c r="G111" i="1"/>
  <c r="I111" i="1" s="1"/>
  <c r="G110" i="1"/>
  <c r="I110" i="1" s="1"/>
  <c r="I112" i="1" l="1"/>
  <c r="I122" i="1" s="1"/>
  <c r="I189" i="1" s="1"/>
  <c r="I185" i="1" s="1"/>
  <c r="I187" i="1" s="1"/>
  <c r="I175" i="1"/>
  <c r="I192" i="1" l="1"/>
  <c r="I201" i="1" s="1"/>
  <c r="I11" i="1" s="1"/>
  <c r="I24" i="1" s="1"/>
  <c r="D36" i="1" s="1"/>
  <c r="D42" i="1" l="1"/>
  <c r="D37" i="1"/>
  <c r="I40" i="1"/>
  <c r="I42" i="1"/>
  <c r="D40" i="1"/>
  <c r="I41" i="1"/>
  <c r="D41" i="1"/>
</calcChain>
</file>

<file path=xl/sharedStrings.xml><?xml version="1.0" encoding="utf-8"?>
<sst xmlns="http://schemas.openxmlformats.org/spreadsheetml/2006/main" count="895" uniqueCount="663">
  <si>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</si>
  <si>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</si>
  <si>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</si>
  <si>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</si>
  <si>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</si>
  <si>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</si>
  <si>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</si>
  <si>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</si>
  <si>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</si>
  <si>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</si>
  <si>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</si>
  <si>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</si>
  <si>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</si>
  <si>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</si>
  <si>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</si>
  <si>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</si>
  <si>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</si>
  <si>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</si>
  <si>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</si>
  <si>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</si>
  <si>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</si>
  <si>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</si>
  <si>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</si>
  <si>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</si>
  <si>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</si>
  <si>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</si>
  <si>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</si>
  <si>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</si>
  <si>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</si>
  <si>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</si>
  <si>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</si>
  <si>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</si>
  <si>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</si>
  <si>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</si>
  <si>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</si>
  <si>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</si>
  <si>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</si>
  <si>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</si>
  <si>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</si>
  <si>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</si>
  <si>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</si>
  <si>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</si>
  <si>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</si>
  <si>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</si>
  <si>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</si>
  <si>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</si>
  <si>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</si>
  <si>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</si>
  <si>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</si>
  <si>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</si>
  <si>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</si>
  <si>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</si>
  <si>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</si>
  <si>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</si>
  <si>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</si>
  <si>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</si>
  <si>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</si>
  <si>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</si>
  <si>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</si>
  <si>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</si>
  <si>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</si>
  <si>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</si>
  <si>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</si>
  <si>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</si>
  <si>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</si>
  <si>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</si>
  <si>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</si>
  <si>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</si>
  <si>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</si>
  <si>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</si>
  <si>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</si>
  <si>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</si>
  <si>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</si>
  <si>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</si>
  <si>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</si>
  <si>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</si>
  <si>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</si>
  <si>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</si>
  <si>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</si>
  <si>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</si>
  <si>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</si>
  <si>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</si>
  <si>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</si>
  <si>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</si>
  <si>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</si>
  <si>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</si>
  <si>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</si>
  <si>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</si>
  <si>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</si>
  <si>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</si>
  <si>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</si>
  <si>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</si>
  <si>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</si>
  <si>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</si>
  <si>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</si>
  <si>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</si>
  <si>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</si>
  <si>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</si>
  <si>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</si>
  <si>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</si>
  <si>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</si>
  <si>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</si>
  <si>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</si>
  <si>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</si>
  <si>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</si>
  <si>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</si>
  <si>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</si>
  <si>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</si>
  <si>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</si>
  <si>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</si>
  <si>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</si>
  <si>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</si>
  <si>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</si>
  <si>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</si>
  <si>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</si>
  <si>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</si>
  <si>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</si>
  <si>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</si>
  <si>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</si>
  <si>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</si>
  <si>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</si>
  <si>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</si>
  <si>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</si>
  <si>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</si>
  <si>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</si>
  <si>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</si>
  <si>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</si>
  <si>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</si>
  <si>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</si>
  <si>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</si>
  <si>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</si>
  <si>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</si>
  <si>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</si>
  <si>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</si>
  <si>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</si>
  <si>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</si>
  <si>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</si>
  <si>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</si>
  <si>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</si>
  <si>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</si>
  <si>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</si>
  <si>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</si>
  <si>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</si>
  <si>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</si>
  <si>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</si>
  <si>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</si>
  <si>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</si>
  <si>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</si>
  <si>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</si>
  <si>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</si>
  <si>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</si>
  <si>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</si>
  <si>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</si>
  <si>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</si>
  <si>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</si>
  <si>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</si>
  <si>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</si>
  <si>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</si>
  <si>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</si>
  <si>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</si>
  <si>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</si>
  <si>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</si>
  <si>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</si>
  <si>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</si>
  <si>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</si>
  <si>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</si>
  <si>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</si>
  <si>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</si>
  <si>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</si>
  <si>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</si>
  <si>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</si>
  <si>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</si>
  <si>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</si>
  <si>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</si>
  <si>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</si>
  <si>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</si>
  <si>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</si>
  <si>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</si>
  <si>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</si>
  <si>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</si>
  <si>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</si>
  <si>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</si>
  <si>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</si>
  <si>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</si>
  <si>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</si>
  <si>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</si>
  <si>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</si>
  <si>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</si>
  <si>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</si>
  <si>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</si>
  <si>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</si>
  <si>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</si>
  <si>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</si>
  <si>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</si>
  <si>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</si>
  <si>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</si>
  <si>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</si>
  <si>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</si>
  <si>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</si>
  <si>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</si>
  <si>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</si>
  <si>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</si>
  <si>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</si>
  <si>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</si>
  <si>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</si>
  <si>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</si>
  <si>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</si>
  <si>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</si>
  <si>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</si>
  <si>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</si>
  <si>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</si>
  <si>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</si>
  <si>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</si>
  <si>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</si>
  <si>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</si>
  <si>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</si>
  <si>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</si>
  <si>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</si>
  <si>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</si>
  <si>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</si>
  <si>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</si>
  <si>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</si>
  <si>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</si>
  <si>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</si>
  <si>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</si>
  <si>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</si>
  <si>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</si>
  <si>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</si>
  <si>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</si>
  <si>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</si>
  <si>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</si>
  <si>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</si>
  <si>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</si>
  <si>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</si>
  <si>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</si>
  <si>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</si>
  <si>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</si>
  <si>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</si>
  <si>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</si>
  <si>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</si>
  <si>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</si>
  <si>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</si>
  <si>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</si>
  <si>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</si>
  <si>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</si>
  <si>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</si>
  <si>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</si>
  <si>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</si>
  <si>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</si>
  <si>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</si>
  <si>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</si>
  <si>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</si>
  <si>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</si>
  <si>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</si>
  <si>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</si>
  <si>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</si>
  <si>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</si>
  <si>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</si>
  <si>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</si>
  <si>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</si>
  <si>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</si>
  <si>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</si>
  <si>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</si>
  <si>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</si>
  <si>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</si>
  <si>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</si>
  <si>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</si>
  <si>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</si>
  <si>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</si>
  <si>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</si>
  <si>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</si>
  <si>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</si>
  <si>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</si>
  <si>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</si>
  <si>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</si>
  <si>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</si>
  <si>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</si>
  <si>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</si>
  <si>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</si>
  <si>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</si>
  <si>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</si>
  <si>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</si>
  <si>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</si>
  <si>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</si>
  <si>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</si>
  <si>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</si>
  <si>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</si>
  <si>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</si>
  <si>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</si>
  <si>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</si>
  <si>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</si>
  <si>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</si>
  <si>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</si>
  <si>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</si>
  <si>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</si>
  <si>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</si>
  <si>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</si>
  <si>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</si>
  <si>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</si>
  <si>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</si>
  <si>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</si>
  <si>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</si>
  <si>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</si>
  <si>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</si>
  <si>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</si>
  <si>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</si>
  <si>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</si>
  <si>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</si>
  <si>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</si>
  <si>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</si>
  <si>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</si>
  <si>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</si>
  <si>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</si>
  <si>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</si>
  <si>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</si>
  <si>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</si>
  <si>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</si>
  <si>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</si>
  <si>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</si>
  <si>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</si>
  <si>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</si>
  <si>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</si>
  <si>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</si>
  <si>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</si>
  <si>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</si>
  <si>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</si>
  <si>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</si>
  <si>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</si>
  <si>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</si>
  <si>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</si>
  <si>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</si>
  <si>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</si>
  <si>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</si>
  <si>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</si>
  <si>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</si>
  <si>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</si>
  <si>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</si>
  <si>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</si>
  <si>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</si>
  <si>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</si>
  <si>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</si>
  <si>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</si>
  <si>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</si>
  <si>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</si>
  <si>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</si>
  <si>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</si>
  <si>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</si>
  <si>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</si>
  <si>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</si>
  <si>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</si>
  <si>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</si>
  <si>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</si>
  <si>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</si>
  <si>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</si>
  <si>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</si>
  <si>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</si>
  <si>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</si>
  <si>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</si>
  <si>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</si>
  <si>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</si>
  <si>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</si>
  <si>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</si>
  <si>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</si>
  <si>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</si>
  <si>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</si>
  <si>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</si>
  <si>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</si>
  <si>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</si>
  <si>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</si>
  <si>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</si>
  <si>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</si>
  <si>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</si>
  <si>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</si>
  <si>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</si>
  <si>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</si>
  <si>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</si>
  <si>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</si>
  <si>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</si>
  <si>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</si>
  <si>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</si>
  <si>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</si>
  <si>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</si>
  <si>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</si>
  <si>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</si>
  <si>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</si>
  <si>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</si>
  <si>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</si>
  <si>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</si>
  <si>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</si>
  <si>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</si>
  <si>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</si>
  <si>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</si>
  <si>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</si>
  <si>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</si>
  <si>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</si>
  <si>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</si>
  <si>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</si>
  <si>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</si>
  <si>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</si>
  <si>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</si>
  <si>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</si>
  <si>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</si>
  <si>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</si>
  <si>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</si>
  <si>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</si>
  <si>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</si>
  <si>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</si>
  <si>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</si>
  <si>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</si>
  <si>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</si>
  <si>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</si>
  <si>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</si>
  <si>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</si>
  <si>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</si>
  <si>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</si>
  <si>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</si>
  <si>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</si>
  <si>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</si>
  <si>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</si>
  <si>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</si>
  <si>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</si>
  <si>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</si>
  <si>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</si>
  <si>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</si>
  <si>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</si>
  <si>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</si>
  <si>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</si>
  <si>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</si>
  <si>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</si>
  <si>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</si>
  <si>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</si>
  <si>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</si>
  <si>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</si>
  <si>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</si>
  <si>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</si>
  <si>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</si>
  <si>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</si>
  <si>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</si>
  <si>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</si>
  <si>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</si>
  <si>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</si>
  <si>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</si>
  <si>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</si>
  <si>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</si>
  <si>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</si>
  <si>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</si>
  <si>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</si>
  <si>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</si>
  <si>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</si>
  <si>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</si>
  <si>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</si>
  <si>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</si>
  <si>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</si>
  <si>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</si>
  <si>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</si>
  <si>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</si>
  <si>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</si>
  <si>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</si>
  <si>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</si>
  <si>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</si>
  <si>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</si>
  <si>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</si>
  <si>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</si>
  <si>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</si>
  <si>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</si>
  <si>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</si>
  <si>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</si>
  <si>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</si>
  <si>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</si>
  <si>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</si>
  <si>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</si>
  <si>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</si>
  <si>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</si>
  <si>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</si>
  <si>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</si>
  <si>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</si>
  <si>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</si>
  <si>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</si>
  <si>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</si>
  <si>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</si>
  <si>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</si>
  <si>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</si>
  <si>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</si>
  <si>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</si>
  <si>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</si>
  <si>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</si>
  <si>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</si>
  <si>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</si>
  <si>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</si>
  <si>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</si>
  <si>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</si>
  <si>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</si>
  <si>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</si>
  <si>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</si>
  <si>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</si>
  <si>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</si>
  <si>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</si>
  <si>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</si>
  <si>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</si>
  <si>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</si>
  <si>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</si>
  <si>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</si>
  <si>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</si>
  <si>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</si>
  <si>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</si>
  <si>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CostAlloc</t>
  </si>
  <si>
    <t>factor</t>
  </si>
  <si>
    <t>Description</t>
  </si>
  <si>
    <t>Account</t>
  </si>
  <si>
    <t>HE</t>
  </si>
  <si>
    <t>Date</t>
  </si>
  <si>
    <t>cwip</t>
  </si>
  <si>
    <t>NBV</t>
  </si>
  <si>
    <t>Transmission Professional Fees</t>
  </si>
  <si>
    <t>to Sales Expenses</t>
  </si>
  <si>
    <t>to Customer Account Expenses</t>
  </si>
  <si>
    <t>Conservation/Rebate program</t>
  </si>
  <si>
    <t>Computer and Data processing</t>
  </si>
  <si>
    <t>Dues and subscriptions</t>
  </si>
  <si>
    <t>Advertising and promotional</t>
  </si>
  <si>
    <t>Legal and Professional</t>
  </si>
  <si>
    <t>Office supplies and equipment</t>
  </si>
  <si>
    <t>Telephone</t>
  </si>
  <si>
    <t>Bad debt expense</t>
  </si>
  <si>
    <t>Debt Detail Schedule</t>
  </si>
  <si>
    <t>Transmission O&amp;M Expense</t>
  </si>
  <si>
    <t>Wage and Salary Allocations</t>
  </si>
  <si>
    <t>Fixed Asset Summary</t>
  </si>
  <si>
    <t>A&amp;G Detail</t>
  </si>
  <si>
    <t>Payments in Lieu of Property Taxes</t>
  </si>
  <si>
    <t>GL Period</t>
  </si>
  <si>
    <t>Transmission Tariff Revenue</t>
  </si>
  <si>
    <t>Asset Cost</t>
  </si>
  <si>
    <t>BOY Total</t>
  </si>
  <si>
    <t>Disposals</t>
  </si>
  <si>
    <t>EOY Total</t>
  </si>
  <si>
    <t>Accumulated Depreciation</t>
  </si>
  <si>
    <t xml:space="preserve">   total</t>
  </si>
  <si>
    <t>insurance</t>
  </si>
  <si>
    <t>production</t>
  </si>
  <si>
    <t>distribution</t>
  </si>
  <si>
    <t>general</t>
  </si>
  <si>
    <t>Asset Category</t>
  </si>
  <si>
    <t>admin</t>
  </si>
  <si>
    <t>&lt;-- Transmission O&amp;M Total</t>
  </si>
  <si>
    <t>&lt;-- Admin &amp; General Total</t>
  </si>
  <si>
    <t xml:space="preserve"> &lt;-- Taxes in Lieu of Property Taxes:</t>
  </si>
  <si>
    <t xml:space="preserve"> &lt;-- Payroll taxes</t>
  </si>
  <si>
    <t>&lt;-- current year electric interest expense</t>
  </si>
  <si>
    <t>AccountingPeriod</t>
  </si>
  <si>
    <t>TranDescription</t>
  </si>
  <si>
    <t>OperatingMonth</t>
  </si>
  <si>
    <t>Schedule Total</t>
  </si>
  <si>
    <t>&lt;-- remaining debt at year end</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</si>
  <si>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</si>
  <si>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</si>
  <si>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</si>
  <si>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</si>
  <si>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</si>
  <si>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</si>
  <si>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</si>
  <si>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 xml:space="preserve">   A&amp;G less selling expenses</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</si>
  <si>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</si>
  <si>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</si>
  <si>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</si>
  <si>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</si>
  <si>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</si>
  <si>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</si>
  <si>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</si>
  <si>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</si>
  <si>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</si>
  <si>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</si>
  <si>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</si>
  <si>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</si>
  <si>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 7</t>
  </si>
  <si>
    <t>schedule 8</t>
  </si>
  <si>
    <t>schedule 9</t>
  </si>
  <si>
    <t>Schedule</t>
  </si>
  <si>
    <t>to S4_TransOM (agency TO preparation fees)</t>
  </si>
  <si>
    <t>Windom, MN</t>
  </si>
  <si>
    <t>Peak Loads</t>
  </si>
  <si>
    <t>&lt;-- average of 12 coincident system peaks, MW</t>
  </si>
  <si>
    <t>Load MW</t>
  </si>
  <si>
    <t>Generation MW</t>
  </si>
  <si>
    <t xml:space="preserve">  average</t>
  </si>
  <si>
    <t xml:space="preserve">  &lt;-- ties fo financial statements, page 26</t>
  </si>
  <si>
    <t>The utility makes an annual payment to the city general fund in lieu of property taxes</t>
  </si>
  <si>
    <t>postage</t>
  </si>
  <si>
    <t>Meetings, training, travel and mileage</t>
  </si>
  <si>
    <t>miscellaneous taxes &amp; licenses</t>
  </si>
  <si>
    <t>other A&amp;G</t>
  </si>
  <si>
    <t>per GL detail</t>
  </si>
  <si>
    <t>financial statements, page 63, Note 8</t>
  </si>
  <si>
    <t>604-49550-212</t>
  </si>
  <si>
    <t>Motor Fuels</t>
  </si>
  <si>
    <t>604-49550-217</t>
  </si>
  <si>
    <t>Other Operating Supplies</t>
  </si>
  <si>
    <t>604-49550-218</t>
  </si>
  <si>
    <t>Uniforms</t>
  </si>
  <si>
    <t>604-49550-241</t>
  </si>
  <si>
    <t>Small Tools</t>
  </si>
  <si>
    <t>604-49550-310</t>
  </si>
  <si>
    <t>Lab Testing</t>
  </si>
  <si>
    <t>604-49550-323</t>
  </si>
  <si>
    <t>Radio Units</t>
  </si>
  <si>
    <t>604-49550-325</t>
  </si>
  <si>
    <t>Dispatching</t>
  </si>
  <si>
    <t>604-49550-402</t>
  </si>
  <si>
    <t>Repairs &amp; Maint - Structures</t>
  </si>
  <si>
    <t>604-49550-404</t>
  </si>
  <si>
    <t>Repairs &amp; Maint - M&amp;E</t>
  </si>
  <si>
    <t>604-49550-405</t>
  </si>
  <si>
    <t>Repairs &amp; Maint - Vehicle</t>
  </si>
  <si>
    <t>604-49550-406</t>
  </si>
  <si>
    <t>Repairs &amp; Maint - Grounds</t>
  </si>
  <si>
    <t>604-49550-408</t>
  </si>
  <si>
    <t>Repairs &amp; Maint - Distribution System</t>
  </si>
  <si>
    <t>604-49550-409</t>
  </si>
  <si>
    <t>Repairs &amp; Maint - Utilities</t>
  </si>
  <si>
    <t>604-49550-410</t>
  </si>
  <si>
    <t>Repairs &amp; Maint - Generation</t>
  </si>
  <si>
    <t>604-49550-463</t>
  </si>
  <si>
    <t>Obsolete Inventory</t>
  </si>
  <si>
    <t>604-49550-381</t>
  </si>
  <si>
    <t>Electric Utility</t>
  </si>
  <si>
    <t>604-49550-382</t>
  </si>
  <si>
    <t>Water Utility</t>
  </si>
  <si>
    <t>604-49550-383</t>
  </si>
  <si>
    <t>Gas Utility</t>
  </si>
  <si>
    <t>604-49550-384</t>
  </si>
  <si>
    <t>Refuse Disposal</t>
  </si>
  <si>
    <t>604-49550-385</t>
  </si>
  <si>
    <t>Sewer Utility</t>
  </si>
  <si>
    <t>604-49550-386</t>
  </si>
  <si>
    <t>Landfill</t>
  </si>
  <si>
    <t>reclass in</t>
  </si>
  <si>
    <t xml:space="preserve">  &lt;-- ties fo financial statements, page 28</t>
  </si>
  <si>
    <t xml:space="preserve">   A&amp;G subtotal before adjustments</t>
  </si>
  <si>
    <t>Windom Area Development Corp</t>
  </si>
  <si>
    <t>CIP Expenses, Advertising, WADC</t>
  </si>
  <si>
    <t>benefits</t>
  </si>
  <si>
    <t xml:space="preserve"> *********</t>
  </si>
  <si>
    <t>*****</t>
  </si>
  <si>
    <t xml:space="preserve">function </t>
  </si>
  <si>
    <t>W/S allocator</t>
  </si>
  <si>
    <t>labor</t>
  </si>
  <si>
    <t>from S3_Labor</t>
  </si>
  <si>
    <t>A&amp;G wages and benefits</t>
  </si>
  <si>
    <t xml:space="preserve"> &lt;-- ties to financial statements, page 28</t>
  </si>
  <si>
    <t>operational expenses</t>
  </si>
  <si>
    <t>less operational expenses</t>
  </si>
  <si>
    <t>wages</t>
  </si>
  <si>
    <t>basis</t>
  </si>
  <si>
    <t>percent</t>
  </si>
  <si>
    <t>**  ties to financial statements, page 26</t>
  </si>
  <si>
    <t>**</t>
  </si>
  <si>
    <t xml:space="preserve"> labor allocation</t>
  </si>
  <si>
    <t>payroll taxes</t>
  </si>
  <si>
    <t>&lt;-- ties to financials, page 28</t>
  </si>
  <si>
    <t>&lt;-- current year network revenue</t>
  </si>
  <si>
    <t>&lt;-- current year non network revenue</t>
  </si>
  <si>
    <t>IC MW</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</si>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</sst>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s>
  <fonts count="4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sz val="12"/>
      <color indexed="10"/>
      <name val="Tahoma"/>
      <family val="2"/>
    </font>
    <font>
      <b/>
      <sz val="12"/>
      <color theme="1"/>
      <name val="Tahoma"/>
      <family val="2"/>
    </font>
    <font>
      <u/>
      <sz val="12"/>
      <name val="Arial MT"/>
    </font>
    <font>
      <b/>
      <u/>
      <sz val="12"/>
      <name val="Arial MT"/>
    </font>
    <font>
      <sz val="12"/>
      <color rgb="FFFF0000"/>
      <name val="Arial"/>
      <family val="2"/>
    </font>
    <font>
      <sz val="10"/>
      <color theme="1"/>
      <name val="Tahoma"/>
      <family val="2"/>
    </font>
    <font>
      <sz val="9"/>
      <name val="Arial MT"/>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27">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0" fontId="12" fillId="0" borderId="22" xfId="4"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18" fillId="0" borderId="0" xfId="0" applyFont="1" applyFill="1"/>
    <xf numFmtId="172" fontId="0" fillId="0" borderId="0" xfId="0" applyFill="1"/>
    <xf numFmtId="0" fontId="18" fillId="0" borderId="0" xfId="4" applyFont="1" applyBorder="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37" fontId="0" fillId="8" borderId="19" xfId="5" applyNumberFormat="1" applyFont="1" applyFill="1" applyBorder="1"/>
    <xf numFmtId="0" fontId="22" fillId="0" borderId="0" xfId="7" applyFont="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4" fillId="0" borderId="0" xfId="9" applyFont="1" applyFill="1" applyBorder="1" applyAlignment="1">
      <alignment horizontal="center" wrapText="1"/>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175" fontId="35" fillId="0" borderId="0" xfId="9" applyNumberFormat="1" applyFont="1" applyFill="1" applyBorder="1" applyAlignment="1">
      <alignment horizontal="right" wrapText="1"/>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28" fillId="0" borderId="0" xfId="7" applyFont="1" applyAlignment="1">
      <alignment horizontal="center"/>
    </xf>
    <xf numFmtId="44" fontId="28" fillId="0" borderId="0" xfId="7" applyNumberFormat="1" applyFont="1"/>
    <xf numFmtId="173" fontId="26" fillId="0" borderId="0" xfId="7" applyNumberFormat="1" applyFont="1"/>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1" borderId="31" xfId="12" applyNumberFormat="1" applyFont="1" applyFill="1" applyBorder="1" applyAlignment="1">
      <alignment horizontal="right" wrapText="1"/>
    </xf>
    <xf numFmtId="0" fontId="33" fillId="11" borderId="31" xfId="9" applyFont="1" applyFill="1" applyBorder="1" applyAlignment="1">
      <alignment horizontal="center" wrapText="1"/>
    </xf>
    <xf numFmtId="43" fontId="33" fillId="11" borderId="30" xfId="2" applyFont="1" applyFill="1" applyBorder="1" applyAlignment="1">
      <alignment horizontal="right" wrapText="1"/>
    </xf>
    <xf numFmtId="0" fontId="33" fillId="11" borderId="31" xfId="15" applyFont="1" applyFill="1" applyBorder="1" applyAlignment="1">
      <alignment horizontal="left" wrapText="1"/>
    </xf>
    <xf numFmtId="174" fontId="33" fillId="11" borderId="31" xfId="2" applyNumberFormat="1" applyFont="1" applyFill="1" applyBorder="1" applyAlignment="1">
      <alignment horizontal="left" wrapText="1"/>
    </xf>
    <xf numFmtId="0" fontId="32" fillId="11" borderId="31" xfId="9" applyFont="1" applyFill="1" applyBorder="1" applyAlignment="1">
      <alignment horizontal="center" wrapText="1"/>
    </xf>
    <xf numFmtId="0" fontId="32" fillId="11" borderId="31" xfId="9" applyFont="1" applyFill="1" applyBorder="1" applyAlignment="1">
      <alignment wrapText="1"/>
    </xf>
    <xf numFmtId="43" fontId="36" fillId="11" borderId="31" xfId="2" applyFont="1" applyFill="1" applyBorder="1" applyAlignment="1">
      <alignment horizontal="center" wrapText="1"/>
    </xf>
    <xf numFmtId="172" fontId="37" fillId="0" borderId="0" xfId="0" applyFont="1"/>
    <xf numFmtId="172" fontId="38" fillId="0" borderId="0" xfId="0" applyFont="1"/>
    <xf numFmtId="173" fontId="37" fillId="0" borderId="0" xfId="3" applyNumberFormat="1" applyFont="1"/>
    <xf numFmtId="43" fontId="34" fillId="0" borderId="0" xfId="2"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9" fillId="0" borderId="0" xfId="7" applyFont="1" applyFill="1"/>
    <xf numFmtId="43" fontId="33" fillId="11" borderId="31" xfId="2" applyFont="1" applyFill="1" applyBorder="1" applyAlignment="1">
      <alignment horizontal="right" wrapText="1"/>
    </xf>
    <xf numFmtId="177" fontId="28" fillId="10" borderId="0" xfId="2" applyNumberFormat="1" applyFont="1" applyFill="1" applyAlignment="1">
      <alignment horizontal="right"/>
    </xf>
    <xf numFmtId="0" fontId="28" fillId="0" borderId="0" xfId="16" applyFont="1"/>
    <xf numFmtId="0" fontId="33" fillId="11" borderId="31" xfId="15" applyFont="1" applyFill="1" applyBorder="1" applyAlignment="1">
      <alignment horizontal="right" wrapText="1"/>
    </xf>
    <xf numFmtId="177" fontId="30" fillId="0" borderId="31" xfId="2" applyNumberFormat="1" applyFont="1" applyFill="1" applyBorder="1" applyAlignment="1">
      <alignment horizontal="right" wrapText="1"/>
    </xf>
    <xf numFmtId="0" fontId="12" fillId="0" borderId="0" xfId="4" applyFont="1"/>
    <xf numFmtId="172" fontId="28" fillId="0" borderId="0" xfId="0" applyFont="1"/>
    <xf numFmtId="0" fontId="40" fillId="0" borderId="0" xfId="7" applyFont="1" applyAlignment="1">
      <alignment horizontal="center"/>
    </xf>
    <xf numFmtId="14" fontId="36" fillId="0" borderId="0" xfId="4" applyNumberFormat="1" applyFont="1" applyAlignment="1">
      <alignment horizontal="left"/>
    </xf>
    <xf numFmtId="174" fontId="30" fillId="11" borderId="31" xfId="2" applyNumberFormat="1" applyFont="1" applyFill="1" applyBorder="1" applyAlignment="1">
      <alignment horizontal="center" wrapText="1"/>
    </xf>
    <xf numFmtId="176" fontId="30" fillId="11" borderId="31" xfId="1" applyNumberFormat="1" applyFont="1" applyFill="1" applyBorder="1" applyAlignment="1">
      <alignment horizontal="right" wrapText="1"/>
    </xf>
    <xf numFmtId="9" fontId="33" fillId="11" borderId="31" xfId="1" applyFont="1" applyFill="1" applyBorder="1" applyAlignment="1">
      <alignment horizontal="right" wrapText="1"/>
    </xf>
    <xf numFmtId="173" fontId="28" fillId="10" borderId="0" xfId="4" applyNumberFormat="1" applyFont="1" applyFill="1" applyAlignment="1">
      <alignment horizontal="left"/>
    </xf>
    <xf numFmtId="173" fontId="17" fillId="0" borderId="0" xfId="7" applyNumberFormat="1" applyFont="1"/>
    <xf numFmtId="10" fontId="30" fillId="0" borderId="31" xfId="1" applyNumberFormat="1" applyFont="1" applyFill="1" applyBorder="1" applyAlignment="1">
      <alignment horizontal="right" wrapText="1"/>
    </xf>
    <xf numFmtId="44" fontId="28" fillId="10" borderId="0" xfId="3" applyFont="1" applyFill="1" applyAlignment="1">
      <alignment horizontal="right"/>
    </xf>
    <xf numFmtId="173" fontId="28" fillId="10" borderId="0" xfId="3" applyNumberFormat="1" applyFont="1" applyFill="1" applyAlignment="1">
      <alignment horizontal="right"/>
    </xf>
    <xf numFmtId="0" fontId="16" fillId="0" borderId="0" xfId="4" applyFont="1" applyAlignment="1">
      <alignment horizontal="center"/>
    </xf>
    <xf numFmtId="0" fontId="13" fillId="0" borderId="0" xfId="4" applyFont="1" applyAlignment="1">
      <alignment horizontal="center"/>
    </xf>
    <xf numFmtId="174" fontId="30" fillId="0" borderId="36" xfId="12" applyNumberFormat="1" applyFont="1" applyFill="1" applyBorder="1" applyAlignment="1">
      <alignment horizontal="right" wrapText="1"/>
    </xf>
    <xf numFmtId="0" fontId="27" fillId="0" borderId="0" xfId="16" applyFont="1"/>
    <xf numFmtId="43" fontId="18" fillId="0" borderId="0" xfId="7" applyNumberFormat="1"/>
    <xf numFmtId="17" fontId="32" fillId="0" borderId="31" xfId="9" applyNumberFormat="1" applyFont="1" applyFill="1" applyBorder="1" applyAlignment="1">
      <alignment horizontal="left" wrapText="1"/>
    </xf>
    <xf numFmtId="173" fontId="12" fillId="0" borderId="0" xfId="4" applyNumberFormat="1"/>
    <xf numFmtId="43" fontId="41" fillId="0" borderId="0" xfId="2" applyFont="1" applyBorder="1"/>
    <xf numFmtId="174" fontId="14" fillId="0" borderId="19" xfId="5" applyNumberFormat="1" applyFont="1" applyFill="1" applyBorder="1"/>
    <xf numFmtId="174" fontId="14" fillId="0" borderId="8" xfId="5" applyNumberFormat="1" applyFont="1" applyFill="1" applyBorder="1"/>
    <xf numFmtId="174" fontId="14" fillId="0" borderId="11" xfId="5" applyNumberFormat="1" applyFont="1" applyFill="1" applyBorder="1"/>
    <xf numFmtId="174" fontId="14" fillId="0" borderId="18" xfId="5" applyNumberFormat="1" applyFont="1" applyFill="1" applyBorder="1"/>
    <xf numFmtId="173" fontId="12" fillId="0" borderId="11" xfId="6" applyNumberFormat="1" applyFont="1" applyFill="1" applyBorder="1"/>
    <xf numFmtId="174" fontId="19" fillId="0" borderId="11" xfId="5" applyNumberFormat="1" applyFont="1" applyFill="1" applyBorder="1"/>
    <xf numFmtId="174" fontId="19" fillId="0" borderId="22" xfId="5" applyNumberFormat="1" applyFont="1" applyFill="1" applyBorder="1"/>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4" xfId="7" applyFont="1" applyFill="1" applyBorder="1" applyAlignment="1">
      <alignment horizontal="center"/>
    </xf>
    <xf numFmtId="0" fontId="17" fillId="6" borderId="35" xfId="7" applyFont="1" applyFill="1" applyBorder="1" applyAlignment="1">
      <alignment horizontal="center"/>
    </xf>
    <xf numFmtId="0" fontId="17" fillId="7" borderId="33" xfId="7" applyFont="1" applyFill="1" applyBorder="1" applyAlignment="1">
      <alignment horizontal="center"/>
    </xf>
    <xf numFmtId="0" fontId="17" fillId="7" borderId="34" xfId="7" applyFont="1" applyFill="1" applyBorder="1" applyAlignment="1">
      <alignment horizontal="center"/>
    </xf>
    <xf numFmtId="0" fontId="17" fillId="7" borderId="35"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xf numFmtId="14" fontId="30" fillId="0" borderId="31" xfId="2" applyNumberFormat="1" applyFont="1" applyFill="1" applyBorder="1" applyAlignment="1">
      <alignment horizontal="right" wrapText="1"/>
    </xf>
  </cellXfs>
  <cellStyles count="17">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 3 2" xfId="16"/>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310544</xdr:colOff>
      <xdr:row>17</xdr:row>
      <xdr:rowOff>88398</xdr:rowOff>
    </xdr:from>
    <xdr:ext cx="4636719" cy="937629"/>
    <xdr:sp macro="" textlink="">
      <xdr:nvSpPr>
        <xdr:cNvPr id="2" name="Rectangle 1">
          <a:extLst>
            <a:ext uri="{FF2B5EF4-FFF2-40B4-BE49-F238E27FC236}">
              <a16:creationId xmlns:a16="http://schemas.microsoft.com/office/drawing/2014/main" id="{00000000-0008-0000-0700-000002000000}"/>
            </a:ext>
          </a:extLst>
        </xdr:cNvPr>
        <xdr:cNvSpPr/>
      </xdr:nvSpPr>
      <xdr:spPr>
        <a:xfrm>
          <a:off x="4215794" y="4050798"/>
          <a:ext cx="4636719" cy="937629"/>
        </a:xfrm>
        <a:prstGeom prst="rect">
          <a:avLst/>
        </a:prstGeom>
        <a:noFill/>
      </xdr:spPr>
      <xdr:txBody>
        <a:bodyPr wrap="none" lIns="91440" tIns="45720" rIns="91440" bIns="45720">
          <a:spAutoFit/>
        </a:bodyPr>
        <a:lstStyle/>
        <a:p>
          <a:pPr algn="ctr"/>
          <a:r>
            <a:rPr lang="en-US" sz="5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This page blank</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662</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579</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51754.843673477335</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895</v>
      </c>
      <c r="E15" s="17"/>
      <c r="F15" s="17" t="str">
        <f>+F14</f>
        <v>TP</v>
      </c>
      <c r="G15" s="27">
        <f>+G14</f>
        <v>1</v>
      </c>
      <c r="H15" s="17"/>
      <c r="I15" s="17">
        <f>+G15*D15</f>
        <v>895</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895</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50859.843673477335</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9396</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9396</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5.4129250397485453</v>
      </c>
      <c r="E36" s="11"/>
      <c r="F36" s="11"/>
      <c r="G36" s="11"/>
      <c r="H36" s="11"/>
      <c r="J36" s="11"/>
      <c r="K36" s="11"/>
      <c r="L36" s="11"/>
      <c r="N36" s="11"/>
      <c r="O36" s="11"/>
      <c r="P36" s="11"/>
    </row>
    <row r="37" spans="1:16">
      <c r="A37" s="13">
        <v>17</v>
      </c>
      <c r="B37" s="9" t="s">
        <v>301</v>
      </c>
      <c r="C37" s="11"/>
      <c r="D37" s="39">
        <f>+D36/12</f>
        <v>0.45107708664571211</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0.10409471230285663</v>
      </c>
      <c r="E40" s="11"/>
      <c r="F40" s="11"/>
      <c r="G40" s="11"/>
      <c r="H40" s="11"/>
      <c r="I40" s="42">
        <f>+D36/52</f>
        <v>0.10409471230285663</v>
      </c>
      <c r="J40" s="11"/>
      <c r="K40" s="11"/>
      <c r="L40" s="11"/>
      <c r="N40" s="11"/>
      <c r="O40" s="11"/>
      <c r="P40" s="11"/>
    </row>
    <row r="41" spans="1:16">
      <c r="A41" s="13">
        <v>19</v>
      </c>
      <c r="B41" s="9" t="s">
        <v>31</v>
      </c>
      <c r="C41" s="11" t="s">
        <v>249</v>
      </c>
      <c r="D41" s="39">
        <f>+D36/260</f>
        <v>2.0818942460571328E-2</v>
      </c>
      <c r="E41" s="11" t="s">
        <v>32</v>
      </c>
      <c r="G41" s="11"/>
      <c r="H41" s="11"/>
      <c r="I41" s="42">
        <f>+D36/365</f>
        <v>1.4829931615749439E-2</v>
      </c>
      <c r="J41" s="11"/>
      <c r="K41" s="11"/>
      <c r="L41" s="11"/>
      <c r="N41" s="11"/>
      <c r="O41" s="11"/>
      <c r="P41" s="11"/>
    </row>
    <row r="42" spans="1:16">
      <c r="A42" s="13">
        <v>20</v>
      </c>
      <c r="B42" s="9" t="s">
        <v>33</v>
      </c>
      <c r="C42" s="11" t="s">
        <v>250</v>
      </c>
      <c r="D42" s="39">
        <f>+D36/4160*1000</f>
        <v>1.301183903785708</v>
      </c>
      <c r="E42" s="11" t="s">
        <v>34</v>
      </c>
      <c r="G42" s="11"/>
      <c r="H42" s="11"/>
      <c r="I42" s="42">
        <f>+D36/8760*1000</f>
        <v>0.6179138173228933</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Windom,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3064219.0099999993</v>
      </c>
      <c r="E83" s="17"/>
      <c r="F83" s="17" t="s">
        <v>52</v>
      </c>
      <c r="G83" s="53" t="s">
        <v>2</v>
      </c>
      <c r="H83" s="17"/>
      <c r="I83" s="17" t="s">
        <v>2</v>
      </c>
      <c r="J83" s="17"/>
      <c r="K83" s="17"/>
      <c r="L83" s="9"/>
      <c r="O83" s="17"/>
      <c r="P83" s="9"/>
    </row>
    <row r="84" spans="1:16">
      <c r="A84" s="13">
        <v>2</v>
      </c>
      <c r="B84" s="9" t="s">
        <v>53</v>
      </c>
      <c r="C84" s="17" t="s">
        <v>252</v>
      </c>
      <c r="D84" s="52">
        <f>TransmissionPlant</f>
        <v>351712.28</v>
      </c>
      <c r="E84" s="17"/>
      <c r="F84" s="17" t="s">
        <v>12</v>
      </c>
      <c r="G84" s="53">
        <f>I220</f>
        <v>1</v>
      </c>
      <c r="H84" s="17"/>
      <c r="I84" s="17">
        <f>+G84*D84</f>
        <v>351712.28</v>
      </c>
      <c r="J84" s="17"/>
      <c r="K84" s="17"/>
      <c r="L84" s="9"/>
      <c r="O84" s="17"/>
      <c r="P84" s="9"/>
    </row>
    <row r="85" spans="1:16">
      <c r="A85" s="13">
        <v>3</v>
      </c>
      <c r="B85" s="9" t="s">
        <v>54</v>
      </c>
      <c r="C85" s="17" t="s">
        <v>253</v>
      </c>
      <c r="D85" s="52">
        <f>DistributionPlant</f>
        <v>6497322.6299999999</v>
      </c>
      <c r="E85" s="17"/>
      <c r="F85" s="17" t="s">
        <v>52</v>
      </c>
      <c r="G85" s="53" t="s">
        <v>2</v>
      </c>
      <c r="H85" s="17"/>
      <c r="I85" s="17" t="s">
        <v>2</v>
      </c>
      <c r="J85" s="17"/>
      <c r="K85" s="17"/>
      <c r="L85" s="9"/>
      <c r="O85" s="17"/>
      <c r="P85" s="9"/>
    </row>
    <row r="86" spans="1:16">
      <c r="A86" s="13">
        <v>4</v>
      </c>
      <c r="B86" s="9" t="s">
        <v>55</v>
      </c>
      <c r="C86" s="17" t="s">
        <v>282</v>
      </c>
      <c r="D86" s="52">
        <f>GeneralPlant</f>
        <v>1802287.87</v>
      </c>
      <c r="E86" s="17"/>
      <c r="F86" s="17" t="s">
        <v>56</v>
      </c>
      <c r="G86" s="53">
        <f>I236</f>
        <v>4.9623532165567821E-2</v>
      </c>
      <c r="H86" s="17"/>
      <c r="I86" s="17">
        <f>+G86*D86</f>
        <v>89435.890088557717</v>
      </c>
      <c r="J86" s="17"/>
      <c r="K86" s="17"/>
      <c r="L86" s="9"/>
      <c r="O86" s="13"/>
      <c r="P86" s="9"/>
    </row>
    <row r="87" spans="1:16" ht="16.5" thickBot="1">
      <c r="A87" s="13">
        <v>5</v>
      </c>
      <c r="B87" s="9" t="s">
        <v>57</v>
      </c>
      <c r="C87" s="17"/>
      <c r="D87" s="54">
        <v>0</v>
      </c>
      <c r="E87" s="17"/>
      <c r="F87" s="17" t="s">
        <v>58</v>
      </c>
      <c r="G87" s="53">
        <f>K240</f>
        <v>4.9623532165567821E-2</v>
      </c>
      <c r="H87" s="17"/>
      <c r="I87" s="30">
        <f>+G87*D87</f>
        <v>0</v>
      </c>
      <c r="J87" s="17"/>
      <c r="K87" s="17"/>
      <c r="L87" s="9"/>
      <c r="O87" s="13"/>
      <c r="P87" s="9"/>
    </row>
    <row r="88" spans="1:16">
      <c r="A88" s="13">
        <v>6</v>
      </c>
      <c r="B88" s="9" t="s">
        <v>212</v>
      </c>
      <c r="C88" s="17"/>
      <c r="D88" s="17">
        <f>SUM(D83:D87)</f>
        <v>11715541.789999999</v>
      </c>
      <c r="E88" s="17"/>
      <c r="F88" s="17" t="s">
        <v>59</v>
      </c>
      <c r="G88" s="55">
        <f>IF(I88&gt;0,I88/D88,0)</f>
        <v>3.765495254048834E-2</v>
      </c>
      <c r="H88" s="17"/>
      <c r="I88" s="17">
        <f>SUM(I83:I87)</f>
        <v>441148.17008855776</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1960651.4800000002</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347533.42000000004</v>
      </c>
      <c r="E92" s="17"/>
      <c r="F92" s="17" t="str">
        <f t="shared" si="0"/>
        <v>TP</v>
      </c>
      <c r="G92" s="53">
        <f t="shared" si="0"/>
        <v>1</v>
      </c>
      <c r="H92" s="17"/>
      <c r="I92" s="17">
        <f>+G92*D92</f>
        <v>347533.42000000004</v>
      </c>
      <c r="J92" s="17"/>
      <c r="K92" s="17"/>
      <c r="L92" s="9"/>
      <c r="N92" s="17"/>
      <c r="O92" s="17"/>
      <c r="P92" s="9"/>
    </row>
    <row r="93" spans="1:16">
      <c r="A93" s="13">
        <v>9</v>
      </c>
      <c r="B93" s="9" t="str">
        <f>+B85</f>
        <v xml:space="preserve">  Distribution</v>
      </c>
      <c r="D93" s="56">
        <f>DistributionPlantAD</f>
        <v>4319790.8299999982</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1043670.1299999997</v>
      </c>
      <c r="E94" s="17"/>
      <c r="F94" s="17" t="str">
        <f t="shared" si="0"/>
        <v>W/S</v>
      </c>
      <c r="G94" s="53">
        <f t="shared" si="0"/>
        <v>4.9623532165567821E-2</v>
      </c>
      <c r="H94" s="17"/>
      <c r="I94" s="17">
        <f>+G94*D94</f>
        <v>51790.598266297333</v>
      </c>
      <c r="J94" s="17"/>
      <c r="K94" s="17"/>
      <c r="L94" s="9"/>
      <c r="N94" s="17"/>
      <c r="O94" s="13"/>
      <c r="P94" s="9"/>
    </row>
    <row r="95" spans="1:16" ht="16.5" thickBot="1">
      <c r="A95" s="13">
        <v>11</v>
      </c>
      <c r="B95" s="9" t="str">
        <f>+B87</f>
        <v xml:space="preserve">  Common</v>
      </c>
      <c r="C95" s="17"/>
      <c r="D95" s="54">
        <v>0</v>
      </c>
      <c r="E95" s="17"/>
      <c r="F95" s="17" t="str">
        <f t="shared" si="0"/>
        <v>CE</v>
      </c>
      <c r="G95" s="53">
        <f t="shared" si="0"/>
        <v>4.9623532165567821E-2</v>
      </c>
      <c r="H95" s="17"/>
      <c r="I95" s="30">
        <f>+G95*D95</f>
        <v>0</v>
      </c>
      <c r="J95" s="17"/>
      <c r="K95" s="17"/>
      <c r="L95" s="9"/>
      <c r="N95" s="17"/>
      <c r="O95" s="13"/>
      <c r="P95" s="9"/>
    </row>
    <row r="96" spans="1:16">
      <c r="A96" s="13">
        <v>12</v>
      </c>
      <c r="B96" s="9" t="s">
        <v>213</v>
      </c>
      <c r="C96" s="17"/>
      <c r="D96" s="17">
        <f>SUM(D91:D95)</f>
        <v>7671645.8599999985</v>
      </c>
      <c r="E96" s="17"/>
      <c r="F96" s="17"/>
      <c r="G96" s="17"/>
      <c r="H96" s="17"/>
      <c r="I96" s="17">
        <f>SUM(I91:I95)</f>
        <v>399324.01826629735</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1103567.5299999991</v>
      </c>
      <c r="E99" s="17"/>
      <c r="F99" s="17"/>
      <c r="G99" s="55"/>
      <c r="H99" s="17"/>
      <c r="I99" s="17" t="s">
        <v>2</v>
      </c>
      <c r="J99" s="17"/>
      <c r="K99" s="55"/>
      <c r="L99" s="9"/>
      <c r="N99" s="17"/>
      <c r="O99" s="17"/>
      <c r="P99" s="9"/>
    </row>
    <row r="100" spans="1:16">
      <c r="A100" s="13">
        <v>14</v>
      </c>
      <c r="B100" s="9" t="str">
        <f>+B92</f>
        <v xml:space="preserve">  Transmission</v>
      </c>
      <c r="C100" s="17" t="s">
        <v>215</v>
      </c>
      <c r="D100" s="17">
        <f>D84-D92</f>
        <v>4178.859999999986</v>
      </c>
      <c r="E100" s="17"/>
      <c r="F100" s="17"/>
      <c r="G100" s="53"/>
      <c r="H100" s="17"/>
      <c r="I100" s="17">
        <f>I84-I92</f>
        <v>4178.859999999986</v>
      </c>
      <c r="J100" s="17"/>
      <c r="K100" s="55"/>
      <c r="L100" s="9"/>
      <c r="N100" s="17"/>
      <c r="O100" s="17"/>
      <c r="P100" s="9"/>
    </row>
    <row r="101" spans="1:16">
      <c r="A101" s="13">
        <v>15</v>
      </c>
      <c r="B101" s="9" t="str">
        <f>+B93</f>
        <v xml:space="preserve">  Distribution</v>
      </c>
      <c r="C101" s="17" t="s">
        <v>216</v>
      </c>
      <c r="D101" s="17">
        <f>D85-D93</f>
        <v>2177531.8000000017</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758617.74000000046</v>
      </c>
      <c r="E102" s="17"/>
      <c r="F102" s="17"/>
      <c r="G102" s="55"/>
      <c r="H102" s="17"/>
      <c r="I102" s="17">
        <f>I86-I94</f>
        <v>37645.291822260384</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4043895.9300000016</v>
      </c>
      <c r="E104" s="17"/>
      <c r="F104" s="17" t="s">
        <v>61</v>
      </c>
      <c r="G104" s="55">
        <f>IF(I104&gt;0,I104/D104,0)</f>
        <v>1.0342539112340695E-2</v>
      </c>
      <c r="H104" s="17"/>
      <c r="I104" s="17">
        <f>SUM(I99:I103)</f>
        <v>41824.15182226037</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1.0342539112340695E-2</v>
      </c>
      <c r="H108" s="17"/>
      <c r="I108" s="17">
        <f>D108*G108</f>
        <v>0</v>
      </c>
      <c r="J108" s="17"/>
      <c r="K108" s="55"/>
      <c r="L108" s="9"/>
      <c r="N108" s="55"/>
      <c r="O108" s="13"/>
      <c r="P108" s="9"/>
    </row>
    <row r="109" spans="1:16">
      <c r="A109" s="13">
        <v>21</v>
      </c>
      <c r="B109" s="9" t="s">
        <v>65</v>
      </c>
      <c r="C109" s="17"/>
      <c r="D109" s="52">
        <v>0</v>
      </c>
      <c r="E109" s="17"/>
      <c r="F109" s="17" t="s">
        <v>63</v>
      </c>
      <c r="G109" s="53">
        <f>+G108</f>
        <v>1.0342539112340695E-2</v>
      </c>
      <c r="H109" s="17"/>
      <c r="I109" s="17">
        <f>D109*G109</f>
        <v>0</v>
      </c>
      <c r="J109" s="17"/>
      <c r="K109" s="55"/>
      <c r="L109" s="9"/>
      <c r="N109" s="55"/>
      <c r="O109" s="13"/>
      <c r="P109" s="9"/>
    </row>
    <row r="110" spans="1:16">
      <c r="A110" s="13">
        <v>22</v>
      </c>
      <c r="B110" s="9" t="s">
        <v>66</v>
      </c>
      <c r="C110" s="17"/>
      <c r="D110" s="52">
        <v>0</v>
      </c>
      <c r="E110" s="17"/>
      <c r="F110" s="17" t="str">
        <f>+F109</f>
        <v>NP</v>
      </c>
      <c r="G110" s="53">
        <f>+G109</f>
        <v>1.0342539112340695E-2</v>
      </c>
      <c r="H110" s="17"/>
      <c r="I110" s="17">
        <f>D110*G110</f>
        <v>0</v>
      </c>
      <c r="J110" s="17"/>
      <c r="K110" s="55"/>
      <c r="L110" s="9"/>
      <c r="N110" s="55"/>
      <c r="O110" s="13"/>
      <c r="P110" s="9"/>
    </row>
    <row r="111" spans="1:16" ht="16.5" thickBot="1">
      <c r="A111" s="13">
        <v>23</v>
      </c>
      <c r="B111" s="6" t="s">
        <v>67</v>
      </c>
      <c r="D111" s="54">
        <v>0</v>
      </c>
      <c r="E111" s="17"/>
      <c r="F111" s="17" t="s">
        <v>63</v>
      </c>
      <c r="G111" s="53">
        <f>+G109</f>
        <v>1.0342539112340695E-2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42418.625</v>
      </c>
      <c r="E117" s="17"/>
      <c r="F117" s="17"/>
      <c r="G117" s="55"/>
      <c r="H117" s="17"/>
      <c r="I117" s="17">
        <f>I158/8</f>
        <v>4146.1330608980606</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0</v>
      </c>
      <c r="E119" s="17"/>
      <c r="F119" s="17" t="s">
        <v>76</v>
      </c>
      <c r="G119" s="53">
        <f>+G88</f>
        <v>3.765495254048834E-2</v>
      </c>
      <c r="H119" s="17"/>
      <c r="I119" s="30">
        <f>+G119*D119</f>
        <v>0</v>
      </c>
      <c r="J119" s="17"/>
      <c r="K119" s="55"/>
      <c r="L119" s="9"/>
      <c r="N119" s="59"/>
      <c r="O119" s="13"/>
      <c r="P119" s="9"/>
    </row>
    <row r="120" spans="1:16">
      <c r="A120" s="13">
        <v>29</v>
      </c>
      <c r="B120" s="9" t="s">
        <v>222</v>
      </c>
      <c r="C120" s="11"/>
      <c r="D120" s="17">
        <f>D117+D118+D119</f>
        <v>42418.625</v>
      </c>
      <c r="E120" s="11"/>
      <c r="F120" s="11"/>
      <c r="G120" s="11"/>
      <c r="H120" s="11"/>
      <c r="I120" s="17">
        <f>I117+I118+I119</f>
        <v>4146.1330608980606</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4086314.5550000016</v>
      </c>
      <c r="E122" s="17"/>
      <c r="F122" s="17"/>
      <c r="G122" s="55"/>
      <c r="H122" s="17"/>
      <c r="I122" s="61">
        <f>+I120+I114+I112+I104</f>
        <v>45970.284883158427</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Windom,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17182</v>
      </c>
      <c r="E149" s="17"/>
      <c r="F149" s="17" t="s">
        <v>74</v>
      </c>
      <c r="G149" s="53">
        <f>I229</f>
        <v>1</v>
      </c>
      <c r="H149" s="17"/>
      <c r="I149" s="17">
        <f t="shared" ref="I149:I157" si="1">+G149*D149</f>
        <v>17182</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322545</v>
      </c>
      <c r="E152" s="17"/>
      <c r="F152" s="17" t="s">
        <v>56</v>
      </c>
      <c r="G152" s="53">
        <f>I236</f>
        <v>4.9623532165567821E-2</v>
      </c>
      <c r="H152" s="17"/>
      <c r="I152" s="17">
        <f t="shared" si="1"/>
        <v>16005.822182343072</v>
      </c>
      <c r="J152" s="17"/>
      <c r="K152" s="17" t="s">
        <v>2</v>
      </c>
      <c r="L152" s="9"/>
      <c r="N152" s="17"/>
      <c r="O152" s="13"/>
      <c r="P152" s="9"/>
    </row>
    <row r="153" spans="1:16">
      <c r="A153" s="13">
        <v>4</v>
      </c>
      <c r="B153" s="9" t="s">
        <v>81</v>
      </c>
      <c r="C153" s="17"/>
      <c r="D153" s="56">
        <v>0</v>
      </c>
      <c r="E153" s="17"/>
      <c r="F153" s="17" t="str">
        <f>+F152</f>
        <v>W/S</v>
      </c>
      <c r="G153" s="53">
        <f>I236</f>
        <v>4.9623532165567821E-2</v>
      </c>
      <c r="H153" s="17"/>
      <c r="I153" s="17">
        <f t="shared" si="1"/>
        <v>0</v>
      </c>
      <c r="J153" s="17"/>
      <c r="K153" s="17"/>
      <c r="L153" s="9"/>
      <c r="N153" s="17"/>
      <c r="O153" s="13"/>
      <c r="P153" s="9"/>
    </row>
    <row r="154" spans="1:16">
      <c r="A154" s="13">
        <v>5</v>
      </c>
      <c r="B154" s="9" t="s">
        <v>224</v>
      </c>
      <c r="C154" s="17"/>
      <c r="D154" s="56">
        <v>378</v>
      </c>
      <c r="E154" s="17"/>
      <c r="F154" s="17" t="str">
        <f>+F153</f>
        <v>W/S</v>
      </c>
      <c r="G154" s="53">
        <f>I236</f>
        <v>4.9623532165567821E-2</v>
      </c>
      <c r="H154" s="17"/>
      <c r="I154" s="17">
        <f t="shared" si="1"/>
        <v>18.757695158584635</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4.9623532165567821E-2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339349</v>
      </c>
      <c r="E158" s="5"/>
      <c r="F158" s="5"/>
      <c r="G158" s="5"/>
      <c r="H158" s="5"/>
      <c r="I158" s="5">
        <f>+I149-I151+I152-I153-I154+I155+I156+I157-I150</f>
        <v>33169.064487184485</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305.77</v>
      </c>
      <c r="E161" s="17"/>
      <c r="F161" s="17" t="s">
        <v>12</v>
      </c>
      <c r="G161" s="53">
        <f>+G114</f>
        <v>1</v>
      </c>
      <c r="H161" s="17"/>
      <c r="I161" s="17">
        <f>+G161*D161</f>
        <v>305.77</v>
      </c>
      <c r="J161" s="17"/>
      <c r="K161" s="55"/>
      <c r="L161" s="9"/>
      <c r="N161" s="17"/>
      <c r="O161" s="13"/>
      <c r="P161" s="17" t="s">
        <v>2</v>
      </c>
    </row>
    <row r="162" spans="1:16">
      <c r="A162" s="13">
        <v>10</v>
      </c>
      <c r="B162" s="9" t="s">
        <v>286</v>
      </c>
      <c r="C162" s="6" t="s">
        <v>2</v>
      </c>
      <c r="D162" s="56">
        <f>GeneralDepreciation</f>
        <v>98594.35</v>
      </c>
      <c r="E162" s="17"/>
      <c r="F162" s="17" t="s">
        <v>56</v>
      </c>
      <c r="G162" s="53">
        <f>+G152</f>
        <v>4.9623532165567821E-2</v>
      </c>
      <c r="H162" s="17"/>
      <c r="I162" s="17">
        <f>+G162*D162</f>
        <v>4892.5998985682518</v>
      </c>
      <c r="J162" s="17"/>
      <c r="K162" s="55"/>
      <c r="L162" s="9"/>
      <c r="N162" s="17"/>
      <c r="O162" s="13"/>
      <c r="P162" s="17" t="s">
        <v>2</v>
      </c>
    </row>
    <row r="163" spans="1:16" ht="16.5" thickBot="1">
      <c r="A163" s="13">
        <v>11</v>
      </c>
      <c r="B163" s="9" t="str">
        <f>+B156</f>
        <v xml:space="preserve">  Common</v>
      </c>
      <c r="C163" s="17"/>
      <c r="D163" s="54">
        <v>0</v>
      </c>
      <c r="E163" s="17"/>
      <c r="F163" s="17" t="s">
        <v>58</v>
      </c>
      <c r="G163" s="53">
        <f>+G156</f>
        <v>4.9623532165567821E-2</v>
      </c>
      <c r="H163" s="17"/>
      <c r="I163" s="30">
        <f>+G163*D163</f>
        <v>0</v>
      </c>
      <c r="J163" s="17"/>
      <c r="K163" s="55"/>
      <c r="L163" s="9"/>
      <c r="N163" s="17"/>
      <c r="O163" s="13"/>
      <c r="P163" s="17" t="s">
        <v>2</v>
      </c>
    </row>
    <row r="164" spans="1:16">
      <c r="A164" s="13">
        <v>12</v>
      </c>
      <c r="B164" s="9" t="s">
        <v>226</v>
      </c>
      <c r="C164" s="17"/>
      <c r="D164" s="17">
        <f>SUM(D161:D163)</f>
        <v>98900.12000000001</v>
      </c>
      <c r="E164" s="17"/>
      <c r="F164" s="17"/>
      <c r="G164" s="17"/>
      <c r="H164" s="17"/>
      <c r="I164" s="17">
        <f>SUM(I161:I163)</f>
        <v>5198.3698985682513</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35450</v>
      </c>
      <c r="E168" s="17"/>
      <c r="F168" s="17" t="s">
        <v>56</v>
      </c>
      <c r="G168" s="27">
        <f>+G162</f>
        <v>4.9623532165567821E-2</v>
      </c>
      <c r="H168" s="17"/>
      <c r="I168" s="17">
        <f>+G168*D168</f>
        <v>1759.1542152693792</v>
      </c>
      <c r="J168" s="17"/>
      <c r="K168" s="55"/>
      <c r="L168" s="9"/>
      <c r="N168" s="59"/>
      <c r="O168" s="13"/>
      <c r="P168" s="9"/>
    </row>
    <row r="169" spans="1:16">
      <c r="A169" s="13">
        <v>14</v>
      </c>
      <c r="B169" s="9" t="s">
        <v>85</v>
      </c>
      <c r="C169" s="17"/>
      <c r="D169" s="56">
        <v>0</v>
      </c>
      <c r="E169" s="17"/>
      <c r="F169" s="17" t="str">
        <f>+F168</f>
        <v>W/S</v>
      </c>
      <c r="G169" s="27">
        <f>+G168</f>
        <v>4.9623532165567821E-2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3.765495254048834E-2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3.765495254048834E-2</v>
      </c>
      <c r="H173" s="17"/>
      <c r="I173" s="17">
        <f>+G173*D173</f>
        <v>0</v>
      </c>
      <c r="J173" s="17"/>
      <c r="K173" s="55"/>
      <c r="L173" s="9"/>
      <c r="N173" s="59"/>
      <c r="O173" s="13"/>
      <c r="P173" s="9"/>
    </row>
    <row r="174" spans="1:16" ht="16.5" thickBot="1">
      <c r="A174" s="13">
        <v>19</v>
      </c>
      <c r="B174" s="9" t="s">
        <v>90</v>
      </c>
      <c r="C174" s="17"/>
      <c r="D174" s="54">
        <f>PILOT</f>
        <v>176717</v>
      </c>
      <c r="E174" s="17"/>
      <c r="F174" s="17" t="s">
        <v>76</v>
      </c>
      <c r="G174" s="27">
        <f>+G173</f>
        <v>3.765495254048834E-2</v>
      </c>
      <c r="H174" s="17"/>
      <c r="I174" s="30">
        <f>+G174*D174</f>
        <v>6654.2702480974776</v>
      </c>
      <c r="J174" s="17"/>
      <c r="K174" s="55"/>
      <c r="L174" s="9"/>
      <c r="N174" s="59"/>
      <c r="O174" s="13"/>
      <c r="P174" s="9"/>
    </row>
    <row r="175" spans="1:16">
      <c r="A175" s="13">
        <v>20</v>
      </c>
      <c r="B175" s="9" t="s">
        <v>91</v>
      </c>
      <c r="C175" s="17"/>
      <c r="D175" s="17">
        <f>SUM(D168:D174)</f>
        <v>212167</v>
      </c>
      <c r="E175" s="17"/>
      <c r="F175" s="17"/>
      <c r="G175" s="27"/>
      <c r="H175" s="17"/>
      <c r="I175" s="17">
        <f>SUM(I168:I174)</f>
        <v>8413.4244633668568</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1.0342539112340695E-2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442139.23485100019</v>
      </c>
      <c r="E189" s="17"/>
      <c r="F189" s="17" t="s">
        <v>52</v>
      </c>
      <c r="G189" s="70"/>
      <c r="H189" s="17"/>
      <c r="I189" s="17">
        <f>+$I250*I122</f>
        <v>4973.9848243577417</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1092555.354851</v>
      </c>
      <c r="E192" s="17"/>
      <c r="F192" s="17"/>
      <c r="G192" s="17"/>
      <c r="H192" s="17"/>
      <c r="I192" s="76">
        <f>+I189+I187+I175+I164+I158</f>
        <v>51754.843673477335</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1092555.354851</v>
      </c>
      <c r="E201" s="1"/>
      <c r="F201" s="1"/>
      <c r="G201" s="1"/>
      <c r="H201" s="1"/>
      <c r="I201" s="79">
        <f>+I192-I196-I200</f>
        <v>51754.843673477335</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Windom,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351712.28</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351712.28</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17182</v>
      </c>
      <c r="J223" s="17"/>
      <c r="K223" s="17"/>
      <c r="L223" s="407"/>
      <c r="M223" s="407"/>
      <c r="N223" s="407"/>
      <c r="O223" s="407"/>
      <c r="P223" s="407"/>
      <c r="Q223" s="407"/>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17182</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ProductionLaborAllocator</f>
        <v>15632</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TransmissionLaborAllocator</f>
        <v>12720</v>
      </c>
      <c r="E233" s="101">
        <f>+I220</f>
        <v>1</v>
      </c>
      <c r="F233" s="101"/>
      <c r="G233" s="17">
        <f>D233*E233</f>
        <v>12720</v>
      </c>
      <c r="H233" s="17"/>
      <c r="I233" s="17"/>
      <c r="J233" s="17"/>
      <c r="K233" s="17"/>
      <c r="L233" s="4"/>
      <c r="M233" s="94"/>
      <c r="N233" s="92"/>
      <c r="O233" s="93"/>
      <c r="P233" s="88"/>
      <c r="Q233" s="88"/>
    </row>
    <row r="234" spans="1:17">
      <c r="A234" s="13">
        <v>14</v>
      </c>
      <c r="B234" s="9" t="s">
        <v>54</v>
      </c>
      <c r="C234" s="17"/>
      <c r="D234" s="56">
        <f>DistributionLaborAllocator</f>
        <v>227978</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OtherLaborAllocator</f>
        <v>0</v>
      </c>
      <c r="E235" s="101">
        <v>0</v>
      </c>
      <c r="F235" s="101"/>
      <c r="G235" s="30">
        <f>D235*E235</f>
        <v>0</v>
      </c>
      <c r="H235" s="17"/>
      <c r="I235" s="23" t="s">
        <v>114</v>
      </c>
      <c r="J235" s="17"/>
      <c r="K235" s="17"/>
      <c r="L235" s="9"/>
      <c r="N235" s="17"/>
      <c r="O235" s="17"/>
      <c r="P235" s="9"/>
    </row>
    <row r="236" spans="1:17">
      <c r="A236" s="13">
        <v>16</v>
      </c>
      <c r="B236" s="9" t="s">
        <v>239</v>
      </c>
      <c r="C236" s="17"/>
      <c r="D236" s="17">
        <f>SUM(D232:D235)</f>
        <v>256330</v>
      </c>
      <c r="E236" s="17"/>
      <c r="F236" s="17"/>
      <c r="G236" s="17">
        <f>SUM(G232:G235)</f>
        <v>12720</v>
      </c>
      <c r="H236" s="13" t="s">
        <v>115</v>
      </c>
      <c r="I236" s="53">
        <f>IF(G236&gt;0,G233/D236,0)</f>
        <v>4.9623532165567821E-2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11715541.789999999</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4.9623532165567821E-2</v>
      </c>
      <c r="J240" s="70" t="s">
        <v>115</v>
      </c>
      <c r="K240" s="27">
        <f>I240*G240</f>
        <v>4.9623532165567821E-2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11715541.789999999</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0</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0</v>
      </c>
      <c r="E248" s="105">
        <f>IF($D$250&gt;0,D248/$D$250,0)</f>
        <v>0</v>
      </c>
      <c r="F248" s="106"/>
      <c r="G248" s="107">
        <f>IF(D248&gt;0,D245/D248,0)</f>
        <v>0</v>
      </c>
      <c r="I248" s="106">
        <f>G248*E248</f>
        <v>0</v>
      </c>
      <c r="J248" s="108" t="s">
        <v>131</v>
      </c>
      <c r="K248" s="17"/>
      <c r="L248" s="9"/>
      <c r="N248" s="17"/>
      <c r="O248" s="17"/>
      <c r="P248" s="9"/>
    </row>
    <row r="249" spans="1:18" ht="16.5" thickBot="1">
      <c r="A249" s="13">
        <v>23</v>
      </c>
      <c r="B249" s="9" t="s">
        <v>132</v>
      </c>
      <c r="C249" s="11" t="s">
        <v>260</v>
      </c>
      <c r="D249" s="54">
        <f>Equity</f>
        <v>10171797</v>
      </c>
      <c r="E249" s="109">
        <f>IF($D$250&gt;0,D249/$D$250,0)</f>
        <v>1</v>
      </c>
      <c r="F249" s="106"/>
      <c r="G249" s="106">
        <f>I252</f>
        <v>0.1082</v>
      </c>
      <c r="I249" s="110">
        <f>G249*E249</f>
        <v>0.1082</v>
      </c>
      <c r="L249" s="9"/>
      <c r="N249" s="17"/>
      <c r="O249" s="17"/>
      <c r="P249" s="9"/>
    </row>
    <row r="250" spans="1:18">
      <c r="A250" s="13">
        <v>24</v>
      </c>
      <c r="B250" s="9" t="s">
        <v>172</v>
      </c>
      <c r="C250" s="11"/>
      <c r="D250" s="17">
        <f>SUM(D248:D249)</f>
        <v>10171797</v>
      </c>
      <c r="E250" s="111">
        <f>SUM(E248+E249)</f>
        <v>1</v>
      </c>
      <c r="F250" s="106"/>
      <c r="G250" s="106"/>
      <c r="I250" s="106">
        <f>SUM(I248:I249)</f>
        <v>0.1082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0</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ElectricRent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55068.450000000004</v>
      </c>
      <c r="J264" s="9"/>
      <c r="K264" s="9"/>
      <c r="L264" s="124"/>
      <c r="N264" s="9"/>
      <c r="O264" s="17"/>
      <c r="P264" s="9"/>
    </row>
    <row r="265" spans="1:17">
      <c r="A265" s="13">
        <v>32</v>
      </c>
      <c r="B265" s="125" t="s">
        <v>174</v>
      </c>
      <c r="C265" s="18"/>
      <c r="D265" s="18"/>
      <c r="E265" s="18"/>
      <c r="F265" s="18"/>
      <c r="G265" s="18"/>
      <c r="H265" s="11"/>
      <c r="I265" s="123">
        <f>NetworkRevenue</f>
        <v>54173.450000000004</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895</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09" t="str">
        <f>D4</f>
        <v xml:space="preserve">   Rate Formula Template</v>
      </c>
      <c r="D274" s="409"/>
      <c r="E274" s="17"/>
      <c r="F274" s="17"/>
      <c r="G274" s="17"/>
      <c r="H274" s="24"/>
      <c r="J274" s="11"/>
      <c r="K274" s="131" t="str">
        <f>K4</f>
        <v>For the 12 months ended 12/31/16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Windom,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08" t="s">
        <v>265</v>
      </c>
      <c r="C282" s="408"/>
      <c r="D282" s="408"/>
      <c r="E282" s="408"/>
      <c r="F282" s="408"/>
      <c r="G282" s="408"/>
      <c r="H282" s="408"/>
      <c r="I282" s="408"/>
      <c r="J282" s="408"/>
      <c r="K282" s="408"/>
      <c r="L282" s="11"/>
      <c r="N282" s="13"/>
      <c r="O282" s="11"/>
      <c r="P282" s="11"/>
    </row>
    <row r="283" spans="1:16" ht="63" customHeight="1">
      <c r="A283" s="134" t="s">
        <v>145</v>
      </c>
      <c r="B283" s="408" t="s">
        <v>266</v>
      </c>
      <c r="C283" s="408"/>
      <c r="D283" s="408"/>
      <c r="E283" s="408"/>
      <c r="F283" s="408"/>
      <c r="G283" s="408"/>
      <c r="H283" s="408"/>
      <c r="I283" s="408"/>
      <c r="J283" s="408"/>
      <c r="K283" s="408"/>
      <c r="L283" s="11"/>
      <c r="N283" s="13"/>
      <c r="O283" s="11"/>
      <c r="P283" s="11"/>
    </row>
    <row r="284" spans="1:16">
      <c r="A284" s="134" t="s">
        <v>146</v>
      </c>
      <c r="B284" s="408" t="s">
        <v>267</v>
      </c>
      <c r="C284" s="408"/>
      <c r="D284" s="408"/>
      <c r="E284" s="408"/>
      <c r="F284" s="408"/>
      <c r="G284" s="408"/>
      <c r="H284" s="408"/>
      <c r="I284" s="408"/>
      <c r="J284" s="408"/>
      <c r="K284" s="408"/>
      <c r="L284" s="11"/>
      <c r="N284" s="13"/>
      <c r="O284" s="11"/>
      <c r="P284" s="11"/>
    </row>
    <row r="285" spans="1:16">
      <c r="A285" s="134" t="s">
        <v>147</v>
      </c>
      <c r="B285" s="408" t="s">
        <v>267</v>
      </c>
      <c r="C285" s="408"/>
      <c r="D285" s="408"/>
      <c r="E285" s="408"/>
      <c r="F285" s="408"/>
      <c r="G285" s="408"/>
      <c r="H285" s="408"/>
      <c r="I285" s="408"/>
      <c r="J285" s="408"/>
      <c r="K285" s="408"/>
      <c r="L285" s="11"/>
      <c r="N285" s="13"/>
      <c r="O285" s="11"/>
      <c r="P285" s="11"/>
    </row>
    <row r="286" spans="1:16">
      <c r="A286" s="134" t="s">
        <v>148</v>
      </c>
      <c r="B286" s="408" t="s">
        <v>280</v>
      </c>
      <c r="C286" s="408"/>
      <c r="D286" s="408"/>
      <c r="E286" s="408"/>
      <c r="F286" s="408"/>
      <c r="G286" s="408"/>
      <c r="H286" s="408"/>
      <c r="I286" s="408"/>
      <c r="J286" s="408"/>
      <c r="K286" s="408"/>
      <c r="L286" s="11"/>
      <c r="N286" s="13"/>
      <c r="O286" s="11"/>
      <c r="P286" s="11"/>
    </row>
    <row r="287" spans="1:16" ht="48" customHeight="1">
      <c r="A287" s="134" t="s">
        <v>149</v>
      </c>
      <c r="B287" s="410" t="s">
        <v>242</v>
      </c>
      <c r="C287" s="410"/>
      <c r="D287" s="410"/>
      <c r="E287" s="410"/>
      <c r="F287" s="410"/>
      <c r="G287" s="410"/>
      <c r="H287" s="410"/>
      <c r="I287" s="410"/>
      <c r="J287" s="410"/>
      <c r="K287" s="410"/>
      <c r="L287" s="11"/>
      <c r="N287" s="13"/>
      <c r="O287" s="11"/>
      <c r="P287" s="11"/>
    </row>
    <row r="288" spans="1:16">
      <c r="A288" s="134" t="s">
        <v>150</v>
      </c>
      <c r="B288" s="410" t="s">
        <v>180</v>
      </c>
      <c r="C288" s="410"/>
      <c r="D288" s="410"/>
      <c r="E288" s="410"/>
      <c r="F288" s="410"/>
      <c r="G288" s="410"/>
      <c r="H288" s="410"/>
      <c r="I288" s="410"/>
      <c r="J288" s="410"/>
      <c r="K288" s="410"/>
      <c r="L288" s="11"/>
      <c r="N288" s="13"/>
      <c r="O288" s="11"/>
      <c r="P288" s="11"/>
    </row>
    <row r="289" spans="1:16" ht="32.25" customHeight="1">
      <c r="A289" s="134" t="s">
        <v>151</v>
      </c>
      <c r="B289" s="410" t="s">
        <v>243</v>
      </c>
      <c r="C289" s="410"/>
      <c r="D289" s="410"/>
      <c r="E289" s="410"/>
      <c r="F289" s="410"/>
      <c r="G289" s="410"/>
      <c r="H289" s="410"/>
      <c r="I289" s="410"/>
      <c r="J289" s="410"/>
      <c r="K289" s="410"/>
      <c r="L289" s="11"/>
      <c r="N289" s="13"/>
      <c r="O289" s="11"/>
      <c r="P289" s="11"/>
    </row>
    <row r="290" spans="1:16" ht="32.25" customHeight="1">
      <c r="A290" s="134" t="s">
        <v>152</v>
      </c>
      <c r="B290" s="408" t="s">
        <v>244</v>
      </c>
      <c r="C290" s="408"/>
      <c r="D290" s="408"/>
      <c r="E290" s="408"/>
      <c r="F290" s="408"/>
      <c r="G290" s="408"/>
      <c r="H290" s="408"/>
      <c r="I290" s="408"/>
      <c r="J290" s="408"/>
      <c r="K290" s="408"/>
      <c r="L290" s="11"/>
      <c r="N290" s="13"/>
      <c r="O290" s="11"/>
      <c r="P290" s="11"/>
    </row>
    <row r="291" spans="1:16" ht="32.25" customHeight="1">
      <c r="A291" s="134" t="s">
        <v>153</v>
      </c>
      <c r="B291" s="410" t="s">
        <v>245</v>
      </c>
      <c r="C291" s="410"/>
      <c r="D291" s="410"/>
      <c r="E291" s="410"/>
      <c r="F291" s="410"/>
      <c r="G291" s="410"/>
      <c r="H291" s="410"/>
      <c r="I291" s="410"/>
      <c r="J291" s="410"/>
      <c r="K291" s="410"/>
      <c r="L291" s="11"/>
      <c r="N291" s="13"/>
      <c r="O291" s="10"/>
      <c r="P291" s="11"/>
    </row>
    <row r="292" spans="1:16" ht="79.5" customHeight="1">
      <c r="A292" s="134" t="s">
        <v>154</v>
      </c>
      <c r="B292" s="410" t="s">
        <v>246</v>
      </c>
      <c r="C292" s="410"/>
      <c r="D292" s="410"/>
      <c r="E292" s="410"/>
      <c r="F292" s="410"/>
      <c r="G292" s="410"/>
      <c r="H292" s="410"/>
      <c r="I292" s="410"/>
      <c r="J292" s="410"/>
      <c r="K292" s="410"/>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10" t="s">
        <v>157</v>
      </c>
      <c r="F294" s="410"/>
      <c r="G294" s="410"/>
      <c r="H294" s="410"/>
      <c r="I294" s="410"/>
      <c r="J294" s="410"/>
      <c r="K294" s="410"/>
      <c r="N294" s="13"/>
      <c r="O294" s="11"/>
      <c r="P294" s="11"/>
    </row>
    <row r="295" spans="1:16">
      <c r="A295" s="134"/>
      <c r="B295" s="136"/>
      <c r="C295" s="136" t="s">
        <v>158</v>
      </c>
      <c r="D295" s="137">
        <v>0</v>
      </c>
      <c r="E295" s="410" t="s">
        <v>159</v>
      </c>
      <c r="F295" s="410"/>
      <c r="G295" s="410"/>
      <c r="H295" s="410"/>
      <c r="I295" s="410"/>
      <c r="J295" s="410"/>
      <c r="K295" s="410"/>
      <c r="L295" s="11"/>
      <c r="N295" s="13"/>
      <c r="O295" s="11"/>
      <c r="P295" s="11"/>
    </row>
    <row r="296" spans="1:16">
      <c r="A296" s="134" t="s">
        <v>160</v>
      </c>
      <c r="B296" s="410" t="s">
        <v>194</v>
      </c>
      <c r="C296" s="410"/>
      <c r="D296" s="410"/>
      <c r="E296" s="410"/>
      <c r="F296" s="410"/>
      <c r="G296" s="410"/>
      <c r="H296" s="410"/>
      <c r="I296" s="410"/>
      <c r="J296" s="410"/>
      <c r="K296" s="410"/>
      <c r="L296" s="11"/>
      <c r="N296" s="13"/>
      <c r="O296" s="11"/>
      <c r="P296" s="11"/>
    </row>
    <row r="297" spans="1:16" ht="32.25" customHeight="1">
      <c r="A297" s="134" t="s">
        <v>161</v>
      </c>
      <c r="B297" s="410" t="s">
        <v>298</v>
      </c>
      <c r="C297" s="410"/>
      <c r="D297" s="410"/>
      <c r="E297" s="410"/>
      <c r="F297" s="410"/>
      <c r="G297" s="410"/>
      <c r="H297" s="410"/>
      <c r="I297" s="410"/>
      <c r="J297" s="410"/>
      <c r="K297" s="410"/>
      <c r="L297" s="140"/>
      <c r="N297" s="13"/>
      <c r="O297" s="11"/>
      <c r="P297" s="11"/>
    </row>
    <row r="298" spans="1:16" ht="48" customHeight="1">
      <c r="A298" s="134" t="s">
        <v>162</v>
      </c>
      <c r="B298" s="410" t="s">
        <v>263</v>
      </c>
      <c r="C298" s="410"/>
      <c r="D298" s="410"/>
      <c r="E298" s="410"/>
      <c r="F298" s="410"/>
      <c r="G298" s="410"/>
      <c r="H298" s="410"/>
      <c r="I298" s="410"/>
      <c r="J298" s="410"/>
      <c r="K298" s="410"/>
      <c r="L298" s="11"/>
      <c r="N298" s="13"/>
      <c r="O298" s="11"/>
      <c r="P298" s="11"/>
    </row>
    <row r="299" spans="1:16">
      <c r="A299" s="134" t="s">
        <v>163</v>
      </c>
      <c r="B299" s="410" t="s">
        <v>181</v>
      </c>
      <c r="C299" s="410"/>
      <c r="D299" s="410"/>
      <c r="E299" s="410"/>
      <c r="F299" s="410"/>
      <c r="G299" s="410"/>
      <c r="H299" s="410"/>
      <c r="I299" s="410"/>
      <c r="J299" s="410"/>
      <c r="K299" s="410"/>
      <c r="L299" s="11"/>
      <c r="N299" s="13"/>
      <c r="O299" s="10"/>
      <c r="P299" s="11"/>
    </row>
    <row r="300" spans="1:16" ht="176.25" customHeight="1">
      <c r="A300" s="134" t="s">
        <v>164</v>
      </c>
      <c r="B300" s="408" t="s">
        <v>315</v>
      </c>
      <c r="C300" s="408"/>
      <c r="D300" s="408"/>
      <c r="E300" s="408"/>
      <c r="F300" s="408"/>
      <c r="G300" s="408"/>
      <c r="H300" s="408"/>
      <c r="I300" s="408"/>
      <c r="J300" s="408"/>
      <c r="K300" s="408"/>
      <c r="L300" s="11"/>
      <c r="N300" s="13"/>
      <c r="O300" s="10"/>
      <c r="P300" s="11"/>
    </row>
    <row r="301" spans="1:16" ht="32.25" customHeight="1">
      <c r="A301" s="134" t="s">
        <v>165</v>
      </c>
      <c r="B301" s="410" t="s">
        <v>247</v>
      </c>
      <c r="C301" s="410"/>
      <c r="D301" s="410"/>
      <c r="E301" s="410"/>
      <c r="F301" s="410"/>
      <c r="G301" s="410"/>
      <c r="H301" s="410"/>
      <c r="I301" s="410"/>
      <c r="J301" s="410"/>
      <c r="K301" s="410"/>
      <c r="L301" s="11"/>
      <c r="N301" s="13"/>
      <c r="O301" s="11"/>
      <c r="P301" s="11"/>
    </row>
    <row r="302" spans="1:16">
      <c r="A302" s="134" t="s">
        <v>166</v>
      </c>
      <c r="B302" s="410" t="s">
        <v>167</v>
      </c>
      <c r="C302" s="410"/>
      <c r="D302" s="410"/>
      <c r="E302" s="410"/>
      <c r="F302" s="410"/>
      <c r="G302" s="410"/>
      <c r="H302" s="410"/>
      <c r="I302" s="410"/>
      <c r="J302" s="410"/>
      <c r="K302" s="410"/>
      <c r="L302" s="11"/>
      <c r="N302" s="13"/>
      <c r="O302" s="11"/>
      <c r="P302" s="11"/>
    </row>
    <row r="303" spans="1:16" ht="48" customHeight="1">
      <c r="A303" s="134" t="s">
        <v>182</v>
      </c>
      <c r="B303" s="410" t="s">
        <v>299</v>
      </c>
      <c r="C303" s="410"/>
      <c r="D303" s="410"/>
      <c r="E303" s="410"/>
      <c r="F303" s="410"/>
      <c r="G303" s="410"/>
      <c r="H303" s="410"/>
      <c r="I303" s="410"/>
      <c r="J303" s="410"/>
      <c r="K303" s="410"/>
      <c r="L303" s="11"/>
      <c r="N303" s="13"/>
      <c r="O303" s="11"/>
      <c r="P303" s="11"/>
    </row>
    <row r="304" spans="1:16" ht="65.25" customHeight="1">
      <c r="A304" s="141" t="s">
        <v>183</v>
      </c>
      <c r="B304" s="410" t="s">
        <v>262</v>
      </c>
      <c r="C304" s="410"/>
      <c r="D304" s="410"/>
      <c r="E304" s="410"/>
      <c r="F304" s="410"/>
      <c r="G304" s="410"/>
      <c r="H304" s="410"/>
      <c r="I304" s="410"/>
      <c r="J304" s="410"/>
      <c r="K304" s="410"/>
      <c r="L304" s="11"/>
      <c r="N304" s="13"/>
      <c r="O304" s="11"/>
      <c r="P304" s="11"/>
    </row>
    <row r="305" spans="1:16">
      <c r="A305" s="141" t="s">
        <v>189</v>
      </c>
      <c r="B305" s="410" t="s">
        <v>288</v>
      </c>
      <c r="C305" s="410"/>
      <c r="D305" s="410"/>
      <c r="E305" s="410"/>
      <c r="F305" s="410"/>
      <c r="G305" s="410"/>
      <c r="H305" s="410"/>
      <c r="I305" s="410"/>
      <c r="J305" s="410"/>
      <c r="K305" s="410"/>
      <c r="L305" s="11"/>
      <c r="N305" s="13"/>
      <c r="O305" s="11"/>
      <c r="P305" s="11"/>
    </row>
    <row r="306" spans="1:16">
      <c r="A306" s="142" t="s">
        <v>191</v>
      </c>
      <c r="B306" s="410" t="s">
        <v>289</v>
      </c>
      <c r="C306" s="410"/>
      <c r="D306" s="410"/>
      <c r="E306" s="410"/>
      <c r="F306" s="410"/>
      <c r="G306" s="410"/>
      <c r="H306" s="410"/>
      <c r="I306" s="410"/>
      <c r="J306" s="410"/>
      <c r="K306" s="410"/>
      <c r="L306" s="11"/>
      <c r="N306" s="59"/>
      <c r="O306" s="11"/>
      <c r="P306" s="11"/>
    </row>
    <row r="307" spans="1:16">
      <c r="A307" s="142" t="s">
        <v>196</v>
      </c>
      <c r="B307" s="410" t="s">
        <v>294</v>
      </c>
      <c r="C307" s="410"/>
      <c r="D307" s="410"/>
      <c r="E307" s="410"/>
      <c r="F307" s="410"/>
      <c r="G307" s="410"/>
      <c r="H307" s="410"/>
      <c r="I307" s="410"/>
      <c r="J307" s="410"/>
      <c r="K307" s="410"/>
      <c r="L307" s="11"/>
      <c r="N307" s="59"/>
      <c r="O307" s="11"/>
      <c r="P307" s="11"/>
    </row>
    <row r="308" spans="1:16" s="1" customFormat="1" ht="32.25" customHeight="1">
      <c r="A308" s="141" t="s">
        <v>197</v>
      </c>
      <c r="B308" s="410" t="s">
        <v>295</v>
      </c>
      <c r="C308" s="410"/>
      <c r="D308" s="410"/>
      <c r="E308" s="410"/>
      <c r="F308" s="410"/>
      <c r="G308" s="410"/>
      <c r="H308" s="410"/>
      <c r="I308" s="410"/>
      <c r="J308" s="410"/>
      <c r="K308" s="410"/>
      <c r="L308" s="80"/>
      <c r="N308" s="63"/>
      <c r="O308" s="80"/>
      <c r="P308" s="80"/>
    </row>
    <row r="309" spans="1:16" s="82" customFormat="1">
      <c r="A309" s="142" t="s">
        <v>273</v>
      </c>
      <c r="B309" s="410" t="s">
        <v>296</v>
      </c>
      <c r="C309" s="410"/>
      <c r="D309" s="410"/>
      <c r="E309" s="410"/>
      <c r="F309" s="410"/>
      <c r="G309" s="410"/>
      <c r="H309" s="410"/>
      <c r="I309" s="410"/>
      <c r="J309" s="410"/>
      <c r="K309" s="410"/>
      <c r="L309" s="84"/>
      <c r="N309" s="81"/>
      <c r="O309" s="84"/>
      <c r="P309" s="84"/>
    </row>
    <row r="310" spans="1:16" s="82" customFormat="1" ht="33" customHeight="1">
      <c r="A310" s="141" t="s">
        <v>274</v>
      </c>
      <c r="B310" s="410" t="s">
        <v>297</v>
      </c>
      <c r="C310" s="410"/>
      <c r="D310" s="410"/>
      <c r="E310" s="410"/>
      <c r="F310" s="410"/>
      <c r="G310" s="410"/>
      <c r="H310" s="410"/>
      <c r="I310" s="410"/>
      <c r="J310" s="410"/>
      <c r="K310" s="410"/>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activeCell="K30" sqref="K30"/>
    </sheetView>
  </sheetViews>
  <sheetFormatPr defaultRowHeight="15" customHeight="1"/>
  <cols>
    <col min="1" max="1" width="3.33203125" style="274" customWidth="1"/>
    <col min="2" max="2" width="14.77734375" style="274" customWidth="1"/>
    <col min="3" max="3" width="30.44140625" style="274" customWidth="1"/>
    <col min="4" max="4" width="8.5546875" style="274" customWidth="1"/>
    <col min="5" max="5" width="12.33203125" style="274" customWidth="1"/>
    <col min="6" max="6" width="12.5546875" style="274" bestFit="1" customWidth="1"/>
    <col min="7" max="16384" width="8.88671875" style="274"/>
  </cols>
  <sheetData>
    <row r="1" spans="1:6" ht="20.100000000000001" customHeight="1">
      <c r="B1" s="299" t="str">
        <f>EntityName</f>
        <v>Windom, MN</v>
      </c>
      <c r="C1" s="303"/>
    </row>
    <row r="2" spans="1:6" ht="20.100000000000001" customHeight="1">
      <c r="A2" s="278"/>
      <c r="B2" s="300" t="s">
        <v>525</v>
      </c>
      <c r="C2" s="305"/>
      <c r="D2" s="296"/>
    </row>
    <row r="3" spans="1:6" ht="20.100000000000001" customHeight="1">
      <c r="A3" s="278"/>
      <c r="B3" s="301">
        <f>FilingDate</f>
        <v>42735</v>
      </c>
      <c r="C3" s="303"/>
    </row>
    <row r="4" spans="1:6" ht="20.100000000000001" customHeight="1">
      <c r="A4" s="278"/>
      <c r="B4" s="304"/>
      <c r="C4" s="303"/>
    </row>
    <row r="5" spans="1:6" ht="20.100000000000001" customHeight="1">
      <c r="A5" s="278"/>
      <c r="B5" s="307">
        <f>F32</f>
        <v>17182</v>
      </c>
      <c r="C5" s="312" t="s">
        <v>544</v>
      </c>
    </row>
    <row r="6" spans="1:6" ht="15" customHeight="1">
      <c r="A6" s="278"/>
      <c r="B6" s="304"/>
      <c r="C6" s="319"/>
      <c r="D6" s="319"/>
      <c r="E6" s="347">
        <v>2016</v>
      </c>
      <c r="F6" s="347">
        <v>2016</v>
      </c>
    </row>
    <row r="7" spans="1:6" ht="18" customHeight="1">
      <c r="B7" s="340" t="s">
        <v>508</v>
      </c>
      <c r="C7" s="340" t="s">
        <v>507</v>
      </c>
      <c r="D7" s="340" t="s">
        <v>506</v>
      </c>
      <c r="E7" s="340" t="s">
        <v>126</v>
      </c>
      <c r="F7" s="340" t="s">
        <v>505</v>
      </c>
    </row>
    <row r="8" spans="1:6" ht="18" customHeight="1">
      <c r="B8" s="341" t="s">
        <v>593</v>
      </c>
      <c r="C8" s="341" t="s">
        <v>594</v>
      </c>
      <c r="D8" s="342">
        <v>0</v>
      </c>
      <c r="E8" s="344">
        <v>6953.91</v>
      </c>
      <c r="F8" s="343">
        <f t="shared" ref="F8:F28" si="0">E8*$D8</f>
        <v>0</v>
      </c>
    </row>
    <row r="9" spans="1:6" ht="18" customHeight="1">
      <c r="B9" s="341" t="s">
        <v>595</v>
      </c>
      <c r="C9" s="341" t="s">
        <v>596</v>
      </c>
      <c r="D9" s="342">
        <v>0</v>
      </c>
      <c r="E9" s="344">
        <v>17733.87</v>
      </c>
      <c r="F9" s="343">
        <f t="shared" si="0"/>
        <v>0</v>
      </c>
    </row>
    <row r="10" spans="1:6" ht="18" customHeight="1">
      <c r="B10" s="341" t="s">
        <v>597</v>
      </c>
      <c r="C10" s="341" t="s">
        <v>598</v>
      </c>
      <c r="D10" s="342">
        <v>0</v>
      </c>
      <c r="E10" s="344">
        <v>1677.22</v>
      </c>
      <c r="F10" s="343">
        <f t="shared" si="0"/>
        <v>0</v>
      </c>
    </row>
    <row r="11" spans="1:6" ht="18" customHeight="1">
      <c r="B11" s="341" t="s">
        <v>599</v>
      </c>
      <c r="C11" s="341" t="s">
        <v>600</v>
      </c>
      <c r="D11" s="342">
        <v>0</v>
      </c>
      <c r="E11" s="344">
        <v>4418.2700000000004</v>
      </c>
      <c r="F11" s="343">
        <f t="shared" si="0"/>
        <v>0</v>
      </c>
    </row>
    <row r="12" spans="1:6" ht="18" customHeight="1">
      <c r="B12" s="341" t="s">
        <v>601</v>
      </c>
      <c r="C12" s="341" t="s">
        <v>602</v>
      </c>
      <c r="D12" s="342">
        <v>0</v>
      </c>
      <c r="E12" s="344">
        <v>1658</v>
      </c>
      <c r="F12" s="343">
        <f t="shared" si="0"/>
        <v>0</v>
      </c>
    </row>
    <row r="13" spans="1:6" ht="18" customHeight="1">
      <c r="B13" s="341" t="s">
        <v>603</v>
      </c>
      <c r="C13" s="341" t="s">
        <v>604</v>
      </c>
      <c r="D13" s="342">
        <v>0</v>
      </c>
      <c r="E13" s="344">
        <v>0</v>
      </c>
      <c r="F13" s="343">
        <f t="shared" si="0"/>
        <v>0</v>
      </c>
    </row>
    <row r="14" spans="1:6" ht="18" customHeight="1">
      <c r="B14" s="341" t="s">
        <v>605</v>
      </c>
      <c r="C14" s="341" t="s">
        <v>606</v>
      </c>
      <c r="D14" s="342">
        <v>0</v>
      </c>
      <c r="E14" s="344">
        <v>2505</v>
      </c>
      <c r="F14" s="343">
        <f t="shared" si="0"/>
        <v>0</v>
      </c>
    </row>
    <row r="15" spans="1:6" ht="18" customHeight="1">
      <c r="B15" s="341" t="s">
        <v>607</v>
      </c>
      <c r="C15" s="341" t="s">
        <v>608</v>
      </c>
      <c r="D15" s="342">
        <v>0</v>
      </c>
      <c r="E15" s="344">
        <v>14197.56</v>
      </c>
      <c r="F15" s="343"/>
    </row>
    <row r="16" spans="1:6" ht="18" customHeight="1">
      <c r="B16" s="341" t="s">
        <v>609</v>
      </c>
      <c r="C16" s="341" t="s">
        <v>610</v>
      </c>
      <c r="D16" s="342">
        <v>0</v>
      </c>
      <c r="E16" s="344">
        <v>6720.48</v>
      </c>
      <c r="F16" s="343"/>
    </row>
    <row r="17" spans="2:6" ht="18" customHeight="1">
      <c r="B17" s="341" t="s">
        <v>611</v>
      </c>
      <c r="C17" s="341" t="s">
        <v>612</v>
      </c>
      <c r="D17" s="342">
        <v>0</v>
      </c>
      <c r="E17" s="344">
        <v>7737.8</v>
      </c>
      <c r="F17" s="343"/>
    </row>
    <row r="18" spans="2:6" ht="18" customHeight="1">
      <c r="B18" s="341" t="s">
        <v>613</v>
      </c>
      <c r="C18" s="341" t="s">
        <v>614</v>
      </c>
      <c r="D18" s="342">
        <v>0</v>
      </c>
      <c r="E18" s="344">
        <v>4303.79</v>
      </c>
      <c r="F18" s="343"/>
    </row>
    <row r="19" spans="2:6" ht="18" customHeight="1">
      <c r="B19" s="341" t="s">
        <v>615</v>
      </c>
      <c r="C19" s="341" t="s">
        <v>616</v>
      </c>
      <c r="D19" s="342">
        <v>0</v>
      </c>
      <c r="E19" s="344">
        <v>-22033.360000000001</v>
      </c>
      <c r="F19" s="343"/>
    </row>
    <row r="20" spans="2:6" ht="18" customHeight="1">
      <c r="B20" s="341" t="s">
        <v>617</v>
      </c>
      <c r="C20" s="341" t="s">
        <v>618</v>
      </c>
      <c r="D20" s="342">
        <v>0</v>
      </c>
      <c r="E20" s="344">
        <v>1482.57</v>
      </c>
      <c r="F20" s="343"/>
    </row>
    <row r="21" spans="2:6" ht="18" customHeight="1">
      <c r="B21" s="341" t="s">
        <v>619</v>
      </c>
      <c r="C21" s="341" t="s">
        <v>620</v>
      </c>
      <c r="D21" s="342">
        <v>0</v>
      </c>
      <c r="E21" s="344">
        <v>43953.97</v>
      </c>
      <c r="F21" s="343"/>
    </row>
    <row r="22" spans="2:6" ht="18" customHeight="1">
      <c r="B22" s="341" t="s">
        <v>621</v>
      </c>
      <c r="C22" s="341" t="s">
        <v>622</v>
      </c>
      <c r="D22" s="342">
        <v>0</v>
      </c>
      <c r="E22" s="344">
        <v>10556.5</v>
      </c>
      <c r="F22" s="343"/>
    </row>
    <row r="23" spans="2:6" ht="18" customHeight="1">
      <c r="B23" s="341" t="s">
        <v>623</v>
      </c>
      <c r="C23" s="341" t="s">
        <v>624</v>
      </c>
      <c r="D23" s="342">
        <v>0</v>
      </c>
      <c r="E23" s="344">
        <v>1690.42</v>
      </c>
      <c r="F23" s="343"/>
    </row>
    <row r="24" spans="2:6" ht="18" customHeight="1">
      <c r="B24" s="341" t="s">
        <v>625</v>
      </c>
      <c r="C24" s="341" t="s">
        <v>626</v>
      </c>
      <c r="D24" s="342">
        <v>0</v>
      </c>
      <c r="E24" s="344">
        <v>257.25</v>
      </c>
      <c r="F24" s="343">
        <f t="shared" si="0"/>
        <v>0</v>
      </c>
    </row>
    <row r="25" spans="2:6" ht="18" customHeight="1">
      <c r="B25" s="341" t="s">
        <v>627</v>
      </c>
      <c r="C25" s="341" t="s">
        <v>628</v>
      </c>
      <c r="D25" s="342">
        <v>0</v>
      </c>
      <c r="E25" s="344">
        <v>2644.82</v>
      </c>
      <c r="F25" s="343">
        <f t="shared" si="0"/>
        <v>0</v>
      </c>
    </row>
    <row r="26" spans="2:6" ht="18" customHeight="1">
      <c r="B26" s="341" t="s">
        <v>629</v>
      </c>
      <c r="C26" s="341" t="s">
        <v>630</v>
      </c>
      <c r="D26" s="342">
        <v>0</v>
      </c>
      <c r="E26" s="344">
        <v>955.65</v>
      </c>
      <c r="F26" s="343">
        <f t="shared" si="0"/>
        <v>0</v>
      </c>
    </row>
    <row r="27" spans="2:6" ht="18" customHeight="1">
      <c r="B27" s="341" t="s">
        <v>631</v>
      </c>
      <c r="C27" s="341" t="s">
        <v>632</v>
      </c>
      <c r="D27" s="342">
        <v>0</v>
      </c>
      <c r="E27" s="344">
        <v>458.58</v>
      </c>
      <c r="F27" s="343">
        <f t="shared" si="0"/>
        <v>0</v>
      </c>
    </row>
    <row r="28" spans="2:6" ht="18" customHeight="1">
      <c r="B28" s="341" t="s">
        <v>633</v>
      </c>
      <c r="C28" s="341" t="s">
        <v>634</v>
      </c>
      <c r="D28" s="342">
        <v>0</v>
      </c>
      <c r="E28" s="344">
        <v>1295.2</v>
      </c>
      <c r="F28" s="343">
        <f t="shared" si="0"/>
        <v>0</v>
      </c>
    </row>
    <row r="29" spans="2:6" ht="18" customHeight="1">
      <c r="B29" s="341"/>
      <c r="C29" s="341"/>
      <c r="D29" s="342"/>
      <c r="E29" s="345"/>
      <c r="F29" s="346">
        <f>SUM(F8:F28)</f>
        <v>0</v>
      </c>
    </row>
    <row r="30" spans="2:6" ht="18" customHeight="1">
      <c r="B30" s="341" t="s">
        <v>635</v>
      </c>
      <c r="C30" s="341" t="s">
        <v>504</v>
      </c>
      <c r="D30" s="342"/>
      <c r="E30" s="345">
        <f>SUM(E8:E29)</f>
        <v>109167.49999999999</v>
      </c>
      <c r="F30" s="314">
        <f>AttachO_Fees</f>
        <v>1652</v>
      </c>
    </row>
    <row r="31" spans="2:6" ht="18" customHeight="1">
      <c r="B31" s="341" t="s">
        <v>635</v>
      </c>
      <c r="C31" s="341" t="s">
        <v>503</v>
      </c>
      <c r="D31" s="342"/>
      <c r="E31" s="345"/>
      <c r="F31" s="314">
        <f>TransmissionLabor</f>
        <v>15530</v>
      </c>
    </row>
    <row r="32" spans="2:6" ht="18" customHeight="1">
      <c r="B32" s="341"/>
      <c r="C32" s="341"/>
      <c r="D32" s="342"/>
      <c r="E32" s="345"/>
      <c r="F32" s="348">
        <f>F31+F29+F30</f>
        <v>17182</v>
      </c>
    </row>
  </sheetData>
  <pageMargins left="0.75" right="0.75" top="1" bottom="1" header="0.5" footer="0.5"/>
  <pageSetup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showGridLines="0" workbookViewId="0">
      <selection activeCell="K30" sqref="K30"/>
    </sheetView>
  </sheetViews>
  <sheetFormatPr defaultRowHeight="15" customHeight="1"/>
  <cols>
    <col min="1" max="1" width="3.33203125" style="274" customWidth="1"/>
    <col min="2" max="2" width="32.88671875" style="280" customWidth="1"/>
    <col min="3" max="3" width="11.6640625" style="281" customWidth="1"/>
    <col min="4" max="4" width="55.77734375" style="280" customWidth="1"/>
    <col min="5" max="5" width="0.5546875" style="274" customWidth="1"/>
    <col min="6" max="16384" width="8.88671875" style="274"/>
  </cols>
  <sheetData>
    <row r="1" spans="2:5" ht="20.100000000000001" customHeight="1">
      <c r="B1" s="299" t="str">
        <f>EntityName</f>
        <v>Windom, MN</v>
      </c>
      <c r="C1" s="274"/>
      <c r="D1" s="274"/>
    </row>
    <row r="2" spans="2:5" ht="20.100000000000001" customHeight="1">
      <c r="B2" s="300" t="s">
        <v>528</v>
      </c>
      <c r="C2" s="296"/>
      <c r="D2" s="296"/>
      <c r="E2" s="296"/>
    </row>
    <row r="3" spans="2:5" ht="20.100000000000001" customHeight="1">
      <c r="B3" s="301">
        <f>FilingDate</f>
        <v>42735</v>
      </c>
      <c r="C3" s="274"/>
      <c r="D3" s="319"/>
    </row>
    <row r="4" spans="2:5" ht="20.100000000000001" customHeight="1">
      <c r="B4" s="308"/>
      <c r="D4" s="319"/>
    </row>
    <row r="5" spans="2:5" ht="20.100000000000001" customHeight="1">
      <c r="C5" s="387">
        <f>ROUND(C32,0)</f>
        <v>322545</v>
      </c>
      <c r="D5" s="312" t="s">
        <v>545</v>
      </c>
    </row>
    <row r="6" spans="2:5" ht="20.100000000000001" customHeight="1">
      <c r="B6" s="312"/>
      <c r="C6" s="274"/>
      <c r="D6" s="319"/>
    </row>
    <row r="7" spans="2:5" ht="15" customHeight="1">
      <c r="B7" s="320" t="s">
        <v>558</v>
      </c>
      <c r="C7" s="356" t="s">
        <v>7</v>
      </c>
      <c r="D7" s="319"/>
    </row>
    <row r="8" spans="2:5" ht="18" customHeight="1">
      <c r="B8" s="326" t="s">
        <v>523</v>
      </c>
      <c r="C8" s="350">
        <v>4950.82</v>
      </c>
      <c r="D8" s="319"/>
    </row>
    <row r="9" spans="2:5" ht="18" customHeight="1">
      <c r="B9" s="326" t="s">
        <v>522</v>
      </c>
      <c r="C9" s="350">
        <v>4658.5200000000004</v>
      </c>
      <c r="D9" s="319"/>
    </row>
    <row r="10" spans="2:5" ht="18" customHeight="1">
      <c r="B10" s="326" t="s">
        <v>521</v>
      </c>
      <c r="C10" s="350">
        <f>4347.94+262.41+0.1</f>
        <v>4610.45</v>
      </c>
      <c r="D10" s="319"/>
    </row>
    <row r="11" spans="2:5" ht="18" customHeight="1">
      <c r="B11" s="326" t="s">
        <v>520</v>
      </c>
      <c r="C11" s="350">
        <f>2671.5+9118+2176+0.4</f>
        <v>13965.9</v>
      </c>
      <c r="D11" s="319"/>
    </row>
    <row r="12" spans="2:5" ht="18" customHeight="1">
      <c r="B12" s="326" t="s">
        <v>587</v>
      </c>
      <c r="C12" s="350">
        <f>3158.11+0.3</f>
        <v>3158.4100000000003</v>
      </c>
      <c r="D12" s="319"/>
    </row>
    <row r="13" spans="2:5" ht="18" customHeight="1">
      <c r="B13" s="326" t="s">
        <v>589</v>
      </c>
      <c r="C13" s="350">
        <f>2006.3+2125.78+1751.18</f>
        <v>5883.26</v>
      </c>
      <c r="D13" s="319"/>
    </row>
    <row r="14" spans="2:5" ht="18" customHeight="1">
      <c r="B14" s="326" t="s">
        <v>590</v>
      </c>
      <c r="C14" s="350">
        <f>2321.17+5053.41</f>
        <v>7374.58</v>
      </c>
      <c r="D14" s="319"/>
    </row>
    <row r="15" spans="2:5" ht="18" customHeight="1">
      <c r="B15" s="326" t="s">
        <v>538</v>
      </c>
      <c r="C15" s="350">
        <f>7241.97+60967.26+2277+8670.65+1314.53</f>
        <v>80471.409999999989</v>
      </c>
      <c r="D15" s="319"/>
    </row>
    <row r="16" spans="2:5" ht="18" customHeight="1">
      <c r="B16" s="326" t="s">
        <v>588</v>
      </c>
      <c r="C16" s="350">
        <f>839.85+252.49+1433.41+1570</f>
        <v>4095.75</v>
      </c>
      <c r="D16" s="319"/>
    </row>
    <row r="17" spans="2:4" ht="18" customHeight="1">
      <c r="B17" s="326" t="s">
        <v>519</v>
      </c>
      <c r="C17" s="350">
        <f>76+407.7</f>
        <v>483.7</v>
      </c>
      <c r="D17" s="319"/>
    </row>
    <row r="18" spans="2:4" ht="18" customHeight="1">
      <c r="B18" s="326" t="s">
        <v>518</v>
      </c>
      <c r="C18" s="350">
        <v>15699.46</v>
      </c>
      <c r="D18" s="319"/>
    </row>
    <row r="19" spans="2:4" ht="18" customHeight="1">
      <c r="B19" s="326" t="s">
        <v>517</v>
      </c>
      <c r="C19" s="350">
        <v>38729.949999999997</v>
      </c>
      <c r="D19" s="319"/>
    </row>
    <row r="20" spans="2:4" ht="18" customHeight="1">
      <c r="B20" s="326" t="s">
        <v>638</v>
      </c>
      <c r="C20" s="350">
        <v>14400</v>
      </c>
      <c r="D20" s="319"/>
    </row>
    <row r="21" spans="2:4" ht="18" customHeight="1">
      <c r="B21" s="326" t="s">
        <v>649</v>
      </c>
      <c r="C21" s="350">
        <f>+S4_TransOM!E30</f>
        <v>109167.49999999999</v>
      </c>
      <c r="D21" s="319"/>
    </row>
    <row r="22" spans="2:4" ht="18" customHeight="1">
      <c r="B22" s="326" t="s">
        <v>516</v>
      </c>
      <c r="C22" s="350">
        <v>85532.97</v>
      </c>
      <c r="D22" s="319"/>
    </row>
    <row r="23" spans="2:4" ht="18" customHeight="1">
      <c r="B23" s="362" t="s">
        <v>637</v>
      </c>
      <c r="C23" s="363">
        <f>SUM(C8:C22)</f>
        <v>393182.67999999993</v>
      </c>
      <c r="D23" s="309" t="s">
        <v>648</v>
      </c>
    </row>
    <row r="24" spans="2:4" ht="18" customHeight="1">
      <c r="B24" s="319"/>
      <c r="C24" s="357"/>
      <c r="D24" s="319"/>
    </row>
    <row r="25" spans="2:4" ht="18" customHeight="1">
      <c r="B25" s="274"/>
      <c r="C25" s="358"/>
      <c r="D25" s="319"/>
    </row>
    <row r="26" spans="2:4" ht="18" customHeight="1">
      <c r="B26" s="320" t="s">
        <v>573</v>
      </c>
      <c r="C26" s="356" t="s">
        <v>7</v>
      </c>
      <c r="D26" s="309"/>
    </row>
    <row r="27" spans="2:4" ht="18" customHeight="1">
      <c r="B27" s="326" t="s">
        <v>650</v>
      </c>
      <c r="C27" s="350">
        <f>-C21</f>
        <v>-109167.49999999999</v>
      </c>
      <c r="D27" s="309"/>
    </row>
    <row r="28" spans="2:4" ht="18" customHeight="1">
      <c r="B28" s="326" t="s">
        <v>639</v>
      </c>
      <c r="C28" s="350">
        <f>-C22-C20</f>
        <v>-99932.97</v>
      </c>
      <c r="D28" s="311" t="s">
        <v>514</v>
      </c>
    </row>
    <row r="29" spans="2:4" ht="18" customHeight="1">
      <c r="B29" s="326" t="str">
        <f>B8</f>
        <v>Bad debt expense</v>
      </c>
      <c r="C29" s="350">
        <f>-C8</f>
        <v>-4950.82</v>
      </c>
      <c r="D29" s="310" t="s">
        <v>515</v>
      </c>
    </row>
    <row r="30" spans="2:4" ht="18" customHeight="1">
      <c r="B30" s="326" t="s">
        <v>513</v>
      </c>
      <c r="C30" s="350">
        <f>-AttachO_Fees</f>
        <v>-1652</v>
      </c>
      <c r="D30" s="310" t="s">
        <v>578</v>
      </c>
    </row>
    <row r="31" spans="2:4" ht="18" customHeight="1">
      <c r="B31" s="326" t="s">
        <v>647</v>
      </c>
      <c r="C31" s="350">
        <f>AdminLabor</f>
        <v>145066</v>
      </c>
      <c r="D31" s="309" t="s">
        <v>646</v>
      </c>
    </row>
    <row r="32" spans="2:4" ht="18" customHeight="1">
      <c r="B32" s="362" t="s">
        <v>561</v>
      </c>
      <c r="C32" s="363">
        <f>C23+SUM(C27:C31)</f>
        <v>322545.38999999996</v>
      </c>
      <c r="D32" s="310"/>
    </row>
    <row r="33" spans="2:4" ht="18" customHeight="1">
      <c r="B33" s="289"/>
      <c r="C33" s="290"/>
      <c r="D33" s="289"/>
    </row>
    <row r="34" spans="2:4" ht="18" customHeight="1"/>
  </sheetData>
  <pageMargins left="0.25" right="0.25" top="0.75" bottom="0.75" header="0.3" footer="0.3"/>
  <pageSetup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workbookViewId="0">
      <selection activeCell="K30" sqref="K30"/>
    </sheetView>
  </sheetViews>
  <sheetFormatPr defaultRowHeight="12.75"/>
  <cols>
    <col min="1" max="1" width="3.33203125" style="274" customWidth="1"/>
    <col min="2" max="2" width="13.88671875" style="274" customWidth="1"/>
    <col min="3" max="3" width="16.44140625" style="274" customWidth="1"/>
    <col min="4" max="4" width="11.21875" style="274" customWidth="1"/>
    <col min="5" max="16384" width="8.88671875" style="274"/>
  </cols>
  <sheetData>
    <row r="1" spans="2:10" ht="20.100000000000001" customHeight="1">
      <c r="B1" s="299" t="str">
        <f>EntityName</f>
        <v>Windom, MN</v>
      </c>
      <c r="C1" s="303"/>
    </row>
    <row r="2" spans="2:10" ht="20.100000000000001" customHeight="1">
      <c r="B2" s="300" t="s">
        <v>529</v>
      </c>
      <c r="C2" s="305"/>
      <c r="D2" s="296"/>
      <c r="E2" s="296"/>
      <c r="F2" s="296"/>
      <c r="G2" s="296"/>
      <c r="H2" s="296"/>
    </row>
    <row r="3" spans="2:10" ht="20.100000000000001" customHeight="1">
      <c r="B3" s="301">
        <f>FilingDate</f>
        <v>42735</v>
      </c>
      <c r="C3" s="303"/>
    </row>
    <row r="4" spans="2:10" ht="20.100000000000001" customHeight="1"/>
    <row r="5" spans="2:10" s="323" customFormat="1" ht="18" customHeight="1">
      <c r="B5" s="387">
        <v>176717</v>
      </c>
      <c r="C5" s="312" t="s">
        <v>546</v>
      </c>
      <c r="D5" s="319"/>
      <c r="E5" s="319"/>
      <c r="F5" s="319"/>
      <c r="G5" s="319"/>
    </row>
    <row r="6" spans="2:10" s="323" customFormat="1" ht="18" customHeight="1">
      <c r="B6" s="349"/>
      <c r="C6" s="319" t="s">
        <v>586</v>
      </c>
      <c r="D6" s="319"/>
      <c r="E6" s="319"/>
      <c r="F6" s="319"/>
      <c r="G6" s="319"/>
    </row>
    <row r="7" spans="2:10" s="323" customFormat="1" ht="18" customHeight="1">
      <c r="B7" s="349"/>
      <c r="C7" s="319" t="s">
        <v>592</v>
      </c>
      <c r="D7" s="319"/>
      <c r="E7" s="319"/>
      <c r="F7" s="319"/>
      <c r="G7" s="319"/>
    </row>
    <row r="8" spans="2:10" s="323" customFormat="1" ht="18" customHeight="1">
      <c r="B8" s="349"/>
      <c r="C8" s="319"/>
      <c r="D8" s="319"/>
      <c r="E8" s="319"/>
      <c r="F8" s="319"/>
      <c r="G8" s="319"/>
    </row>
    <row r="9" spans="2:10" s="323" customFormat="1" ht="18" customHeight="1">
      <c r="B9" s="387">
        <f>S3_Labor!E23</f>
        <v>35450</v>
      </c>
      <c r="C9" s="312" t="s">
        <v>547</v>
      </c>
      <c r="D9" s="319"/>
      <c r="E9" s="319"/>
      <c r="F9" s="319"/>
      <c r="G9" s="319"/>
    </row>
    <row r="10" spans="2:10" s="323" customFormat="1" ht="18" customHeight="1">
      <c r="B10" s="349"/>
      <c r="C10" s="319" t="s">
        <v>591</v>
      </c>
      <c r="D10" s="319"/>
      <c r="E10" s="319"/>
      <c r="F10" s="319"/>
      <c r="G10" s="319"/>
    </row>
    <row r="11" spans="2:10" s="323" customFormat="1" ht="18" customHeight="1">
      <c r="B11" s="349"/>
      <c r="C11" s="319"/>
      <c r="D11" s="319"/>
      <c r="E11" s="319"/>
      <c r="F11" s="319"/>
      <c r="G11" s="319"/>
    </row>
    <row r="12" spans="2:10" s="323" customFormat="1" ht="18" customHeight="1">
      <c r="B12" s="388"/>
    </row>
    <row r="13" spans="2:10" s="323" customFormat="1" ht="18" customHeight="1">
      <c r="B13" s="387">
        <f>ROUND(D30,0)</f>
        <v>1652</v>
      </c>
      <c r="C13" s="312" t="s">
        <v>557</v>
      </c>
      <c r="D13" s="319"/>
      <c r="E13" s="313"/>
      <c r="F13" s="313"/>
      <c r="G13" s="313"/>
      <c r="H13" s="313"/>
      <c r="I13" s="353"/>
      <c r="J13" s="353"/>
    </row>
    <row r="14" spans="2:10" s="323" customFormat="1" ht="18" customHeight="1">
      <c r="B14" s="312"/>
      <c r="C14" s="312"/>
      <c r="D14" s="319"/>
      <c r="E14" s="313"/>
      <c r="F14" s="313"/>
      <c r="G14" s="313"/>
      <c r="H14" s="313"/>
      <c r="I14" s="353"/>
      <c r="J14" s="353"/>
    </row>
    <row r="15" spans="2:10" s="323" customFormat="1" ht="18" customHeight="1">
      <c r="B15" s="295"/>
      <c r="C15" s="295"/>
      <c r="E15" s="353"/>
      <c r="F15" s="353"/>
      <c r="G15" s="353"/>
      <c r="H15" s="353"/>
      <c r="I15" s="353"/>
      <c r="J15" s="353"/>
    </row>
    <row r="16" spans="2:10" s="323" customFormat="1" ht="18" customHeight="1">
      <c r="B16" s="320" t="s">
        <v>530</v>
      </c>
      <c r="C16" s="320" t="s">
        <v>507</v>
      </c>
      <c r="D16" s="320" t="s">
        <v>7</v>
      </c>
      <c r="E16" s="313"/>
      <c r="F16" s="313"/>
      <c r="G16" s="313"/>
      <c r="H16" s="353"/>
      <c r="I16" s="353"/>
      <c r="J16" s="353"/>
    </row>
    <row r="17" spans="2:10" s="323" customFormat="1" ht="18" customHeight="1">
      <c r="B17" s="326">
        <v>201601</v>
      </c>
      <c r="C17" s="397">
        <v>42370</v>
      </c>
      <c r="D17" s="354">
        <v>107.79</v>
      </c>
      <c r="E17" s="314"/>
      <c r="F17" s="313"/>
      <c r="G17" s="313"/>
      <c r="H17" s="353"/>
      <c r="I17" s="353"/>
      <c r="J17" s="353"/>
    </row>
    <row r="18" spans="2:10" s="323" customFormat="1" ht="18" customHeight="1">
      <c r="B18" s="326">
        <v>201602</v>
      </c>
      <c r="C18" s="397">
        <v>42401</v>
      </c>
      <c r="D18" s="354">
        <v>94.04</v>
      </c>
      <c r="E18" s="314"/>
      <c r="F18" s="313"/>
      <c r="G18" s="313"/>
      <c r="H18" s="353"/>
      <c r="I18" s="353"/>
      <c r="J18" s="353"/>
    </row>
    <row r="19" spans="2:10" s="323" customFormat="1" ht="18" customHeight="1">
      <c r="B19" s="326">
        <v>201603</v>
      </c>
      <c r="C19" s="397">
        <v>42430</v>
      </c>
      <c r="D19" s="354">
        <v>96.37</v>
      </c>
      <c r="E19" s="314"/>
      <c r="F19" s="313"/>
      <c r="G19" s="313"/>
      <c r="H19" s="353"/>
      <c r="I19" s="353"/>
      <c r="J19" s="353"/>
    </row>
    <row r="20" spans="2:10" s="323" customFormat="1" ht="18" customHeight="1">
      <c r="B20" s="326">
        <v>201604</v>
      </c>
      <c r="C20" s="397">
        <v>42461</v>
      </c>
      <c r="D20" s="354">
        <v>85.13</v>
      </c>
      <c r="E20" s="314"/>
      <c r="F20" s="313"/>
      <c r="G20" s="313"/>
      <c r="H20" s="353"/>
      <c r="I20" s="353"/>
      <c r="J20" s="353"/>
    </row>
    <row r="21" spans="2:10" s="323" customFormat="1" ht="18" customHeight="1">
      <c r="B21" s="326">
        <v>201605</v>
      </c>
      <c r="C21" s="397">
        <v>42491</v>
      </c>
      <c r="D21" s="354">
        <v>100.25</v>
      </c>
      <c r="E21" s="314"/>
      <c r="F21" s="313"/>
      <c r="G21" s="313"/>
      <c r="H21" s="353"/>
      <c r="I21" s="353"/>
      <c r="J21" s="353"/>
    </row>
    <row r="22" spans="2:10" s="323" customFormat="1" ht="18" customHeight="1">
      <c r="B22" s="326">
        <v>201606</v>
      </c>
      <c r="C22" s="397">
        <v>42522</v>
      </c>
      <c r="D22" s="354">
        <v>157.69</v>
      </c>
      <c r="E22" s="314"/>
      <c r="F22" s="313"/>
      <c r="G22" s="313"/>
      <c r="H22" s="353"/>
      <c r="I22" s="353"/>
      <c r="J22" s="353"/>
    </row>
    <row r="23" spans="2:10" s="323" customFormat="1" ht="18" customHeight="1">
      <c r="B23" s="326">
        <v>201607</v>
      </c>
      <c r="C23" s="397">
        <v>42552</v>
      </c>
      <c r="D23" s="354">
        <v>172.77</v>
      </c>
      <c r="E23" s="314"/>
      <c r="F23" s="313"/>
      <c r="G23" s="313"/>
      <c r="H23" s="353"/>
      <c r="I23" s="353"/>
      <c r="J23" s="353"/>
    </row>
    <row r="24" spans="2:10" s="323" customFormat="1" ht="18" customHeight="1">
      <c r="B24" s="326">
        <v>201608</v>
      </c>
      <c r="C24" s="397">
        <v>42583</v>
      </c>
      <c r="D24" s="354">
        <v>188.05</v>
      </c>
      <c r="E24" s="314"/>
      <c r="F24" s="313"/>
      <c r="G24" s="313"/>
      <c r="H24" s="353"/>
      <c r="I24" s="353"/>
      <c r="J24" s="353"/>
    </row>
    <row r="25" spans="2:10" s="323" customFormat="1" ht="18" customHeight="1">
      <c r="B25" s="326">
        <v>201609</v>
      </c>
      <c r="C25" s="397">
        <v>42614</v>
      </c>
      <c r="D25" s="354">
        <v>188.15</v>
      </c>
      <c r="E25" s="314"/>
      <c r="F25" s="313"/>
      <c r="G25" s="313"/>
      <c r="H25" s="353"/>
      <c r="I25" s="353"/>
      <c r="J25" s="353"/>
    </row>
    <row r="26" spans="2:10" s="323" customFormat="1" ht="18" customHeight="1">
      <c r="B26" s="326">
        <v>201610</v>
      </c>
      <c r="C26" s="397">
        <v>42644</v>
      </c>
      <c r="D26" s="354">
        <v>159.87</v>
      </c>
      <c r="E26" s="370"/>
      <c r="F26" s="313"/>
      <c r="G26" s="313"/>
      <c r="H26" s="353"/>
      <c r="I26" s="353"/>
      <c r="J26" s="353"/>
    </row>
    <row r="27" spans="2:10" s="323" customFormat="1" ht="18" customHeight="1">
      <c r="B27" s="326">
        <v>201611</v>
      </c>
      <c r="C27" s="397">
        <v>42675</v>
      </c>
      <c r="D27" s="354">
        <v>137.47</v>
      </c>
      <c r="E27" s="314"/>
      <c r="F27" s="313"/>
      <c r="G27" s="313"/>
      <c r="H27" s="353"/>
      <c r="I27" s="353"/>
      <c r="J27" s="353"/>
    </row>
    <row r="28" spans="2:10" s="323" customFormat="1" ht="18" customHeight="1">
      <c r="B28" s="326">
        <v>201612</v>
      </c>
      <c r="C28" s="397">
        <v>42705</v>
      </c>
      <c r="D28" s="354">
        <v>164.48</v>
      </c>
      <c r="E28" s="314"/>
      <c r="F28" s="313"/>
      <c r="G28" s="313"/>
      <c r="H28" s="353"/>
      <c r="I28" s="353"/>
      <c r="J28" s="353"/>
    </row>
    <row r="29" spans="2:10" s="323" customFormat="1" ht="18" customHeight="1">
      <c r="B29" s="322"/>
      <c r="C29" s="397"/>
      <c r="D29" s="354"/>
      <c r="E29" s="313"/>
      <c r="F29" s="313"/>
      <c r="G29" s="313"/>
      <c r="H29" s="353"/>
      <c r="I29" s="353"/>
      <c r="J29" s="353"/>
    </row>
    <row r="30" spans="2:10" s="323" customFormat="1" ht="18" customHeight="1">
      <c r="B30" s="364"/>
      <c r="C30" s="365"/>
      <c r="D30" s="366">
        <f>SUM(D17:D29)</f>
        <v>1652.0600000000002</v>
      </c>
      <c r="E30" s="355" t="s">
        <v>554</v>
      </c>
      <c r="F30" s="313"/>
      <c r="G30" s="313"/>
      <c r="H30" s="353"/>
      <c r="I30" s="353"/>
      <c r="J30" s="353"/>
    </row>
    <row r="31" spans="2:10" ht="18" customHeight="1">
      <c r="D31" s="396"/>
    </row>
    <row r="32" spans="2:10" ht="18" customHeight="1"/>
  </sheetData>
  <pageMargins left="0.75" right="0.75" top="1" bottom="1" header="0.5" footer="0.5"/>
  <pageSetup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H38"/>
  <sheetViews>
    <sheetView showGridLines="0" workbookViewId="0">
      <selection activeCell="K30" sqref="K30"/>
    </sheetView>
  </sheetViews>
  <sheetFormatPr defaultRowHeight="15" customHeight="1"/>
  <cols>
    <col min="1" max="1" width="3.33203125" style="282" customWidth="1"/>
    <col min="2" max="2" width="12.109375" style="282" customWidth="1"/>
    <col min="3" max="3" width="13.5546875" style="282" bestFit="1" customWidth="1"/>
    <col min="4" max="4" width="8.88671875" style="282" customWidth="1"/>
    <col min="5" max="5" width="12.33203125" style="282" customWidth="1"/>
    <col min="6" max="6" width="11.88671875" style="282" customWidth="1"/>
    <col min="7" max="7" width="14.109375" style="282" customWidth="1"/>
    <col min="8" max="16384" width="8.88671875" style="282"/>
  </cols>
  <sheetData>
    <row r="1" spans="2:8" s="284" customFormat="1" ht="20.100000000000001" customHeight="1">
      <c r="B1" s="299" t="str">
        <f>EntityName</f>
        <v>Windom, MN</v>
      </c>
      <c r="C1" s="303"/>
      <c r="D1" s="303"/>
      <c r="E1" s="303"/>
      <c r="F1" s="303"/>
      <c r="G1" s="303"/>
      <c r="H1" s="303"/>
    </row>
    <row r="2" spans="2:8" ht="20.100000000000001" customHeight="1">
      <c r="B2" s="425" t="s">
        <v>531</v>
      </c>
      <c r="C2" s="425"/>
      <c r="D2" s="425"/>
      <c r="E2" s="425"/>
      <c r="F2" s="425"/>
      <c r="G2" s="425"/>
      <c r="H2" s="425"/>
    </row>
    <row r="3" spans="2:8" ht="20.100000000000001" customHeight="1">
      <c r="B3" s="301">
        <f>FilingDate</f>
        <v>42735</v>
      </c>
      <c r="C3" s="303"/>
      <c r="D3" s="303"/>
      <c r="E3" s="303"/>
      <c r="F3" s="303"/>
      <c r="G3" s="303"/>
      <c r="H3" s="303"/>
    </row>
    <row r="4" spans="2:8" ht="20.100000000000001" customHeight="1">
      <c r="B4" s="301"/>
      <c r="C4" s="303"/>
      <c r="D4" s="303"/>
      <c r="E4" s="303"/>
      <c r="F4" s="303"/>
      <c r="G4" s="303"/>
      <c r="H4" s="303"/>
    </row>
    <row r="5" spans="2:8" ht="20.100000000000001" customHeight="1">
      <c r="B5" s="391">
        <f>ROUND(F34,0)</f>
        <v>895</v>
      </c>
      <c r="C5" s="377" t="s">
        <v>660</v>
      </c>
      <c r="D5" s="303"/>
      <c r="E5" s="303"/>
      <c r="F5" s="303"/>
      <c r="G5" s="303"/>
      <c r="H5" s="303"/>
    </row>
    <row r="7" spans="2:8" ht="18" customHeight="1">
      <c r="B7" s="325" t="s">
        <v>549</v>
      </c>
      <c r="C7" s="325" t="s">
        <v>550</v>
      </c>
      <c r="D7" s="320" t="s">
        <v>577</v>
      </c>
      <c r="E7" s="325" t="s">
        <v>551</v>
      </c>
      <c r="F7" s="321" t="s">
        <v>7</v>
      </c>
      <c r="G7" s="321" t="s">
        <v>552</v>
      </c>
    </row>
    <row r="8" spans="2:8" ht="18" customHeight="1">
      <c r="B8" s="326">
        <v>201601</v>
      </c>
      <c r="C8" s="326" t="s">
        <v>574</v>
      </c>
      <c r="D8" s="372">
        <v>7</v>
      </c>
      <c r="E8" s="326">
        <f>+B8</f>
        <v>201601</v>
      </c>
      <c r="F8" s="373">
        <v>56.35</v>
      </c>
      <c r="G8" s="373"/>
    </row>
    <row r="9" spans="2:8" ht="18" customHeight="1">
      <c r="B9" s="326">
        <v>201602</v>
      </c>
      <c r="C9" s="326" t="s">
        <v>574</v>
      </c>
      <c r="D9" s="372">
        <v>7</v>
      </c>
      <c r="E9" s="326">
        <f t="shared" ref="E9:E19" si="0">+B9</f>
        <v>201602</v>
      </c>
      <c r="F9" s="373">
        <v>53.39</v>
      </c>
      <c r="G9" s="373"/>
    </row>
    <row r="10" spans="2:8" ht="18" customHeight="1">
      <c r="B10" s="326">
        <v>201603</v>
      </c>
      <c r="C10" s="326" t="s">
        <v>574</v>
      </c>
      <c r="D10" s="372">
        <v>7</v>
      </c>
      <c r="E10" s="326">
        <f t="shared" si="0"/>
        <v>201603</v>
      </c>
      <c r="F10" s="373">
        <v>57.02</v>
      </c>
      <c r="G10" s="373"/>
    </row>
    <row r="11" spans="2:8" ht="18" customHeight="1">
      <c r="B11" s="326">
        <v>201604</v>
      </c>
      <c r="C11" s="326" t="s">
        <v>574</v>
      </c>
      <c r="D11" s="372">
        <v>7</v>
      </c>
      <c r="E11" s="326">
        <f t="shared" si="0"/>
        <v>201604</v>
      </c>
      <c r="F11" s="373">
        <v>51.33</v>
      </c>
      <c r="G11" s="373"/>
    </row>
    <row r="12" spans="2:8" ht="18" customHeight="1">
      <c r="B12" s="326">
        <v>201605</v>
      </c>
      <c r="C12" s="326" t="s">
        <v>574</v>
      </c>
      <c r="D12" s="372">
        <v>7</v>
      </c>
      <c r="E12" s="326">
        <f t="shared" si="0"/>
        <v>201605</v>
      </c>
      <c r="F12" s="373">
        <v>57.38</v>
      </c>
      <c r="G12" s="373"/>
    </row>
    <row r="13" spans="2:8" ht="18" customHeight="1">
      <c r="B13" s="326">
        <v>201606</v>
      </c>
      <c r="C13" s="326" t="s">
        <v>574</v>
      </c>
      <c r="D13" s="372">
        <v>7</v>
      </c>
      <c r="E13" s="326">
        <f t="shared" si="0"/>
        <v>201606</v>
      </c>
      <c r="F13" s="373">
        <v>76.7</v>
      </c>
      <c r="G13" s="373"/>
    </row>
    <row r="14" spans="2:8" ht="18" customHeight="1">
      <c r="B14" s="326">
        <v>201607</v>
      </c>
      <c r="C14" s="326" t="s">
        <v>574</v>
      </c>
      <c r="D14" s="372">
        <v>7</v>
      </c>
      <c r="E14" s="326">
        <f t="shared" si="0"/>
        <v>201607</v>
      </c>
      <c r="F14" s="373">
        <v>93.94</v>
      </c>
      <c r="G14" s="373"/>
    </row>
    <row r="15" spans="2:8" ht="18" customHeight="1">
      <c r="B15" s="326">
        <v>201608</v>
      </c>
      <c r="C15" s="326" t="s">
        <v>574</v>
      </c>
      <c r="D15" s="372">
        <v>7</v>
      </c>
      <c r="E15" s="326">
        <f t="shared" si="0"/>
        <v>201608</v>
      </c>
      <c r="F15" s="373">
        <v>2.76</v>
      </c>
      <c r="G15" s="373"/>
    </row>
    <row r="16" spans="2:8" ht="18" customHeight="1">
      <c r="B16" s="326">
        <v>201609</v>
      </c>
      <c r="C16" s="326" t="s">
        <v>574</v>
      </c>
      <c r="D16" s="372">
        <v>7</v>
      </c>
      <c r="E16" s="326">
        <f t="shared" si="0"/>
        <v>201609</v>
      </c>
      <c r="F16" s="373">
        <v>102.97</v>
      </c>
      <c r="G16" s="373"/>
    </row>
    <row r="17" spans="2:7" ht="18" customHeight="1">
      <c r="B17" s="326">
        <v>201610</v>
      </c>
      <c r="C17" s="326" t="s">
        <v>574</v>
      </c>
      <c r="D17" s="372">
        <v>7</v>
      </c>
      <c r="E17" s="326">
        <f t="shared" si="0"/>
        <v>201610</v>
      </c>
      <c r="F17" s="373">
        <v>121.98</v>
      </c>
      <c r="G17" s="373"/>
    </row>
    <row r="18" spans="2:7" ht="18" customHeight="1">
      <c r="B18" s="326">
        <v>201611</v>
      </c>
      <c r="C18" s="326" t="s">
        <v>574</v>
      </c>
      <c r="D18" s="372">
        <v>7</v>
      </c>
      <c r="E18" s="326">
        <f t="shared" si="0"/>
        <v>201611</v>
      </c>
      <c r="F18" s="373">
        <v>99.11</v>
      </c>
      <c r="G18" s="373"/>
    </row>
    <row r="19" spans="2:7" ht="18" customHeight="1">
      <c r="B19" s="326">
        <v>201612</v>
      </c>
      <c r="C19" s="326" t="s">
        <v>574</v>
      </c>
      <c r="D19" s="372">
        <v>7</v>
      </c>
      <c r="E19" s="326">
        <f t="shared" si="0"/>
        <v>201612</v>
      </c>
      <c r="F19" s="373">
        <v>88.95</v>
      </c>
      <c r="G19" s="373"/>
    </row>
    <row r="20" spans="2:7" ht="18" customHeight="1">
      <c r="B20" s="326"/>
      <c r="C20" s="326"/>
      <c r="D20" s="372"/>
      <c r="E20" s="326"/>
      <c r="F20" s="373"/>
      <c r="G20" s="373">
        <f>SUM(F8:F20)</f>
        <v>861.88000000000011</v>
      </c>
    </row>
    <row r="21" spans="2:7" ht="18" customHeight="1">
      <c r="B21" s="326">
        <v>201601</v>
      </c>
      <c r="C21" s="326" t="s">
        <v>575</v>
      </c>
      <c r="D21" s="372">
        <v>8</v>
      </c>
      <c r="E21" s="326">
        <f>+B21</f>
        <v>201601</v>
      </c>
      <c r="F21" s="373">
        <v>2.79</v>
      </c>
      <c r="G21" s="373"/>
    </row>
    <row r="22" spans="2:7" ht="18" customHeight="1">
      <c r="B22" s="326">
        <v>201602</v>
      </c>
      <c r="C22" s="326" t="s">
        <v>575</v>
      </c>
      <c r="D22" s="372">
        <v>8</v>
      </c>
      <c r="E22" s="326">
        <f t="shared" ref="E22:E32" si="1">+B22</f>
        <v>201602</v>
      </c>
      <c r="F22" s="373">
        <v>1.4</v>
      </c>
      <c r="G22" s="373"/>
    </row>
    <row r="23" spans="2:7" ht="18" customHeight="1">
      <c r="B23" s="326">
        <v>201603</v>
      </c>
      <c r="C23" s="326" t="s">
        <v>575</v>
      </c>
      <c r="D23" s="372">
        <v>8</v>
      </c>
      <c r="E23" s="326">
        <f t="shared" si="1"/>
        <v>201603</v>
      </c>
      <c r="F23" s="373">
        <v>1.81</v>
      </c>
      <c r="G23" s="373"/>
    </row>
    <row r="24" spans="2:7" ht="18" customHeight="1">
      <c r="B24" s="326">
        <v>201604</v>
      </c>
      <c r="C24" s="326" t="s">
        <v>575</v>
      </c>
      <c r="D24" s="372">
        <v>8</v>
      </c>
      <c r="E24" s="326">
        <f t="shared" si="1"/>
        <v>201604</v>
      </c>
      <c r="F24" s="373">
        <v>1.5</v>
      </c>
      <c r="G24" s="373"/>
    </row>
    <row r="25" spans="2:7" ht="18" customHeight="1">
      <c r="B25" s="326">
        <v>201605</v>
      </c>
      <c r="C25" s="326" t="s">
        <v>575</v>
      </c>
      <c r="D25" s="372">
        <v>8</v>
      </c>
      <c r="E25" s="326">
        <f t="shared" si="1"/>
        <v>201605</v>
      </c>
      <c r="F25" s="373">
        <v>1.1200000000000001</v>
      </c>
      <c r="G25" s="373"/>
    </row>
    <row r="26" spans="2:7" ht="18" customHeight="1">
      <c r="B26" s="326">
        <v>201606</v>
      </c>
      <c r="C26" s="326" t="s">
        <v>575</v>
      </c>
      <c r="D26" s="372">
        <v>8</v>
      </c>
      <c r="E26" s="326">
        <f t="shared" si="1"/>
        <v>201606</v>
      </c>
      <c r="F26" s="373">
        <v>2.09</v>
      </c>
      <c r="G26" s="373"/>
    </row>
    <row r="27" spans="2:7" ht="18" customHeight="1">
      <c r="B27" s="326">
        <v>201607</v>
      </c>
      <c r="C27" s="326" t="s">
        <v>575</v>
      </c>
      <c r="D27" s="372">
        <v>8</v>
      </c>
      <c r="E27" s="326">
        <f t="shared" si="1"/>
        <v>201607</v>
      </c>
      <c r="F27" s="373">
        <v>1.86</v>
      </c>
      <c r="G27" s="373"/>
    </row>
    <row r="28" spans="2:7" ht="18" customHeight="1">
      <c r="B28" s="326">
        <v>201608</v>
      </c>
      <c r="C28" s="326" t="s">
        <v>575</v>
      </c>
      <c r="D28" s="372">
        <v>8</v>
      </c>
      <c r="E28" s="326">
        <f t="shared" si="1"/>
        <v>201608</v>
      </c>
      <c r="F28" s="373">
        <v>2.21</v>
      </c>
      <c r="G28" s="373"/>
    </row>
    <row r="29" spans="2:7" ht="18" customHeight="1">
      <c r="B29" s="326">
        <v>201609</v>
      </c>
      <c r="C29" s="326" t="s">
        <v>575</v>
      </c>
      <c r="D29" s="372">
        <v>8</v>
      </c>
      <c r="E29" s="326">
        <f t="shared" si="1"/>
        <v>201609</v>
      </c>
      <c r="F29" s="373">
        <v>1.1599999999999999</v>
      </c>
      <c r="G29" s="373"/>
    </row>
    <row r="30" spans="2:7" ht="18" customHeight="1">
      <c r="B30" s="326">
        <v>201610</v>
      </c>
      <c r="C30" s="326" t="s">
        <v>575</v>
      </c>
      <c r="D30" s="372">
        <v>8</v>
      </c>
      <c r="E30" s="326">
        <f t="shared" si="1"/>
        <v>201610</v>
      </c>
      <c r="F30" s="373">
        <v>10.119999999999999</v>
      </c>
      <c r="G30" s="373"/>
    </row>
    <row r="31" spans="2:7" ht="18" customHeight="1">
      <c r="B31" s="326">
        <v>201611</v>
      </c>
      <c r="C31" s="326" t="s">
        <v>575</v>
      </c>
      <c r="D31" s="372">
        <v>8</v>
      </c>
      <c r="E31" s="326">
        <f t="shared" si="1"/>
        <v>201611</v>
      </c>
      <c r="F31" s="373">
        <v>4.16</v>
      </c>
      <c r="G31" s="373"/>
    </row>
    <row r="32" spans="2:7" ht="18" customHeight="1">
      <c r="B32" s="326">
        <v>201612</v>
      </c>
      <c r="C32" s="326" t="s">
        <v>575</v>
      </c>
      <c r="D32" s="372">
        <v>8</v>
      </c>
      <c r="E32" s="326">
        <f t="shared" si="1"/>
        <v>201612</v>
      </c>
      <c r="F32" s="373">
        <v>2.82</v>
      </c>
      <c r="G32" s="373"/>
    </row>
    <row r="33" spans="2:7" ht="18" customHeight="1">
      <c r="B33" s="326"/>
      <c r="C33" s="326"/>
      <c r="D33" s="372"/>
      <c r="E33" s="326"/>
      <c r="F33" s="373"/>
      <c r="G33" s="373">
        <f>SUM(F21:F33)</f>
        <v>33.04</v>
      </c>
    </row>
    <row r="34" spans="2:7" ht="18" customHeight="1">
      <c r="B34" s="362"/>
      <c r="C34" s="362"/>
      <c r="D34" s="362"/>
      <c r="E34" s="362"/>
      <c r="F34" s="375">
        <f>SUM(F8:F33)</f>
        <v>894.92000000000007</v>
      </c>
      <c r="G34" s="375">
        <f>SUM(G8:G33)</f>
        <v>894.92000000000007</v>
      </c>
    </row>
    <row r="38" spans="2:7" s="283" customFormat="1" ht="15" customHeight="1"/>
  </sheetData>
  <mergeCells count="1">
    <mergeCell ref="B2:H2"/>
  </mergeCells>
  <pageMargins left="0.7" right="0.7" top="0.75" bottom="0.75" header="0.1" footer="0.3"/>
  <pageSetup orientation="landscape" r:id="rId1"/>
  <headerFooter>
    <oddFooter>&amp;R&amp;"Arial,Bold"&amp;8 Page &amp;P of &amp;N</oddFooter>
  </headerFooter>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showGridLines="0" workbookViewId="0">
      <selection activeCell="K30" sqref="K30"/>
    </sheetView>
  </sheetViews>
  <sheetFormatPr defaultRowHeight="15"/>
  <cols>
    <col min="1" max="1" width="3.33203125" customWidth="1"/>
    <col min="2" max="2" width="14.6640625" bestFit="1" customWidth="1"/>
    <col min="3" max="3" width="14" customWidth="1"/>
    <col min="4" max="4" width="9" bestFit="1" customWidth="1"/>
    <col min="5" max="5" width="13.77734375" bestFit="1" customWidth="1"/>
    <col min="6" max="6" width="13.21875" customWidth="1"/>
  </cols>
  <sheetData>
    <row r="1" spans="2:7" s="284" customFormat="1" ht="20.100000000000001" customHeight="1">
      <c r="B1" s="302" t="str">
        <f>EntityName</f>
        <v>Windom, MN</v>
      </c>
      <c r="C1" s="303"/>
      <c r="D1" s="303"/>
      <c r="E1" s="303"/>
      <c r="F1" s="303"/>
      <c r="G1" s="303"/>
    </row>
    <row r="2" spans="2:7" s="282" customFormat="1" ht="20.100000000000001" customHeight="1">
      <c r="B2" s="305" t="s">
        <v>531</v>
      </c>
      <c r="C2" s="305"/>
      <c r="D2" s="305"/>
      <c r="E2" s="305"/>
      <c r="F2" s="305"/>
      <c r="G2" s="305"/>
    </row>
    <row r="3" spans="2:7" s="282" customFormat="1" ht="20.100000000000001" customHeight="1">
      <c r="B3" s="304">
        <f>FilingDate</f>
        <v>42735</v>
      </c>
      <c r="C3" s="303"/>
      <c r="D3" s="303"/>
      <c r="E3" s="303"/>
      <c r="F3" s="303"/>
      <c r="G3" s="303"/>
    </row>
    <row r="4" spans="2:7" s="282" customFormat="1" ht="20.100000000000001" customHeight="1">
      <c r="B4" s="304"/>
      <c r="C4" s="303"/>
      <c r="D4" s="303"/>
      <c r="E4" s="303"/>
      <c r="F4" s="303"/>
      <c r="G4" s="303"/>
    </row>
    <row r="5" spans="2:7" s="282" customFormat="1" ht="20.100000000000001" customHeight="1">
      <c r="B5" s="390">
        <f>F21</f>
        <v>54173.450000000004</v>
      </c>
      <c r="C5" s="377" t="s">
        <v>659</v>
      </c>
      <c r="D5" s="303"/>
      <c r="E5" s="303"/>
      <c r="F5" s="303"/>
      <c r="G5" s="303"/>
    </row>
    <row r="6" spans="2:7" s="282" customFormat="1" ht="15" customHeight="1"/>
    <row r="7" spans="2:7" s="282" customFormat="1" ht="18" customHeight="1">
      <c r="B7" s="325" t="s">
        <v>549</v>
      </c>
      <c r="C7" s="325" t="s">
        <v>550</v>
      </c>
      <c r="D7" s="325" t="s">
        <v>577</v>
      </c>
      <c r="E7" s="325" t="s">
        <v>551</v>
      </c>
      <c r="F7" s="321" t="s">
        <v>7</v>
      </c>
      <c r="G7" s="371"/>
    </row>
    <row r="8" spans="2:7" s="282" customFormat="1" ht="18" customHeight="1">
      <c r="B8" s="326">
        <v>201601</v>
      </c>
      <c r="C8" s="326" t="s">
        <v>576</v>
      </c>
      <c r="D8" s="372">
        <v>9</v>
      </c>
      <c r="E8" s="326">
        <f>+B8</f>
        <v>201601</v>
      </c>
      <c r="F8" s="373">
        <v>3533.74</v>
      </c>
      <c r="G8" s="371"/>
    </row>
    <row r="9" spans="2:7" s="282" customFormat="1" ht="18" customHeight="1">
      <c r="B9" s="326">
        <v>201602</v>
      </c>
      <c r="C9" s="326" t="s">
        <v>576</v>
      </c>
      <c r="D9" s="372">
        <v>9</v>
      </c>
      <c r="E9" s="326">
        <f t="shared" ref="E9:E19" si="0">+B9</f>
        <v>201602</v>
      </c>
      <c r="F9" s="373">
        <v>3079.95</v>
      </c>
      <c r="G9" s="371"/>
    </row>
    <row r="10" spans="2:7" s="282" customFormat="1" ht="18" customHeight="1">
      <c r="B10" s="326">
        <v>201603</v>
      </c>
      <c r="C10" s="326" t="s">
        <v>576</v>
      </c>
      <c r="D10" s="372">
        <v>9</v>
      </c>
      <c r="E10" s="326">
        <f t="shared" si="0"/>
        <v>201603</v>
      </c>
      <c r="F10" s="373">
        <v>3153.41</v>
      </c>
      <c r="G10" s="371"/>
    </row>
    <row r="11" spans="2:7" s="282" customFormat="1" ht="18" customHeight="1">
      <c r="B11" s="326">
        <v>201604</v>
      </c>
      <c r="C11" s="326" t="s">
        <v>576</v>
      </c>
      <c r="D11" s="372">
        <v>9</v>
      </c>
      <c r="E11" s="326">
        <f t="shared" si="0"/>
        <v>201604</v>
      </c>
      <c r="F11" s="373">
        <v>2784.99</v>
      </c>
      <c r="G11" s="371"/>
    </row>
    <row r="12" spans="2:7" s="282" customFormat="1" ht="18" customHeight="1">
      <c r="B12" s="326">
        <v>201605</v>
      </c>
      <c r="C12" s="326" t="s">
        <v>576</v>
      </c>
      <c r="D12" s="372">
        <v>9</v>
      </c>
      <c r="E12" s="326">
        <f t="shared" si="0"/>
        <v>201605</v>
      </c>
      <c r="F12" s="373">
        <v>3283.06</v>
      </c>
      <c r="G12" s="371"/>
    </row>
    <row r="13" spans="2:7" s="282" customFormat="1" ht="18" customHeight="1">
      <c r="B13" s="326">
        <v>201606</v>
      </c>
      <c r="C13" s="326" t="s">
        <v>576</v>
      </c>
      <c r="D13" s="372">
        <v>9</v>
      </c>
      <c r="E13" s="326">
        <f t="shared" si="0"/>
        <v>201606</v>
      </c>
      <c r="F13" s="373">
        <v>5177.3900000000003</v>
      </c>
      <c r="G13" s="371"/>
    </row>
    <row r="14" spans="2:7" s="282" customFormat="1" ht="18" customHeight="1">
      <c r="B14" s="326">
        <v>201607</v>
      </c>
      <c r="C14" s="326" t="s">
        <v>576</v>
      </c>
      <c r="D14" s="372">
        <v>9</v>
      </c>
      <c r="E14" s="326">
        <f t="shared" si="0"/>
        <v>201607</v>
      </c>
      <c r="F14" s="373">
        <v>5663.21</v>
      </c>
      <c r="G14" s="371"/>
    </row>
    <row r="15" spans="2:7" s="282" customFormat="1" ht="18" customHeight="1">
      <c r="B15" s="326">
        <v>201608</v>
      </c>
      <c r="C15" s="326" t="s">
        <v>576</v>
      </c>
      <c r="D15" s="372">
        <v>9</v>
      </c>
      <c r="E15" s="326">
        <f t="shared" si="0"/>
        <v>201608</v>
      </c>
      <c r="F15" s="373">
        <v>6263.38</v>
      </c>
      <c r="G15" s="371"/>
    </row>
    <row r="16" spans="2:7" s="282" customFormat="1" ht="18" customHeight="1">
      <c r="B16" s="326">
        <v>201609</v>
      </c>
      <c r="C16" s="326" t="s">
        <v>576</v>
      </c>
      <c r="D16" s="372">
        <v>9</v>
      </c>
      <c r="E16" s="326">
        <f t="shared" si="0"/>
        <v>201609</v>
      </c>
      <c r="F16" s="373">
        <v>6167.69</v>
      </c>
      <c r="G16" s="374"/>
    </row>
    <row r="17" spans="2:7" s="282" customFormat="1" ht="18" customHeight="1">
      <c r="B17" s="326">
        <v>201610</v>
      </c>
      <c r="C17" s="326" t="s">
        <v>576</v>
      </c>
      <c r="D17" s="372">
        <v>9</v>
      </c>
      <c r="E17" s="326">
        <f t="shared" si="0"/>
        <v>201610</v>
      </c>
      <c r="F17" s="373">
        <v>5196.76</v>
      </c>
      <c r="G17" s="371"/>
    </row>
    <row r="18" spans="2:7" s="282" customFormat="1" ht="18" customHeight="1">
      <c r="B18" s="326">
        <v>201611</v>
      </c>
      <c r="C18" s="326" t="s">
        <v>576</v>
      </c>
      <c r="D18" s="372">
        <v>9</v>
      </c>
      <c r="E18" s="326">
        <f t="shared" si="0"/>
        <v>201611</v>
      </c>
      <c r="F18" s="373">
        <v>4478.97</v>
      </c>
      <c r="G18" s="371"/>
    </row>
    <row r="19" spans="2:7" s="282" customFormat="1" ht="18" customHeight="1">
      <c r="B19" s="326">
        <v>201612</v>
      </c>
      <c r="C19" s="326" t="s">
        <v>576</v>
      </c>
      <c r="D19" s="372">
        <v>9</v>
      </c>
      <c r="E19" s="326">
        <f t="shared" si="0"/>
        <v>201612</v>
      </c>
      <c r="F19" s="373">
        <v>5390.9</v>
      </c>
      <c r="G19" s="371"/>
    </row>
    <row r="20" spans="2:7" s="282" customFormat="1" ht="18" customHeight="1">
      <c r="B20" s="326"/>
      <c r="C20" s="326"/>
      <c r="D20" s="372"/>
      <c r="E20" s="326"/>
      <c r="F20" s="373"/>
      <c r="G20" s="371"/>
    </row>
    <row r="21" spans="2:7" s="282" customFormat="1" ht="18" customHeight="1">
      <c r="B21" s="362"/>
      <c r="C21" s="362"/>
      <c r="D21" s="362"/>
      <c r="E21" s="362"/>
      <c r="F21" s="375">
        <f>SUM(F8:F20)</f>
        <v>54173.450000000004</v>
      </c>
      <c r="G21" s="371"/>
    </row>
    <row r="22" spans="2:7"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election activeCell="I10" sqref="I10"/>
    </sheetView>
  </sheetViews>
  <sheetFormatPr defaultRowHeight="15"/>
  <cols>
    <col min="1" max="1" width="3.33203125" customWidth="1"/>
    <col min="2" max="2" width="12.21875" customWidth="1"/>
    <col min="3" max="3" width="8.33203125" customWidth="1"/>
    <col min="4" max="4" width="10.5546875" customWidth="1"/>
    <col min="5" max="5" width="13" customWidth="1"/>
    <col min="6" max="6" width="12.6640625" customWidth="1"/>
  </cols>
  <sheetData>
    <row r="1" spans="2:6" ht="19.5" customHeight="1">
      <c r="B1" s="302" t="str">
        <f>EntityName</f>
        <v>Windom, MN</v>
      </c>
    </row>
    <row r="2" spans="2:6" ht="19.5" customHeight="1">
      <c r="B2" s="305" t="s">
        <v>580</v>
      </c>
    </row>
    <row r="3" spans="2:6" ht="19.5" customHeight="1">
      <c r="B3" s="304">
        <f>FilingDate</f>
        <v>42735</v>
      </c>
    </row>
    <row r="4" spans="2:6" ht="19.5" customHeight="1"/>
    <row r="5" spans="2:6" ht="21" customHeight="1">
      <c r="B5" s="376">
        <f>F20</f>
        <v>9.3960000000000008</v>
      </c>
      <c r="C5" s="377" t="s">
        <v>581</v>
      </c>
    </row>
    <row r="6" spans="2:6" ht="21" customHeight="1">
      <c r="B6" s="377"/>
    </row>
    <row r="7" spans="2:6" ht="18" customHeight="1">
      <c r="B7" s="320" t="s">
        <v>510</v>
      </c>
      <c r="C7" s="320" t="s">
        <v>509</v>
      </c>
      <c r="D7" s="320" t="s">
        <v>661</v>
      </c>
      <c r="E7" s="320" t="s">
        <v>583</v>
      </c>
      <c r="F7" s="320" t="s">
        <v>582</v>
      </c>
    </row>
    <row r="8" spans="2:6" ht="18" customHeight="1">
      <c r="B8" s="426">
        <v>42387</v>
      </c>
      <c r="C8" s="379">
        <v>19</v>
      </c>
      <c r="D8" s="379">
        <v>8.8260000000000005</v>
      </c>
      <c r="E8" s="379">
        <v>0</v>
      </c>
      <c r="F8" s="379">
        <v>9.1280000000000001</v>
      </c>
    </row>
    <row r="9" spans="2:6" ht="18" customHeight="1">
      <c r="B9" s="426">
        <v>42408</v>
      </c>
      <c r="C9" s="379">
        <v>19</v>
      </c>
      <c r="D9" s="379">
        <v>7.6470000000000002</v>
      </c>
      <c r="E9" s="379">
        <v>0</v>
      </c>
      <c r="F9" s="379">
        <v>9.0690000000000008</v>
      </c>
    </row>
    <row r="10" spans="2:6" ht="18" customHeight="1">
      <c r="B10" s="426">
        <v>42431</v>
      </c>
      <c r="C10" s="379">
        <v>8</v>
      </c>
      <c r="D10" s="379">
        <v>8.2629999999999999</v>
      </c>
      <c r="E10" s="379">
        <v>0</v>
      </c>
      <c r="F10" s="379">
        <v>8.6760000000000002</v>
      </c>
    </row>
    <row r="11" spans="2:6" ht="18" customHeight="1">
      <c r="B11" s="426">
        <v>42465</v>
      </c>
      <c r="C11" s="379">
        <v>12</v>
      </c>
      <c r="D11" s="379">
        <v>7.8460000000000001</v>
      </c>
      <c r="E11" s="379">
        <v>0</v>
      </c>
      <c r="F11" s="379">
        <v>8.0310000000000006</v>
      </c>
    </row>
    <row r="12" spans="2:6" ht="18" customHeight="1">
      <c r="B12" s="426">
        <v>42516</v>
      </c>
      <c r="C12" s="379">
        <v>17</v>
      </c>
      <c r="D12" s="379">
        <v>8.7530000000000001</v>
      </c>
      <c r="E12" s="379">
        <v>0</v>
      </c>
      <c r="F12" s="379">
        <v>8.9239999999999995</v>
      </c>
    </row>
    <row r="13" spans="2:6" ht="18" customHeight="1">
      <c r="B13" s="426">
        <v>42536</v>
      </c>
      <c r="C13" s="379">
        <v>19</v>
      </c>
      <c r="D13" s="379">
        <v>9.7189999999999994</v>
      </c>
      <c r="E13" s="379">
        <v>0</v>
      </c>
      <c r="F13" s="379">
        <v>10.776999999999999</v>
      </c>
    </row>
    <row r="14" spans="2:6" ht="18" customHeight="1">
      <c r="B14" s="426">
        <v>42572</v>
      </c>
      <c r="C14" s="379">
        <v>18</v>
      </c>
      <c r="D14" s="379">
        <v>11.32</v>
      </c>
      <c r="E14" s="379">
        <v>0</v>
      </c>
      <c r="F14" s="379">
        <v>12.025</v>
      </c>
    </row>
    <row r="15" spans="2:6" ht="18" customHeight="1">
      <c r="B15" s="426">
        <v>42592</v>
      </c>
      <c r="C15" s="379">
        <v>16</v>
      </c>
      <c r="D15" s="379">
        <v>11.576000000000001</v>
      </c>
      <c r="E15" s="379">
        <v>0</v>
      </c>
      <c r="F15" s="379">
        <v>11.696</v>
      </c>
    </row>
    <row r="16" spans="2:6" ht="18" customHeight="1">
      <c r="B16" s="426">
        <v>42619</v>
      </c>
      <c r="C16" s="379">
        <v>17</v>
      </c>
      <c r="D16" s="379">
        <v>8.7609999999999992</v>
      </c>
      <c r="E16" s="379">
        <v>0</v>
      </c>
      <c r="F16" s="379">
        <v>9.5850000000000009</v>
      </c>
    </row>
    <row r="17" spans="2:6" ht="18" customHeight="1">
      <c r="B17" s="426">
        <v>42660</v>
      </c>
      <c r="C17" s="379">
        <v>20</v>
      </c>
      <c r="D17" s="379">
        <v>7.6740000000000004</v>
      </c>
      <c r="E17" s="379">
        <v>0</v>
      </c>
      <c r="F17" s="379">
        <v>8.2279999999999998</v>
      </c>
    </row>
    <row r="18" spans="2:6" ht="18" customHeight="1">
      <c r="B18" s="426">
        <v>42695</v>
      </c>
      <c r="C18" s="379">
        <v>19</v>
      </c>
      <c r="D18" s="379">
        <v>8.0060000000000002</v>
      </c>
      <c r="E18" s="379">
        <v>0</v>
      </c>
      <c r="F18" s="379">
        <v>8.3689999999999998</v>
      </c>
    </row>
    <row r="19" spans="2:6" ht="18" customHeight="1">
      <c r="B19" s="426">
        <v>42723</v>
      </c>
      <c r="C19" s="379">
        <v>8</v>
      </c>
      <c r="D19" s="379">
        <v>9.0540000000000003</v>
      </c>
      <c r="E19" s="379">
        <v>0</v>
      </c>
      <c r="F19" s="379">
        <v>8.2449999999999992</v>
      </c>
    </row>
    <row r="20" spans="2:6" ht="18" customHeight="1">
      <c r="B20" s="362" t="s">
        <v>584</v>
      </c>
      <c r="C20" s="362"/>
      <c r="D20" s="362"/>
      <c r="E20" s="362"/>
      <c r="F20" s="378">
        <f>ROUND(AVERAGE(F8:F19),3)</f>
        <v>9.3960000000000008</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opLeftCell="A7" zoomScaleNormal="100" workbookViewId="0">
      <selection activeCell="K30" sqref="K30"/>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411" t="s">
        <v>579</v>
      </c>
      <c r="B1" s="411"/>
      <c r="C1" s="411"/>
      <c r="D1" s="411"/>
      <c r="E1" s="411"/>
      <c r="F1" s="411"/>
    </row>
    <row r="2" spans="1:6" ht="15">
      <c r="A2" s="412" t="s">
        <v>408</v>
      </c>
      <c r="B2" s="412"/>
      <c r="C2" s="412"/>
      <c r="D2" s="412"/>
      <c r="E2" s="412"/>
      <c r="F2" s="412"/>
    </row>
    <row r="3" spans="1:6" ht="15">
      <c r="A3" s="412" t="s">
        <v>407</v>
      </c>
      <c r="B3" s="412"/>
      <c r="C3" s="412"/>
      <c r="D3" s="412"/>
      <c r="E3" s="412"/>
      <c r="F3" s="412"/>
    </row>
    <row r="4" spans="1:6" ht="15.75">
      <c r="A4" s="413">
        <v>42735</v>
      </c>
      <c r="B4" s="413"/>
      <c r="C4" s="413"/>
      <c r="D4" s="413"/>
      <c r="E4" s="413"/>
      <c r="F4" s="413"/>
    </row>
    <row r="6" spans="1:6" ht="15">
      <c r="A6" s="414" t="s">
        <v>406</v>
      </c>
      <c r="B6" s="414"/>
      <c r="C6" s="414"/>
      <c r="D6" s="414"/>
      <c r="E6" s="414"/>
      <c r="F6" s="414"/>
    </row>
    <row r="7" spans="1:6">
      <c r="A7" s="208" t="s">
        <v>4</v>
      </c>
      <c r="B7" s="209"/>
      <c r="C7" s="190" t="s">
        <v>405</v>
      </c>
      <c r="D7" s="190" t="s">
        <v>4</v>
      </c>
      <c r="E7" s="209"/>
      <c r="F7" s="190" t="s">
        <v>405</v>
      </c>
    </row>
    <row r="8" spans="1:6">
      <c r="A8" s="169" t="s">
        <v>6</v>
      </c>
      <c r="B8" s="164" t="s">
        <v>404</v>
      </c>
      <c r="C8" s="164" t="s">
        <v>401</v>
      </c>
      <c r="D8" s="164" t="s">
        <v>403</v>
      </c>
      <c r="E8" s="164" t="s">
        <v>402</v>
      </c>
      <c r="F8" s="164" t="s">
        <v>401</v>
      </c>
    </row>
    <row r="9" spans="1:6" ht="15">
      <c r="A9" s="159"/>
      <c r="B9" s="207" t="s">
        <v>400</v>
      </c>
      <c r="C9" s="206"/>
      <c r="D9" s="208"/>
      <c r="E9" s="207" t="s">
        <v>399</v>
      </c>
      <c r="F9" s="206"/>
    </row>
    <row r="10" spans="1:6" ht="15">
      <c r="A10" s="159">
        <v>1</v>
      </c>
      <c r="B10" s="158" t="s">
        <v>398</v>
      </c>
      <c r="C10" s="187"/>
      <c r="D10" s="159"/>
      <c r="E10" s="158"/>
      <c r="F10" s="187"/>
    </row>
    <row r="11" spans="1:6">
      <c r="A11" s="169"/>
      <c r="B11" s="170" t="s">
        <v>397</v>
      </c>
      <c r="C11" s="205">
        <f>ROUND('412Plant'!G25,0)+0.4</f>
        <v>11715542.4</v>
      </c>
      <c r="D11" s="169">
        <v>29</v>
      </c>
      <c r="E11" s="174" t="s">
        <v>396</v>
      </c>
      <c r="F11" s="205">
        <v>0</v>
      </c>
    </row>
    <row r="12" spans="1:6" ht="15">
      <c r="A12" s="166">
        <v>2</v>
      </c>
      <c r="B12" s="182" t="s">
        <v>395</v>
      </c>
      <c r="C12" s="204">
        <f>'412Plant'!G27</f>
        <v>0</v>
      </c>
      <c r="D12" s="166">
        <v>30</v>
      </c>
      <c r="E12" s="184" t="s">
        <v>394</v>
      </c>
      <c r="F12" s="203">
        <v>10171797</v>
      </c>
    </row>
    <row r="13" spans="1:6" ht="15">
      <c r="A13" s="159">
        <v>3</v>
      </c>
      <c r="B13" s="158" t="s">
        <v>354</v>
      </c>
      <c r="C13" s="187"/>
      <c r="D13" s="159"/>
      <c r="E13" s="158"/>
      <c r="F13" s="187"/>
    </row>
    <row r="14" spans="1:6" ht="15">
      <c r="A14" s="159"/>
      <c r="B14" s="171" t="s">
        <v>393</v>
      </c>
      <c r="C14" s="187"/>
      <c r="D14" s="159">
        <v>31</v>
      </c>
      <c r="E14" s="158" t="s">
        <v>392</v>
      </c>
      <c r="F14" s="187"/>
    </row>
    <row r="15" spans="1:6" ht="13.5" thickBot="1">
      <c r="A15" s="169"/>
      <c r="B15" s="170" t="s">
        <v>391</v>
      </c>
      <c r="C15" s="195">
        <f>ROUND(S1_Plant!J11,0)</f>
        <v>7671645</v>
      </c>
      <c r="D15" s="169"/>
      <c r="E15" s="170" t="s">
        <v>390</v>
      </c>
      <c r="F15" s="195">
        <v>0</v>
      </c>
    </row>
    <row r="16" spans="1:6" ht="13.5" thickBot="1">
      <c r="A16" s="166">
        <v>4</v>
      </c>
      <c r="B16" s="202" t="s">
        <v>389</v>
      </c>
      <c r="C16" s="188">
        <f>+C11+C12-C15</f>
        <v>4043897.4000000004</v>
      </c>
      <c r="D16" s="201">
        <v>32</v>
      </c>
      <c r="E16" s="200" t="s">
        <v>388</v>
      </c>
      <c r="F16" s="188">
        <f>+F15+F11+F12</f>
        <v>10171797</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4043897.4000000004</v>
      </c>
      <c r="D22" s="164"/>
      <c r="E22" s="170" t="s">
        <v>379</v>
      </c>
      <c r="F22" s="294">
        <v>0</v>
      </c>
      <c r="G22" s="285"/>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0</v>
      </c>
    </row>
    <row r="29" spans="1:7" ht="15.75" thickBot="1">
      <c r="A29" s="166">
        <v>11</v>
      </c>
      <c r="B29" s="182" t="s">
        <v>368</v>
      </c>
      <c r="C29" s="181">
        <v>0</v>
      </c>
      <c r="D29" s="169"/>
      <c r="E29" s="174"/>
      <c r="F29" s="178"/>
    </row>
    <row r="30" spans="1:7" ht="15.75" thickBot="1">
      <c r="A30" s="166">
        <v>12</v>
      </c>
      <c r="B30" s="165" t="s">
        <v>367</v>
      </c>
      <c r="C30" s="162">
        <f>+C24+C26+C28+C29</f>
        <v>0</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v>4392109</v>
      </c>
      <c r="D33" s="169">
        <v>40</v>
      </c>
      <c r="E33" s="163" t="s">
        <v>360</v>
      </c>
      <c r="F33" s="162">
        <f>SUM(F31:F32)</f>
        <v>0</v>
      </c>
    </row>
    <row r="34" spans="1:6" ht="15">
      <c r="A34" s="159">
        <v>14</v>
      </c>
      <c r="B34" s="158" t="s">
        <v>359</v>
      </c>
      <c r="C34" s="157"/>
      <c r="D34" s="159"/>
      <c r="E34" s="158"/>
      <c r="F34" s="157"/>
    </row>
    <row r="35" spans="1:6" ht="15">
      <c r="A35" s="169"/>
      <c r="B35" s="170" t="s">
        <v>358</v>
      </c>
      <c r="C35" s="173">
        <f>1461399+152155</f>
        <v>1613554</v>
      </c>
      <c r="D35" s="169"/>
      <c r="E35" s="179" t="s">
        <v>357</v>
      </c>
      <c r="F35" s="178"/>
    </row>
    <row r="36" spans="1:6">
      <c r="A36" s="166">
        <v>15</v>
      </c>
      <c r="B36" s="182" t="s">
        <v>356</v>
      </c>
      <c r="C36" s="183">
        <v>531128</v>
      </c>
      <c r="D36" s="169">
        <v>41</v>
      </c>
      <c r="E36" s="174" t="s">
        <v>355</v>
      </c>
      <c r="F36" s="173">
        <v>0</v>
      </c>
    </row>
    <row r="37" spans="1:6" ht="15">
      <c r="A37" s="159">
        <v>16</v>
      </c>
      <c r="B37" s="158" t="s">
        <v>354</v>
      </c>
      <c r="C37" s="157"/>
      <c r="D37" s="159"/>
      <c r="E37" s="158"/>
      <c r="F37" s="157"/>
    </row>
    <row r="38" spans="1:6">
      <c r="A38" s="169"/>
      <c r="B38" s="170" t="s">
        <v>353</v>
      </c>
      <c r="C38" s="173">
        <v>0</v>
      </c>
      <c r="D38" s="169">
        <v>42</v>
      </c>
      <c r="E38" s="174" t="s">
        <v>352</v>
      </c>
      <c r="F38" s="173">
        <v>24617</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513765</v>
      </c>
      <c r="D41" s="169">
        <v>44</v>
      </c>
      <c r="E41" s="174" t="s">
        <v>346</v>
      </c>
      <c r="F41" s="173">
        <v>0</v>
      </c>
    </row>
    <row r="42" spans="1:6">
      <c r="A42" s="166">
        <v>19</v>
      </c>
      <c r="B42" s="182" t="s">
        <v>345</v>
      </c>
      <c r="C42" s="183">
        <v>0</v>
      </c>
      <c r="D42" s="169">
        <v>45</v>
      </c>
      <c r="E42" s="174" t="s">
        <v>344</v>
      </c>
      <c r="F42" s="173">
        <v>0</v>
      </c>
    </row>
    <row r="43" spans="1:6">
      <c r="A43" s="166">
        <v>20</v>
      </c>
      <c r="B43" s="182" t="s">
        <v>343</v>
      </c>
      <c r="C43" s="183">
        <v>0</v>
      </c>
      <c r="D43" s="169">
        <v>46</v>
      </c>
      <c r="E43" s="174" t="s">
        <v>342</v>
      </c>
      <c r="F43" s="173">
        <v>0</v>
      </c>
    </row>
    <row r="44" spans="1:6" ht="13.5" thickBot="1">
      <c r="A44" s="180">
        <v>21</v>
      </c>
      <c r="B44" s="182" t="s">
        <v>341</v>
      </c>
      <c r="C44" s="183">
        <v>0</v>
      </c>
      <c r="D44" s="169">
        <v>47</v>
      </c>
      <c r="E44" s="174" t="s">
        <v>340</v>
      </c>
      <c r="F44" s="167">
        <f>108229+288281</f>
        <v>396510</v>
      </c>
    </row>
    <row r="45" spans="1:6" ht="13.5" thickBot="1">
      <c r="A45" s="180">
        <v>22</v>
      </c>
      <c r="B45" s="182" t="s">
        <v>339</v>
      </c>
      <c r="C45" s="181">
        <v>0</v>
      </c>
      <c r="D45" s="169">
        <v>48</v>
      </c>
      <c r="E45" s="163" t="s">
        <v>338</v>
      </c>
      <c r="F45" s="162">
        <f>+F44+F43+F42+F41+F40+F38+F36</f>
        <v>421127</v>
      </c>
    </row>
    <row r="46" spans="1:6" ht="15.75" thickBot="1">
      <c r="A46" s="180">
        <v>23</v>
      </c>
      <c r="B46" s="165" t="s">
        <v>337</v>
      </c>
      <c r="C46" s="162">
        <f>+C33+C35+C36-C38+C40+C42+C43+C44+C45+C41</f>
        <v>7050556</v>
      </c>
      <c r="D46" s="164"/>
      <c r="E46" s="179" t="s">
        <v>336</v>
      </c>
      <c r="F46" s="178"/>
    </row>
    <row r="47" spans="1:6" ht="15">
      <c r="A47" s="158"/>
      <c r="B47" s="177" t="s">
        <v>335</v>
      </c>
      <c r="C47" s="157"/>
      <c r="D47" s="172">
        <v>49</v>
      </c>
      <c r="E47" s="176" t="s">
        <v>334</v>
      </c>
      <c r="F47" s="157"/>
    </row>
    <row r="48" spans="1:6">
      <c r="A48" s="175">
        <v>24</v>
      </c>
      <c r="B48" s="174" t="s">
        <v>333</v>
      </c>
      <c r="C48" s="173">
        <v>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84560+567518+84861</f>
        <v>736939</v>
      </c>
    </row>
    <row r="51" spans="1:7" ht="15">
      <c r="A51" s="172">
        <v>26</v>
      </c>
      <c r="B51" s="158" t="s">
        <v>327</v>
      </c>
      <c r="C51" s="157"/>
      <c r="D51" s="159"/>
      <c r="E51" s="158"/>
      <c r="F51" s="157"/>
    </row>
    <row r="52" spans="1:7" ht="15">
      <c r="A52" s="159"/>
      <c r="B52" s="171" t="s">
        <v>326</v>
      </c>
      <c r="C52" s="157"/>
      <c r="D52" s="159">
        <v>51</v>
      </c>
      <c r="E52" s="158" t="s">
        <v>325</v>
      </c>
      <c r="F52" s="157"/>
    </row>
    <row r="53" spans="1:7" ht="13.5" thickBot="1">
      <c r="A53" s="169"/>
      <c r="B53" s="170" t="s">
        <v>324</v>
      </c>
      <c r="C53" s="167">
        <v>235410</v>
      </c>
      <c r="D53" s="169"/>
      <c r="E53" s="168" t="s">
        <v>323</v>
      </c>
      <c r="F53" s="167">
        <v>0</v>
      </c>
    </row>
    <row r="54" spans="1:7" ht="13.5" thickBot="1">
      <c r="A54" s="166">
        <v>27</v>
      </c>
      <c r="B54" s="165" t="s">
        <v>322</v>
      </c>
      <c r="C54" s="162">
        <f>C48+C50+C53</f>
        <v>235410</v>
      </c>
      <c r="D54" s="164">
        <v>52</v>
      </c>
      <c r="E54" s="163" t="s">
        <v>321</v>
      </c>
      <c r="F54" s="162">
        <f>+F53+F50+F48</f>
        <v>736939</v>
      </c>
    </row>
    <row r="55" spans="1:7" ht="15.75" thickBot="1">
      <c r="A55" s="159"/>
      <c r="B55" s="161"/>
      <c r="C55" s="160"/>
      <c r="D55" s="159"/>
      <c r="E55" s="158"/>
      <c r="F55" s="157"/>
    </row>
    <row r="56" spans="1:7" ht="13.5" thickBot="1">
      <c r="A56" s="156">
        <v>28</v>
      </c>
      <c r="B56" s="154" t="s">
        <v>320</v>
      </c>
      <c r="C56" s="153">
        <f>+C54+C46+C21+C22+C30</f>
        <v>11329863.4</v>
      </c>
      <c r="D56" s="155">
        <v>53</v>
      </c>
      <c r="E56" s="154" t="s">
        <v>319</v>
      </c>
      <c r="F56" s="153">
        <f>+F54+F45+F28+F16+F33</f>
        <v>11329863</v>
      </c>
      <c r="G56" s="380" t="s">
        <v>585</v>
      </c>
    </row>
    <row r="57" spans="1:7" ht="15">
      <c r="A57" s="149"/>
      <c r="B57" s="149"/>
      <c r="C57" s="152"/>
      <c r="D57" s="149"/>
      <c r="E57" s="149"/>
      <c r="F57" s="151"/>
    </row>
    <row r="58" spans="1:7" ht="15">
      <c r="A58" s="149"/>
      <c r="B58" s="149"/>
      <c r="C58" s="152"/>
      <c r="D58" s="149"/>
      <c r="E58" s="149"/>
      <c r="F58" s="151"/>
    </row>
    <row r="59" spans="1:7" ht="15">
      <c r="A59" s="149"/>
      <c r="B59" s="149"/>
      <c r="C59" s="150"/>
      <c r="D59" s="149"/>
      <c r="E59" s="149"/>
      <c r="F59" s="151"/>
    </row>
    <row r="60" spans="1:7">
      <c r="A60" s="149"/>
      <c r="B60" s="149"/>
      <c r="C60" s="150"/>
      <c r="D60" s="149"/>
      <c r="E60" s="149"/>
      <c r="F60" s="399"/>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Normal="100" workbookViewId="0">
      <selection activeCell="E32" sqref="E32"/>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11" t="str">
        <f>+'412BS'!A1:F1</f>
        <v>Windom, MN</v>
      </c>
      <c r="B1" s="411"/>
      <c r="C1" s="411"/>
      <c r="D1" s="229"/>
      <c r="E1" s="229"/>
      <c r="F1" s="229"/>
    </row>
    <row r="2" spans="1:6" ht="15">
      <c r="A2" s="412" t="s">
        <v>408</v>
      </c>
      <c r="B2" s="412"/>
      <c r="C2" s="412"/>
      <c r="D2" s="229"/>
      <c r="E2" s="229"/>
      <c r="F2" s="229"/>
    </row>
    <row r="3" spans="1:6" ht="15">
      <c r="A3" s="412" t="s">
        <v>433</v>
      </c>
      <c r="B3" s="412"/>
      <c r="C3" s="412"/>
      <c r="D3" s="229"/>
      <c r="E3" s="229"/>
      <c r="F3" s="229"/>
    </row>
    <row r="4" spans="1:6" ht="15.75">
      <c r="A4" s="413">
        <f>+'412BS'!A4:F4</f>
        <v>42735</v>
      </c>
      <c r="B4" s="413"/>
      <c r="C4" s="413"/>
      <c r="D4" s="228"/>
      <c r="E4" s="228"/>
      <c r="F4" s="228"/>
    </row>
    <row r="5" spans="1:6">
      <c r="A5" s="227"/>
      <c r="B5" s="227"/>
      <c r="C5" s="227"/>
      <c r="D5" s="227"/>
      <c r="E5" s="227"/>
      <c r="F5" s="227"/>
    </row>
    <row r="6" spans="1:6" ht="15">
      <c r="A6" s="414" t="s">
        <v>432</v>
      </c>
      <c r="B6" s="414"/>
      <c r="C6" s="414"/>
      <c r="D6" s="226"/>
      <c r="E6" s="226"/>
      <c r="F6" s="226"/>
    </row>
    <row r="7" spans="1:6">
      <c r="A7" s="225" t="s">
        <v>4</v>
      </c>
      <c r="B7" s="224"/>
      <c r="C7" s="223" t="s">
        <v>7</v>
      </c>
    </row>
    <row r="8" spans="1:6">
      <c r="A8" s="174" t="s">
        <v>6</v>
      </c>
      <c r="B8" s="216"/>
      <c r="C8" s="164" t="s">
        <v>401</v>
      </c>
    </row>
    <row r="9" spans="1:6">
      <c r="A9" s="169">
        <v>1</v>
      </c>
      <c r="B9" s="216" t="s">
        <v>431</v>
      </c>
      <c r="C9" s="404">
        <f>5486270-0.4</f>
        <v>5486269.5999999996</v>
      </c>
      <c r="D9" s="380" t="s">
        <v>636</v>
      </c>
    </row>
    <row r="10" spans="1:6">
      <c r="A10" s="169">
        <v>2</v>
      </c>
      <c r="B10" s="216" t="s">
        <v>430</v>
      </c>
      <c r="C10" s="405">
        <f>'412OM'!D31+'412OM'!C19</f>
        <v>4159690.79</v>
      </c>
    </row>
    <row r="11" spans="1:6">
      <c r="A11" s="169">
        <v>3</v>
      </c>
      <c r="B11" s="216" t="s">
        <v>429</v>
      </c>
      <c r="C11" s="405">
        <f>'412OM'!E31</f>
        <v>126349.49999999999</v>
      </c>
    </row>
    <row r="12" spans="1:6">
      <c r="A12" s="166">
        <v>4</v>
      </c>
      <c r="B12" s="222" t="s">
        <v>428</v>
      </c>
      <c r="C12" s="406">
        <f>S1_Plant!H11</f>
        <v>505773.62</v>
      </c>
    </row>
    <row r="13" spans="1:6">
      <c r="A13" s="169">
        <v>5</v>
      </c>
      <c r="B13" s="216" t="s">
        <v>427</v>
      </c>
      <c r="C13" s="405">
        <v>0</v>
      </c>
    </row>
    <row r="14" spans="1:6" ht="13.5" thickBot="1">
      <c r="A14" s="159">
        <v>6</v>
      </c>
      <c r="B14" s="209" t="s">
        <v>426</v>
      </c>
      <c r="C14" s="221">
        <f>PILOT+PayrollTaxes</f>
        <v>212167</v>
      </c>
    </row>
    <row r="15" spans="1:6" ht="13.5" thickBot="1">
      <c r="A15" s="213">
        <v>7</v>
      </c>
      <c r="B15" s="218" t="s">
        <v>425</v>
      </c>
      <c r="C15" s="217">
        <f>SUM(C10:C14)</f>
        <v>5003980.91</v>
      </c>
    </row>
    <row r="16" spans="1:6" ht="13.5" thickBot="1">
      <c r="A16" s="213">
        <v>8</v>
      </c>
      <c r="B16" s="212" t="s">
        <v>424</v>
      </c>
      <c r="C16" s="217">
        <f>+C9-C15</f>
        <v>482288.68999999948</v>
      </c>
    </row>
    <row r="17" spans="1:5" ht="13.5" thickBot="1">
      <c r="A17" s="159">
        <v>9</v>
      </c>
      <c r="B17" s="209" t="s">
        <v>423</v>
      </c>
      <c r="C17" s="214">
        <v>0</v>
      </c>
    </row>
    <row r="18" spans="1:5" ht="13.5" thickBot="1">
      <c r="A18" s="220">
        <v>10</v>
      </c>
      <c r="B18" s="219" t="s">
        <v>422</v>
      </c>
      <c r="C18" s="217">
        <f>+C17+C16</f>
        <v>482288.68999999948</v>
      </c>
    </row>
    <row r="19" spans="1:5">
      <c r="A19" s="169">
        <v>11</v>
      </c>
      <c r="B19" s="216" t="s">
        <v>421</v>
      </c>
      <c r="C19" s="402">
        <f>68227-1906+37671+-0.4</f>
        <v>103991.6</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586280.28999999946</v>
      </c>
    </row>
    <row r="24" spans="1:5">
      <c r="A24" s="169">
        <v>16</v>
      </c>
      <c r="B24" s="216" t="s">
        <v>416</v>
      </c>
      <c r="C24" s="215">
        <v>0</v>
      </c>
    </row>
    <row r="25" spans="1:5">
      <c r="A25" s="169">
        <v>17</v>
      </c>
      <c r="B25" s="216" t="s">
        <v>415</v>
      </c>
      <c r="C25" s="215">
        <v>0</v>
      </c>
    </row>
    <row r="26" spans="1:5" ht="13.5" thickBot="1">
      <c r="A26" s="159">
        <v>18</v>
      </c>
      <c r="B26" s="209" t="s">
        <v>414</v>
      </c>
      <c r="C26" s="214">
        <v>0</v>
      </c>
    </row>
    <row r="27" spans="1:5" ht="13.5" thickBot="1">
      <c r="A27" s="213">
        <v>19</v>
      </c>
      <c r="B27" s="218" t="s">
        <v>413</v>
      </c>
      <c r="C27" s="217">
        <f>SUM(C24:C26)</f>
        <v>0</v>
      </c>
    </row>
    <row r="28" spans="1:5" ht="13.5" thickBot="1">
      <c r="A28" s="213">
        <v>20</v>
      </c>
      <c r="B28" s="218" t="s">
        <v>412</v>
      </c>
      <c r="C28" s="217">
        <f>+C23-C27</f>
        <v>586280.28999999946</v>
      </c>
    </row>
    <row r="29" spans="1:5">
      <c r="A29" s="169">
        <v>21</v>
      </c>
      <c r="B29" s="216" t="s">
        <v>411</v>
      </c>
      <c r="C29" s="215">
        <v>0</v>
      </c>
    </row>
    <row r="30" spans="1:5" ht="13.5" thickBot="1">
      <c r="A30" s="159">
        <v>22</v>
      </c>
      <c r="B30" s="209" t="s">
        <v>410</v>
      </c>
      <c r="C30" s="214">
        <v>0</v>
      </c>
    </row>
    <row r="31" spans="1:5" ht="13.5" thickBot="1">
      <c r="A31" s="213">
        <v>23</v>
      </c>
      <c r="B31" s="212" t="s">
        <v>409</v>
      </c>
      <c r="C31" s="211">
        <f>SUM(C28:C30)</f>
        <v>586280.28999999946</v>
      </c>
      <c r="D31" s="380" t="s">
        <v>636</v>
      </c>
      <c r="E31" s="293"/>
    </row>
    <row r="32" spans="1:5">
      <c r="A32" s="149"/>
      <c r="B32" s="149"/>
      <c r="C32" s="150"/>
    </row>
    <row r="33" spans="1:4">
      <c r="A33" s="288" t="s">
        <v>492</v>
      </c>
      <c r="B33" s="149"/>
      <c r="C33" s="150"/>
      <c r="D33" s="149"/>
    </row>
    <row r="34" spans="1:4" ht="15">
      <c r="A34" s="286"/>
      <c r="B34" s="287"/>
      <c r="C34" s="150"/>
      <c r="D34" s="149"/>
    </row>
    <row r="35" spans="1:4" ht="15">
      <c r="A35" s="286"/>
      <c r="B35" s="287"/>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9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K30" sqref="K30"/>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11" t="str">
        <f>+'412BS'!A1:F1</f>
        <v>Windom, MN</v>
      </c>
      <c r="B1" s="411"/>
      <c r="C1" s="411"/>
      <c r="D1" s="411"/>
      <c r="E1" s="411"/>
      <c r="F1" s="411"/>
      <c r="G1" s="411"/>
    </row>
    <row r="2" spans="1:7" ht="15">
      <c r="A2" s="412" t="s">
        <v>408</v>
      </c>
      <c r="B2" s="412"/>
      <c r="C2" s="412"/>
      <c r="D2" s="412"/>
      <c r="E2" s="412"/>
      <c r="F2" s="412"/>
      <c r="G2" s="412"/>
    </row>
    <row r="3" spans="1:7" ht="15">
      <c r="A3" s="412" t="s">
        <v>455</v>
      </c>
      <c r="B3" s="412"/>
      <c r="C3" s="412"/>
      <c r="D3" s="412"/>
      <c r="E3" s="412"/>
      <c r="F3" s="412"/>
      <c r="G3" s="412"/>
    </row>
    <row r="4" spans="1:7" ht="15.75">
      <c r="A4" s="413">
        <f>+'412BS'!A4:F4</f>
        <v>42735</v>
      </c>
      <c r="B4" s="413"/>
      <c r="C4" s="413"/>
      <c r="D4" s="413"/>
      <c r="E4" s="413"/>
      <c r="F4" s="413"/>
      <c r="G4" s="413"/>
    </row>
    <row r="5" spans="1:7">
      <c r="A5" s="227"/>
      <c r="B5" s="227"/>
      <c r="C5" s="227"/>
    </row>
    <row r="6" spans="1:7" ht="15">
      <c r="A6" s="414" t="s">
        <v>400</v>
      </c>
      <c r="B6" s="414"/>
      <c r="C6" s="414"/>
      <c r="D6" s="414"/>
      <c r="E6" s="414"/>
      <c r="F6" s="414"/>
      <c r="G6" s="414"/>
    </row>
    <row r="7" spans="1:7">
      <c r="A7" s="208" t="s">
        <v>4</v>
      </c>
      <c r="B7" s="223"/>
      <c r="C7" s="223" t="s">
        <v>454</v>
      </c>
      <c r="D7" s="223"/>
      <c r="E7" s="223"/>
      <c r="F7" s="223"/>
      <c r="G7" s="223" t="s">
        <v>453</v>
      </c>
    </row>
    <row r="8" spans="1:7">
      <c r="A8" s="169" t="s">
        <v>6</v>
      </c>
      <c r="B8" s="164"/>
      <c r="C8" s="164" t="s">
        <v>449</v>
      </c>
      <c r="D8" s="164" t="s">
        <v>452</v>
      </c>
      <c r="E8" s="164" t="s">
        <v>451</v>
      </c>
      <c r="F8" s="164" t="s">
        <v>450</v>
      </c>
      <c r="G8" s="164" t="s">
        <v>449</v>
      </c>
    </row>
    <row r="9" spans="1:7" ht="20.100000000000001" customHeight="1">
      <c r="A9" s="166">
        <v>1</v>
      </c>
      <c r="B9" s="182" t="s">
        <v>448</v>
      </c>
      <c r="C9" s="241">
        <v>0</v>
      </c>
      <c r="D9" s="241">
        <v>0</v>
      </c>
      <c r="E9" s="241">
        <v>0</v>
      </c>
      <c r="F9" s="241">
        <v>0</v>
      </c>
      <c r="G9" s="239">
        <f>+C9+D9+E9-F9</f>
        <v>0</v>
      </c>
    </row>
    <row r="10" spans="1:7" ht="12.75" customHeight="1">
      <c r="A10" s="166"/>
      <c r="B10" s="182"/>
      <c r="C10" s="240"/>
      <c r="D10" s="240"/>
      <c r="E10" s="240"/>
      <c r="F10" s="240"/>
      <c r="G10" s="239"/>
    </row>
    <row r="11" spans="1:7" ht="20.100000000000001" customHeight="1">
      <c r="A11" s="166">
        <v>2</v>
      </c>
      <c r="B11" s="182" t="s">
        <v>447</v>
      </c>
      <c r="C11" s="237">
        <v>0</v>
      </c>
      <c r="D11" s="237">
        <v>0</v>
      </c>
      <c r="E11" s="237">
        <v>0</v>
      </c>
      <c r="F11" s="237"/>
      <c r="G11" s="236">
        <f>+C11+D11-E11-F11</f>
        <v>0</v>
      </c>
    </row>
    <row r="12" spans="1:7" ht="20.100000000000001" customHeight="1">
      <c r="A12" s="166">
        <v>3</v>
      </c>
      <c r="B12" s="182" t="s">
        <v>446</v>
      </c>
      <c r="C12" s="237">
        <v>0</v>
      </c>
      <c r="D12" s="237">
        <v>0</v>
      </c>
      <c r="E12" s="237">
        <v>0</v>
      </c>
      <c r="F12" s="237">
        <v>0</v>
      </c>
      <c r="G12" s="236">
        <f>+C12+D12-E12-F12</f>
        <v>0</v>
      </c>
    </row>
    <row r="13" spans="1:7" ht="20.100000000000001" customHeight="1">
      <c r="A13" s="166">
        <v>4</v>
      </c>
      <c r="B13" s="182" t="s">
        <v>445</v>
      </c>
      <c r="C13" s="237">
        <v>0</v>
      </c>
      <c r="D13" s="237">
        <v>0</v>
      </c>
      <c r="E13" s="237">
        <v>0</v>
      </c>
      <c r="F13" s="237">
        <v>0</v>
      </c>
      <c r="G13" s="236">
        <f>+C13+D13-E13-F13</f>
        <v>0</v>
      </c>
    </row>
    <row r="14" spans="1:7" ht="20.100000000000001" customHeight="1" thickBot="1">
      <c r="A14" s="166">
        <v>5</v>
      </c>
      <c r="B14" s="182" t="s">
        <v>444</v>
      </c>
      <c r="C14" s="233">
        <f>S1_Plant!C7</f>
        <v>3064219.0099999993</v>
      </c>
      <c r="D14" s="233">
        <f>S1_Plant!D7</f>
        <v>0</v>
      </c>
      <c r="E14" s="233">
        <f>S1_Plant!E7</f>
        <v>0</v>
      </c>
      <c r="F14" s="233"/>
      <c r="G14" s="236">
        <f>+C14+D14-E14-F14</f>
        <v>3064219.0099999993</v>
      </c>
    </row>
    <row r="15" spans="1:7" ht="20.100000000000001" customHeight="1" thickBot="1">
      <c r="A15" s="166">
        <v>6</v>
      </c>
      <c r="B15" s="165" t="s">
        <v>443</v>
      </c>
      <c r="C15" s="231">
        <f>SUM(C11:C14)</f>
        <v>3064219.0099999993</v>
      </c>
      <c r="D15" s="230">
        <f>SUM(D11:D14)</f>
        <v>0</v>
      </c>
      <c r="E15" s="230">
        <f>SUM(E11:E14)</f>
        <v>0</v>
      </c>
      <c r="F15" s="230">
        <f>SUM(F11:F14)</f>
        <v>0</v>
      </c>
      <c r="G15" s="211">
        <f>+C15+D15-E15-F15</f>
        <v>3064219.0099999993</v>
      </c>
    </row>
    <row r="16" spans="1:7" ht="12" customHeight="1">
      <c r="A16" s="166"/>
      <c r="B16" s="235"/>
      <c r="C16" s="238"/>
      <c r="D16" s="238"/>
      <c r="E16" s="238"/>
      <c r="F16" s="238"/>
      <c r="G16" s="238"/>
    </row>
    <row r="17" spans="1:8" ht="20.100000000000001" customHeight="1">
      <c r="A17" s="166">
        <v>7</v>
      </c>
      <c r="B17" s="182" t="s">
        <v>442</v>
      </c>
      <c r="C17" s="237">
        <f>S1_Plant!C8</f>
        <v>351712.28</v>
      </c>
      <c r="D17" s="237">
        <f>S1_Plant!D8</f>
        <v>0</v>
      </c>
      <c r="E17" s="237">
        <f>S1_Plant!E8</f>
        <v>0</v>
      </c>
      <c r="F17" s="237">
        <v>0</v>
      </c>
      <c r="G17" s="236">
        <f>+C17+D17-E17-F17</f>
        <v>351712.28</v>
      </c>
    </row>
    <row r="18" spans="1:8" ht="20.100000000000001" customHeight="1">
      <c r="A18" s="166">
        <v>8</v>
      </c>
      <c r="B18" s="182" t="s">
        <v>441</v>
      </c>
      <c r="C18" s="237">
        <f>S1_Plant!C9</f>
        <v>6183317.5499999998</v>
      </c>
      <c r="D18" s="237">
        <f>S1_Plant!D9</f>
        <v>314005.07999999996</v>
      </c>
      <c r="E18" s="237">
        <f>S1_Plant!E9</f>
        <v>0</v>
      </c>
      <c r="F18" s="237">
        <v>0</v>
      </c>
      <c r="G18" s="236">
        <f>+C18+D18-E18-F18</f>
        <v>6497322.6299999999</v>
      </c>
    </row>
    <row r="19" spans="1:8" ht="20.100000000000001" customHeight="1" thickBot="1">
      <c r="A19" s="166">
        <v>9</v>
      </c>
      <c r="B19" s="182" t="s">
        <v>440</v>
      </c>
      <c r="C19" s="233">
        <f>S1_Plant!C10</f>
        <v>1515632.84</v>
      </c>
      <c r="D19" s="233">
        <f>S1_Plant!D10</f>
        <v>478337.03</v>
      </c>
      <c r="E19" s="233">
        <f>S1_Plant!E10</f>
        <v>191682</v>
      </c>
      <c r="F19" s="233">
        <v>0</v>
      </c>
      <c r="G19" s="236">
        <f>+C19+D19-E19-F19</f>
        <v>1802287.87</v>
      </c>
    </row>
    <row r="20" spans="1:8" ht="20.100000000000001" customHeight="1" thickBot="1">
      <c r="A20" s="166">
        <v>10</v>
      </c>
      <c r="B20" s="165" t="s">
        <v>439</v>
      </c>
      <c r="C20" s="231">
        <f>SUM(C15:C19)+C9</f>
        <v>11114881.68</v>
      </c>
      <c r="D20" s="231">
        <f>SUM(D15:D19)+D9</f>
        <v>792342.11</v>
      </c>
      <c r="E20" s="231">
        <f>SUM(E15:E19)+E9</f>
        <v>191682</v>
      </c>
      <c r="F20" s="231">
        <f>SUM(F15:F19)+F9</f>
        <v>0</v>
      </c>
      <c r="G20" s="231">
        <f>SUM(G15:G19)+G9</f>
        <v>11715541.789999999</v>
      </c>
    </row>
    <row r="21" spans="1:8" ht="11.25" customHeight="1">
      <c r="A21" s="166"/>
      <c r="B21" s="235"/>
      <c r="C21" s="238"/>
      <c r="D21" s="238"/>
      <c r="E21" s="238"/>
      <c r="F21" s="238"/>
      <c r="G21" s="238"/>
    </row>
    <row r="22" spans="1:8" ht="20.100000000000001" customHeight="1">
      <c r="A22" s="166">
        <v>11</v>
      </c>
      <c r="B22" s="182" t="s">
        <v>438</v>
      </c>
      <c r="C22" s="237">
        <v>0</v>
      </c>
      <c r="D22" s="237">
        <v>0</v>
      </c>
      <c r="E22" s="237">
        <v>0</v>
      </c>
      <c r="F22" s="237">
        <v>0</v>
      </c>
      <c r="G22" s="236">
        <f>+C22+D22-E22-F22</f>
        <v>0</v>
      </c>
    </row>
    <row r="23" spans="1:8" ht="20.100000000000001" customHeight="1">
      <c r="A23" s="166">
        <v>12</v>
      </c>
      <c r="B23" s="182" t="s">
        <v>437</v>
      </c>
      <c r="C23" s="237">
        <v>0</v>
      </c>
      <c r="D23" s="237">
        <v>0</v>
      </c>
      <c r="E23" s="237">
        <v>0</v>
      </c>
      <c r="F23" s="237">
        <v>0</v>
      </c>
      <c r="G23" s="236">
        <f>+C23+D23-E23-F23</f>
        <v>0</v>
      </c>
    </row>
    <row r="24" spans="1:8" ht="20.100000000000001" customHeight="1" thickBot="1">
      <c r="A24" s="166">
        <v>13</v>
      </c>
      <c r="B24" s="182" t="s">
        <v>436</v>
      </c>
      <c r="C24" s="233">
        <v>0</v>
      </c>
      <c r="D24" s="233">
        <v>0</v>
      </c>
      <c r="E24" s="233">
        <v>0</v>
      </c>
      <c r="F24" s="233">
        <v>0</v>
      </c>
      <c r="G24" s="236">
        <f>+C24+D24-E24-F24</f>
        <v>0</v>
      </c>
    </row>
    <row r="25" spans="1:8" ht="20.100000000000001" customHeight="1" thickBot="1">
      <c r="A25" s="166">
        <v>14</v>
      </c>
      <c r="B25" s="165" t="s">
        <v>398</v>
      </c>
      <c r="C25" s="231">
        <f>SUM(C20:C24)</f>
        <v>11114881.68</v>
      </c>
      <c r="D25" s="230">
        <f>SUM(D20:D24)</f>
        <v>792342.11</v>
      </c>
      <c r="E25" s="230">
        <f>SUM(E20:E24)</f>
        <v>191682</v>
      </c>
      <c r="F25" s="230">
        <f>SUM(F20:F24)</f>
        <v>0</v>
      </c>
      <c r="G25" s="211">
        <f>+C25+D25-E25-F25</f>
        <v>11715541.789999999</v>
      </c>
    </row>
    <row r="26" spans="1:8" ht="11.25" customHeight="1">
      <c r="A26" s="166"/>
      <c r="B26" s="235"/>
      <c r="C26" s="234"/>
      <c r="D26" s="234"/>
      <c r="E26" s="234"/>
      <c r="F26" s="234"/>
      <c r="G26" s="234"/>
    </row>
    <row r="27" spans="1:8" ht="20.100000000000001" customHeight="1" thickBot="1">
      <c r="A27" s="166">
        <v>15</v>
      </c>
      <c r="B27" s="182" t="s">
        <v>435</v>
      </c>
      <c r="C27" s="233">
        <f>S1_Plant!C12</f>
        <v>0</v>
      </c>
      <c r="D27" s="233">
        <f>S1_Plant!D12</f>
        <v>0</v>
      </c>
      <c r="E27" s="233">
        <f>S1_Plant!E12</f>
        <v>0</v>
      </c>
      <c r="F27" s="233">
        <v>0</v>
      </c>
      <c r="G27" s="232">
        <f>+C27+D27-E27-F27</f>
        <v>0</v>
      </c>
    </row>
    <row r="28" spans="1:8" ht="20.100000000000001" customHeight="1" thickBot="1">
      <c r="A28" s="166">
        <v>16</v>
      </c>
      <c r="B28" s="165" t="s">
        <v>434</v>
      </c>
      <c r="C28" s="231">
        <f>SUM(C25:C27)</f>
        <v>11114881.68</v>
      </c>
      <c r="D28" s="230">
        <f>SUM(D25:D27)</f>
        <v>792342.11</v>
      </c>
      <c r="E28" s="230">
        <f>SUM(E25:E27)</f>
        <v>191682</v>
      </c>
      <c r="F28" s="230">
        <f>SUM(F25:F27)</f>
        <v>0</v>
      </c>
      <c r="G28" s="211">
        <f>+C28+D28-E28-F28</f>
        <v>11715541.789999999</v>
      </c>
      <c r="H28" s="380" t="s">
        <v>585</v>
      </c>
    </row>
    <row r="29" spans="1:8" ht="20.100000000000001" customHeight="1">
      <c r="G29" s="210" t="s">
        <v>2</v>
      </c>
    </row>
    <row r="30" spans="1:8">
      <c r="C30" s="398"/>
    </row>
    <row r="31" spans="1:8">
      <c r="G31" s="210"/>
    </row>
    <row r="32" spans="1:8">
      <c r="G32" s="210" t="s">
        <v>2</v>
      </c>
    </row>
  </sheetData>
  <mergeCells count="5">
    <mergeCell ref="A1:G1"/>
    <mergeCell ref="A2:G2"/>
    <mergeCell ref="A4:G4"/>
    <mergeCell ref="A6:G6"/>
    <mergeCell ref="A3:G3"/>
  </mergeCells>
  <pageMargins left="0.5" right="0.5" top="0.75" bottom="0.5" header="0.5" footer="0.5"/>
  <pageSetup scale="85"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Normal="100" workbookViewId="0">
      <selection activeCell="H19" sqref="H19"/>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11" t="str">
        <f>+'412BS'!A1:F1</f>
        <v>Windom, MN</v>
      </c>
      <c r="B1" s="411"/>
      <c r="C1" s="411"/>
      <c r="D1" s="411"/>
      <c r="E1" s="411"/>
      <c r="F1" s="411"/>
      <c r="G1" s="271"/>
    </row>
    <row r="2" spans="1:7" ht="15">
      <c r="A2" s="412" t="s">
        <v>408</v>
      </c>
      <c r="B2" s="412"/>
      <c r="C2" s="412"/>
      <c r="D2" s="412"/>
      <c r="E2" s="412"/>
      <c r="F2" s="412"/>
      <c r="G2" s="271"/>
    </row>
    <row r="3" spans="1:7" ht="15">
      <c r="A3" s="412" t="s">
        <v>491</v>
      </c>
      <c r="B3" s="412"/>
      <c r="C3" s="412"/>
      <c r="D3" s="412"/>
      <c r="E3" s="412"/>
      <c r="F3" s="412"/>
      <c r="G3" s="271"/>
    </row>
    <row r="4" spans="1:7" ht="15.75">
      <c r="A4" s="413">
        <f>+'412BS'!A4:F4</f>
        <v>42735</v>
      </c>
      <c r="B4" s="413"/>
      <c r="C4" s="413"/>
      <c r="D4" s="413"/>
      <c r="E4" s="413"/>
      <c r="F4" s="413"/>
      <c r="G4" s="270"/>
    </row>
    <row r="6" spans="1:7">
      <c r="A6" s="415" t="s">
        <v>490</v>
      </c>
      <c r="B6" s="415"/>
      <c r="C6" s="415"/>
      <c r="D6" s="415"/>
      <c r="E6" s="415"/>
      <c r="F6" s="415"/>
    </row>
    <row r="7" spans="1:7">
      <c r="A7" s="208" t="s">
        <v>4</v>
      </c>
      <c r="B7" s="190"/>
      <c r="C7" s="190" t="s">
        <v>489</v>
      </c>
      <c r="D7" s="190" t="s">
        <v>488</v>
      </c>
      <c r="E7" s="190" t="s">
        <v>487</v>
      </c>
      <c r="F7" s="190" t="s">
        <v>486</v>
      </c>
    </row>
    <row r="8" spans="1:7">
      <c r="A8" s="169" t="s">
        <v>403</v>
      </c>
      <c r="B8" s="164"/>
      <c r="C8" s="190" t="s">
        <v>485</v>
      </c>
      <c r="D8" s="164" t="s">
        <v>484</v>
      </c>
      <c r="E8" s="164" t="s">
        <v>483</v>
      </c>
      <c r="F8" s="164" t="s">
        <v>9</v>
      </c>
    </row>
    <row r="9" spans="1:7">
      <c r="A9" s="158">
        <v>1</v>
      </c>
      <c r="B9" s="149" t="s">
        <v>482</v>
      </c>
      <c r="C9" s="269"/>
      <c r="D9" s="249"/>
      <c r="E9" s="249"/>
      <c r="F9" s="249"/>
    </row>
    <row r="10" spans="1:7">
      <c r="A10" s="174"/>
      <c r="B10" s="266" t="s">
        <v>481</v>
      </c>
      <c r="C10" s="205">
        <v>0</v>
      </c>
      <c r="D10" s="268">
        <v>0</v>
      </c>
      <c r="E10" s="268">
        <v>0</v>
      </c>
      <c r="F10" s="267">
        <f>SUM(C10:E10)</f>
        <v>0</v>
      </c>
    </row>
    <row r="11" spans="1:7">
      <c r="A11" s="174">
        <v>2</v>
      </c>
      <c r="B11" s="266" t="s">
        <v>480</v>
      </c>
      <c r="C11" s="173">
        <v>0</v>
      </c>
      <c r="D11" s="215">
        <v>0</v>
      </c>
      <c r="E11" s="215">
        <v>0</v>
      </c>
      <c r="F11" s="263">
        <f>SUM(C11:E11)</f>
        <v>0</v>
      </c>
    </row>
    <row r="12" spans="1:7">
      <c r="A12" s="158">
        <v>3</v>
      </c>
      <c r="B12" s="149" t="s">
        <v>479</v>
      </c>
      <c r="C12" s="167"/>
      <c r="D12" s="214"/>
      <c r="E12" s="214"/>
      <c r="F12" s="260"/>
    </row>
    <row r="13" spans="1:7">
      <c r="A13" s="174"/>
      <c r="B13" s="248" t="s">
        <v>478</v>
      </c>
      <c r="C13" s="173">
        <v>0</v>
      </c>
      <c r="D13" s="215">
        <v>0</v>
      </c>
      <c r="E13" s="215">
        <v>0</v>
      </c>
      <c r="F13" s="263">
        <f>SUM(C13:E13)</f>
        <v>0</v>
      </c>
    </row>
    <row r="14" spans="1:7">
      <c r="A14" s="176">
        <v>4</v>
      </c>
      <c r="B14" s="265" t="s">
        <v>477</v>
      </c>
      <c r="C14" s="167"/>
      <c r="D14" s="214"/>
      <c r="E14" s="214"/>
      <c r="F14" s="260"/>
    </row>
    <row r="15" spans="1:7">
      <c r="A15" s="174"/>
      <c r="B15" s="264" t="s">
        <v>476</v>
      </c>
      <c r="C15" s="400">
        <v>0</v>
      </c>
      <c r="D15" s="215">
        <v>0</v>
      </c>
      <c r="E15" s="215">
        <v>0</v>
      </c>
      <c r="F15" s="263">
        <f>SUM(C15:E15)</f>
        <v>0</v>
      </c>
    </row>
    <row r="16" spans="1:7">
      <c r="A16" s="184">
        <v>5</v>
      </c>
      <c r="B16" s="262" t="s">
        <v>475</v>
      </c>
      <c r="C16" s="403">
        <f>3369849</f>
        <v>3369849</v>
      </c>
      <c r="D16" s="253">
        <v>0</v>
      </c>
      <c r="E16" s="253">
        <v>0</v>
      </c>
      <c r="F16" s="261">
        <f>SUM(C16:E16)</f>
        <v>3369849</v>
      </c>
    </row>
    <row r="17" spans="1:11">
      <c r="A17" s="158">
        <v>6</v>
      </c>
      <c r="B17" s="149" t="s">
        <v>474</v>
      </c>
      <c r="C17" s="167"/>
      <c r="D17" s="214"/>
      <c r="E17" s="214"/>
      <c r="F17" s="260"/>
    </row>
    <row r="18" spans="1:11" ht="13.5" thickBot="1">
      <c r="A18" s="174"/>
      <c r="B18" s="248" t="s">
        <v>473</v>
      </c>
      <c r="C18" s="167">
        <v>0</v>
      </c>
      <c r="D18" s="214">
        <f>ProductionLabor</f>
        <v>23048</v>
      </c>
      <c r="E18" s="401">
        <v>43953.97</v>
      </c>
      <c r="F18" s="260">
        <f>SUM(C18:E18)</f>
        <v>67001.97</v>
      </c>
    </row>
    <row r="19" spans="1:11" ht="13.5" thickBot="1">
      <c r="A19" s="182">
        <v>7</v>
      </c>
      <c r="B19" s="259" t="s">
        <v>472</v>
      </c>
      <c r="C19" s="231">
        <f>SUM(C10:C18)</f>
        <v>3369849</v>
      </c>
      <c r="D19" s="247">
        <f>SUM(D10:D18)</f>
        <v>23048</v>
      </c>
      <c r="E19" s="247">
        <f>SUM(E10:E18)</f>
        <v>43953.97</v>
      </c>
      <c r="F19" s="246">
        <f>SUM(C19:E19)</f>
        <v>3436850.97</v>
      </c>
    </row>
    <row r="20" spans="1:11">
      <c r="A20" s="158">
        <v>8</v>
      </c>
      <c r="B20" s="209" t="s">
        <v>471</v>
      </c>
      <c r="C20" s="250"/>
      <c r="D20" s="250"/>
      <c r="E20" s="250"/>
      <c r="F20" s="249"/>
    </row>
    <row r="21" spans="1:11" ht="15">
      <c r="A21" s="174"/>
      <c r="B21" s="256" t="s">
        <v>470</v>
      </c>
      <c r="C21" s="255" t="s">
        <v>461</v>
      </c>
      <c r="D21" s="255" t="s">
        <v>461</v>
      </c>
      <c r="E21" s="402">
        <f>+S4_TransOM!F32</f>
        <v>17182</v>
      </c>
      <c r="F21" s="252">
        <f>SUM(D21:E21)</f>
        <v>17182</v>
      </c>
      <c r="G21" s="148" t="s">
        <v>2</v>
      </c>
    </row>
    <row r="22" spans="1:11" ht="15">
      <c r="A22" s="158">
        <v>9</v>
      </c>
      <c r="B22" s="209" t="s">
        <v>469</v>
      </c>
      <c r="C22" s="258"/>
      <c r="D22" s="214"/>
      <c r="E22" s="214"/>
      <c r="F22" s="257"/>
    </row>
    <row r="23" spans="1:11" ht="15">
      <c r="A23" s="174"/>
      <c r="B23" s="256" t="s">
        <v>468</v>
      </c>
      <c r="C23" s="255" t="s">
        <v>461</v>
      </c>
      <c r="D23" s="215">
        <f>DistributionLabor</f>
        <v>339365</v>
      </c>
      <c r="E23" s="402">
        <f>+-'S5_A&amp;G'!C27-E18</f>
        <v>65213.529999999984</v>
      </c>
      <c r="F23" s="252">
        <f>+D23+E23</f>
        <v>404578.52999999997</v>
      </c>
    </row>
    <row r="24" spans="1:11" ht="15">
      <c r="A24" s="158">
        <v>10</v>
      </c>
      <c r="B24" s="209" t="s">
        <v>467</v>
      </c>
      <c r="C24" s="258"/>
      <c r="D24" s="214"/>
      <c r="E24" s="214"/>
      <c r="F24" s="257"/>
    </row>
    <row r="25" spans="1:11" ht="15">
      <c r="A25" s="174"/>
      <c r="B25" s="256" t="s">
        <v>466</v>
      </c>
      <c r="C25" s="255" t="s">
        <v>461</v>
      </c>
      <c r="D25" s="215">
        <f>OtherLabor +CustomerAccountExpenses*-1</f>
        <v>4950.82</v>
      </c>
      <c r="E25" s="215">
        <v>0</v>
      </c>
      <c r="F25" s="252">
        <f>+D25+E25</f>
        <v>4950.82</v>
      </c>
    </row>
    <row r="26" spans="1:11" ht="15">
      <c r="A26" s="158">
        <v>11</v>
      </c>
      <c r="B26" s="209" t="s">
        <v>465</v>
      </c>
      <c r="C26" s="258"/>
      <c r="D26" s="214"/>
      <c r="E26" s="214"/>
      <c r="F26" s="257"/>
    </row>
    <row r="27" spans="1:11" ht="15">
      <c r="A27" s="174"/>
      <c r="B27" s="256" t="s">
        <v>464</v>
      </c>
      <c r="C27" s="255" t="s">
        <v>461</v>
      </c>
      <c r="D27" s="215">
        <v>0</v>
      </c>
      <c r="E27" s="215">
        <v>0</v>
      </c>
      <c r="F27" s="252">
        <f>+D27+E27</f>
        <v>0</v>
      </c>
      <c r="H27" s="293"/>
    </row>
    <row r="28" spans="1:11" ht="15">
      <c r="A28" s="182">
        <v>12</v>
      </c>
      <c r="B28" s="222" t="s">
        <v>463</v>
      </c>
      <c r="C28" s="254" t="s">
        <v>461</v>
      </c>
      <c r="D28" s="253">
        <f>SalesExpenses*-1</f>
        <v>99932.97</v>
      </c>
      <c r="E28" s="253">
        <v>0</v>
      </c>
      <c r="F28" s="252">
        <f>+D28+E28</f>
        <v>99932.97</v>
      </c>
      <c r="K28" s="285"/>
    </row>
    <row r="29" spans="1:11" ht="15">
      <c r="A29" s="182">
        <v>13</v>
      </c>
      <c r="B29" s="222" t="s">
        <v>462</v>
      </c>
      <c r="C29" s="254" t="s">
        <v>461</v>
      </c>
      <c r="D29" s="253">
        <f>AdminGeneralTotal</f>
        <v>322545</v>
      </c>
      <c r="E29" s="253">
        <v>0</v>
      </c>
      <c r="F29" s="252">
        <f>+D29+E29</f>
        <v>322545</v>
      </c>
      <c r="J29" s="291"/>
      <c r="K29" s="285"/>
    </row>
    <row r="30" spans="1:11" ht="13.5" thickBot="1">
      <c r="A30" s="158">
        <v>14</v>
      </c>
      <c r="B30" s="209" t="s">
        <v>460</v>
      </c>
      <c r="C30" s="251"/>
      <c r="D30" s="250"/>
      <c r="E30" s="250"/>
      <c r="F30" s="249"/>
      <c r="H30" s="293"/>
      <c r="J30" s="291"/>
      <c r="K30" s="285"/>
    </row>
    <row r="31" spans="1:11" ht="13.5" thickBot="1">
      <c r="A31" s="174"/>
      <c r="B31" s="248" t="s">
        <v>459</v>
      </c>
      <c r="C31" s="231" t="s">
        <v>458</v>
      </c>
      <c r="D31" s="247">
        <f>SUM(D19:D29)</f>
        <v>789841.79</v>
      </c>
      <c r="E31" s="247">
        <f>SUM(E19:E29)</f>
        <v>126349.49999999999</v>
      </c>
      <c r="F31" s="246">
        <f>SUM(F19:F30)</f>
        <v>4286040.29</v>
      </c>
      <c r="J31" s="291"/>
      <c r="K31" s="285"/>
    </row>
    <row r="32" spans="1:11">
      <c r="C32" s="210"/>
      <c r="D32" s="210"/>
      <c r="E32" s="210"/>
      <c r="F32" s="210"/>
      <c r="J32" s="291"/>
      <c r="K32" s="285"/>
    </row>
    <row r="33" spans="2:11">
      <c r="B33" s="416" t="s">
        <v>457</v>
      </c>
      <c r="C33" s="417"/>
      <c r="D33" s="245">
        <v>6</v>
      </c>
      <c r="E33" s="210"/>
      <c r="F33" s="210"/>
      <c r="K33" s="285"/>
    </row>
    <row r="34" spans="2:11">
      <c r="B34" s="244" t="s">
        <v>456</v>
      </c>
      <c r="C34" s="243"/>
      <c r="D34" s="242">
        <v>0</v>
      </c>
      <c r="E34" s="210"/>
      <c r="F34" s="210"/>
      <c r="J34" s="292"/>
    </row>
    <row r="35" spans="2:11">
      <c r="C35" s="210"/>
      <c r="D35" s="210"/>
      <c r="E35" s="210"/>
      <c r="F35" s="210"/>
    </row>
    <row r="36" spans="2:11">
      <c r="F36" s="210"/>
      <c r="J36" s="293"/>
    </row>
    <row r="37" spans="2:11">
      <c r="F37" s="210"/>
    </row>
    <row r="38" spans="2:11">
      <c r="F38" s="210"/>
    </row>
    <row r="39" spans="2:11">
      <c r="F39" s="210"/>
    </row>
    <row r="40" spans="2:11">
      <c r="F40" s="210"/>
    </row>
    <row r="41" spans="2:11">
      <c r="F41" s="210"/>
    </row>
    <row r="42" spans="2:11">
      <c r="F42" s="210"/>
    </row>
    <row r="43" spans="2:11">
      <c r="F43" s="210"/>
    </row>
    <row r="44" spans="2:11">
      <c r="F44" s="210"/>
    </row>
    <row r="45" spans="2:11">
      <c r="F45" s="210"/>
    </row>
  </sheetData>
  <mergeCells count="6">
    <mergeCell ref="A6:F6"/>
    <mergeCell ref="B33:C33"/>
    <mergeCell ref="A1:F1"/>
    <mergeCell ref="A2:F2"/>
    <mergeCell ref="A4:F4"/>
    <mergeCell ref="A3:F3"/>
  </mergeCells>
  <pageMargins left="0.75" right="0.75" top="1" bottom="1" header="0.5" footer="0.5"/>
  <pageSetup scale="87"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Normal="100" workbookViewId="0">
      <selection activeCell="D27" sqref="D27"/>
    </sheetView>
  </sheetViews>
  <sheetFormatPr defaultRowHeight="12.75"/>
  <cols>
    <col min="1" max="1" width="3.33203125" style="393" customWidth="1"/>
    <col min="2" max="16384" width="8.88671875" style="148"/>
  </cols>
  <sheetData>
    <row r="1" spans="1:11" ht="15.75">
      <c r="B1" s="411" t="str">
        <f>EntityName</f>
        <v>Windom, MN</v>
      </c>
      <c r="C1" s="411"/>
      <c r="D1" s="411"/>
      <c r="E1" s="411"/>
      <c r="F1" s="411"/>
      <c r="G1" s="411"/>
    </row>
    <row r="2" spans="1:11" ht="15">
      <c r="B2" s="412" t="s">
        <v>408</v>
      </c>
      <c r="C2" s="412"/>
      <c r="D2" s="412"/>
      <c r="E2" s="412"/>
      <c r="F2" s="412"/>
      <c r="G2" s="412"/>
    </row>
    <row r="3" spans="1:11" ht="15">
      <c r="B3" s="412" t="s">
        <v>495</v>
      </c>
      <c r="C3" s="412"/>
      <c r="D3" s="412"/>
      <c r="E3" s="412"/>
      <c r="F3" s="412"/>
      <c r="G3" s="412"/>
    </row>
    <row r="4" spans="1:11" ht="15.75">
      <c r="B4" s="413">
        <v>42735</v>
      </c>
      <c r="C4" s="413"/>
      <c r="D4" s="413"/>
      <c r="E4" s="413"/>
      <c r="F4" s="413"/>
      <c r="G4" s="413"/>
    </row>
    <row r="5" spans="1:11" ht="15.75">
      <c r="B5" s="273"/>
      <c r="C5" s="273"/>
      <c r="D5" s="273"/>
      <c r="E5" s="273"/>
      <c r="F5" s="273"/>
      <c r="G5" s="273"/>
    </row>
    <row r="6" spans="1:11" ht="18" customHeight="1">
      <c r="B6" s="318" t="s">
        <v>562</v>
      </c>
      <c r="D6" s="367"/>
      <c r="E6" s="367"/>
      <c r="F6" s="367"/>
      <c r="G6" s="367"/>
      <c r="H6" s="368" t="str">
        <f>EntityName</f>
        <v>Windom, MN</v>
      </c>
      <c r="I6" s="369"/>
      <c r="J6" s="272"/>
    </row>
    <row r="7" spans="1:11" ht="18" customHeight="1">
      <c r="A7" s="392"/>
      <c r="B7" s="315" t="s">
        <v>563</v>
      </c>
      <c r="C7" s="315"/>
      <c r="D7" s="315"/>
      <c r="E7" s="315"/>
      <c r="F7" s="315"/>
      <c r="G7" s="315"/>
      <c r="H7" s="315"/>
      <c r="I7" s="315"/>
      <c r="J7" s="315"/>
      <c r="K7" s="317"/>
    </row>
    <row r="8" spans="1:11" ht="18" customHeight="1">
      <c r="A8" s="392"/>
      <c r="B8" s="315" t="s">
        <v>564</v>
      </c>
      <c r="C8" s="315"/>
      <c r="D8" s="315"/>
      <c r="E8" s="315"/>
      <c r="F8" s="315"/>
      <c r="G8" s="315"/>
      <c r="H8" s="315"/>
      <c r="I8" s="315"/>
      <c r="J8" s="315"/>
      <c r="K8" s="317"/>
    </row>
    <row r="9" spans="1:11" ht="18" customHeight="1">
      <c r="A9" s="392"/>
      <c r="B9" s="315" t="s">
        <v>493</v>
      </c>
      <c r="C9" s="315"/>
      <c r="D9" s="315"/>
      <c r="E9" s="315"/>
      <c r="F9" s="315"/>
      <c r="G9" s="315"/>
      <c r="H9" s="315"/>
      <c r="I9" s="315"/>
      <c r="J9" s="315"/>
      <c r="K9" s="317"/>
    </row>
    <row r="10" spans="1:11" ht="18" customHeight="1">
      <c r="A10" s="392"/>
      <c r="B10" s="315" t="s">
        <v>565</v>
      </c>
      <c r="C10" s="315"/>
      <c r="D10" s="315"/>
      <c r="E10" s="315"/>
      <c r="F10" s="315"/>
      <c r="G10" s="315"/>
      <c r="H10" s="315"/>
      <c r="I10" s="315"/>
      <c r="J10" s="315"/>
      <c r="K10" s="317"/>
    </row>
    <row r="11" spans="1:11" ht="18" customHeight="1">
      <c r="A11" s="392"/>
      <c r="B11" s="315" t="s">
        <v>566</v>
      </c>
      <c r="C11" s="315"/>
      <c r="D11" s="315"/>
      <c r="E11" s="315"/>
      <c r="F11" s="315"/>
      <c r="G11" s="315"/>
      <c r="H11" s="315"/>
      <c r="I11" s="315"/>
      <c r="J11" s="315"/>
      <c r="K11" s="317"/>
    </row>
    <row r="12" spans="1:11" ht="18" customHeight="1">
      <c r="A12" s="392"/>
      <c r="B12" s="315" t="s">
        <v>567</v>
      </c>
      <c r="C12" s="315"/>
      <c r="D12" s="315"/>
      <c r="E12" s="315"/>
      <c r="F12" s="315"/>
      <c r="G12" s="315"/>
      <c r="H12" s="315"/>
      <c r="I12" s="315"/>
      <c r="J12" s="315"/>
      <c r="K12" s="317"/>
    </row>
    <row r="13" spans="1:11" ht="18" customHeight="1">
      <c r="A13" s="392"/>
      <c r="B13" s="315" t="s">
        <v>493</v>
      </c>
      <c r="C13" s="315"/>
      <c r="D13" s="315"/>
      <c r="E13" s="315"/>
      <c r="F13" s="315"/>
      <c r="G13" s="315"/>
      <c r="H13" s="315"/>
      <c r="I13" s="315"/>
      <c r="J13" s="315"/>
      <c r="K13" s="317"/>
    </row>
    <row r="14" spans="1:11" ht="18" customHeight="1">
      <c r="A14" s="392"/>
      <c r="B14" s="315" t="s">
        <v>568</v>
      </c>
      <c r="C14" s="315"/>
      <c r="D14" s="315"/>
      <c r="E14" s="315"/>
      <c r="F14" s="315"/>
      <c r="G14" s="315"/>
      <c r="H14" s="315"/>
      <c r="I14" s="315"/>
      <c r="J14" s="315"/>
      <c r="K14" s="317"/>
    </row>
    <row r="15" spans="1:11" ht="18" customHeight="1">
      <c r="A15" s="392"/>
      <c r="B15" s="315" t="s">
        <v>493</v>
      </c>
      <c r="C15" s="315"/>
      <c r="D15" s="315"/>
      <c r="E15" s="315"/>
      <c r="F15" s="315"/>
      <c r="G15" s="315"/>
      <c r="H15" s="315"/>
      <c r="I15" s="315"/>
      <c r="J15" s="315"/>
      <c r="K15" s="317"/>
    </row>
    <row r="16" spans="1:11" ht="18" customHeight="1">
      <c r="A16" s="392"/>
      <c r="B16" s="315" t="s">
        <v>569</v>
      </c>
      <c r="C16" s="315"/>
      <c r="D16" s="315"/>
      <c r="E16" s="315"/>
      <c r="F16" s="315"/>
      <c r="G16" s="315"/>
      <c r="H16" s="315"/>
      <c r="I16" s="315"/>
      <c r="J16" s="315"/>
      <c r="K16" s="317"/>
    </row>
    <row r="17" spans="1:11" ht="18" customHeight="1">
      <c r="A17" s="392"/>
      <c r="B17" s="315" t="s">
        <v>493</v>
      </c>
      <c r="C17" s="315"/>
      <c r="D17" s="315"/>
      <c r="E17" s="315"/>
      <c r="F17" s="315"/>
      <c r="G17" s="315"/>
      <c r="H17" s="315"/>
      <c r="I17" s="315"/>
      <c r="J17" s="315"/>
      <c r="K17" s="317"/>
    </row>
    <row r="18" spans="1:11" ht="18" customHeight="1">
      <c r="A18" s="392"/>
      <c r="B18" s="315" t="s">
        <v>570</v>
      </c>
      <c r="C18" s="315"/>
      <c r="D18" s="315"/>
      <c r="E18" s="315"/>
      <c r="F18" s="315"/>
      <c r="G18" s="315"/>
      <c r="H18" s="315"/>
      <c r="I18" s="315"/>
      <c r="J18" s="315"/>
      <c r="K18" s="317"/>
    </row>
    <row r="19" spans="1:11" ht="18" customHeight="1">
      <c r="A19" s="392"/>
      <c r="B19" s="315" t="s">
        <v>571</v>
      </c>
      <c r="C19" s="315"/>
      <c r="D19" s="315"/>
      <c r="E19" s="315"/>
      <c r="F19" s="315"/>
      <c r="G19" s="315"/>
      <c r="H19" s="315"/>
      <c r="I19" s="315"/>
      <c r="J19" s="315"/>
      <c r="K19" s="317"/>
    </row>
    <row r="20" spans="1:11" ht="18" customHeight="1">
      <c r="A20" s="392"/>
      <c r="B20" s="315" t="s">
        <v>572</v>
      </c>
      <c r="C20" s="315"/>
      <c r="D20" s="315"/>
      <c r="E20" s="315"/>
      <c r="F20" s="315"/>
      <c r="G20" s="315"/>
      <c r="H20" s="315"/>
      <c r="I20" s="315"/>
      <c r="J20" s="315"/>
      <c r="K20" s="317"/>
    </row>
    <row r="21" spans="1:11" ht="18" customHeight="1">
      <c r="A21" s="392"/>
      <c r="B21" s="315" t="s">
        <v>494</v>
      </c>
      <c r="C21" s="315"/>
      <c r="D21" s="315"/>
      <c r="E21" s="315"/>
      <c r="F21" s="315"/>
      <c r="G21" s="315"/>
      <c r="H21" s="315"/>
      <c r="I21" s="315"/>
      <c r="J21" s="315"/>
      <c r="K21" s="317"/>
    </row>
    <row r="22" spans="1:11" ht="18" customHeight="1">
      <c r="A22" s="392"/>
      <c r="B22" s="315"/>
      <c r="C22" s="315"/>
      <c r="D22" s="315"/>
      <c r="E22" s="315"/>
      <c r="F22" s="315"/>
      <c r="G22" s="315"/>
      <c r="H22" s="315"/>
      <c r="I22" s="315"/>
      <c r="J22" s="315"/>
      <c r="K22" s="317"/>
    </row>
    <row r="23" spans="1:11" ht="18" customHeight="1">
      <c r="A23" s="392"/>
      <c r="B23" s="381"/>
      <c r="C23" s="316"/>
      <c r="D23" s="316"/>
      <c r="E23" s="316"/>
      <c r="F23" s="316"/>
      <c r="G23" s="316"/>
      <c r="H23" s="316"/>
      <c r="I23" s="316"/>
      <c r="J23" s="316"/>
      <c r="K23" s="316"/>
    </row>
    <row r="24" spans="1:11" ht="18" customHeight="1">
      <c r="B24" s="315"/>
      <c r="C24" s="316"/>
      <c r="D24" s="316"/>
      <c r="E24" s="316"/>
      <c r="F24" s="316"/>
      <c r="G24" s="316"/>
      <c r="H24" s="316"/>
      <c r="I24" s="316"/>
      <c r="J24" s="316"/>
      <c r="K24" s="316"/>
    </row>
    <row r="25" spans="1:11" ht="18" customHeight="1">
      <c r="B25" s="315"/>
      <c r="C25" s="316"/>
      <c r="D25" s="316"/>
      <c r="E25" s="316"/>
      <c r="F25" s="316"/>
      <c r="G25" s="316"/>
      <c r="H25" s="316"/>
      <c r="I25" s="316"/>
      <c r="J25" s="316"/>
      <c r="K25" s="316"/>
    </row>
    <row r="26" spans="1:11" ht="18" customHeight="1">
      <c r="B26" s="315"/>
      <c r="C26" s="316"/>
      <c r="D26" s="316"/>
      <c r="E26" s="316"/>
      <c r="F26" s="316"/>
      <c r="G26" s="316"/>
      <c r="H26" s="316"/>
      <c r="I26" s="316"/>
      <c r="J26" s="316"/>
      <c r="K26" s="316"/>
    </row>
    <row r="27" spans="1:11" ht="18" customHeight="1">
      <c r="B27" s="315"/>
      <c r="C27" s="316"/>
      <c r="D27" s="316"/>
      <c r="E27" s="316"/>
      <c r="F27" s="316"/>
      <c r="G27" s="316"/>
      <c r="H27" s="316"/>
      <c r="I27" s="316"/>
      <c r="J27" s="316"/>
      <c r="K27" s="316"/>
    </row>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3"/>
  <sheetViews>
    <sheetView showGridLines="0" workbookViewId="0">
      <selection activeCell="K30" sqref="K30"/>
    </sheetView>
  </sheetViews>
  <sheetFormatPr defaultRowHeight="15" customHeight="1"/>
  <cols>
    <col min="1" max="1" width="3.33203125" style="274" customWidth="1"/>
    <col min="2" max="2" width="17" style="274" customWidth="1"/>
    <col min="3" max="3" width="12.109375" style="274" bestFit="1" customWidth="1"/>
    <col min="4" max="4" width="11" style="274" bestFit="1" customWidth="1"/>
    <col min="5" max="5" width="10.33203125" style="274" bestFit="1" customWidth="1"/>
    <col min="6" max="6" width="12.109375" style="274" bestFit="1" customWidth="1"/>
    <col min="7" max="7" width="11.77734375" style="274" customWidth="1"/>
    <col min="8" max="8" width="9.33203125" style="274" bestFit="1" customWidth="1"/>
    <col min="9" max="9" width="10.33203125" style="274" bestFit="1" customWidth="1"/>
    <col min="10" max="11" width="11" style="274" bestFit="1" customWidth="1"/>
    <col min="12" max="12" width="11.5546875" style="274" bestFit="1" customWidth="1"/>
    <col min="13" max="13" width="10" style="274" bestFit="1" customWidth="1"/>
    <col min="14" max="14" width="9.44140625" style="274" customWidth="1"/>
    <col min="15" max="15" width="8.33203125" style="274" bestFit="1" customWidth="1"/>
    <col min="16" max="16" width="13.44140625" style="274" customWidth="1"/>
    <col min="17" max="17" width="1.109375" style="274" customWidth="1"/>
    <col min="18" max="18" width="12.21875" style="274" customWidth="1"/>
    <col min="19" max="19" width="8.33203125" style="274" bestFit="1" customWidth="1"/>
    <col min="20" max="20" width="16.5546875" style="274" customWidth="1"/>
    <col min="21" max="21" width="8.88671875" style="274"/>
    <col min="22" max="22" width="10.44140625" style="274" customWidth="1"/>
    <col min="23" max="23" width="9.77734375" style="274" customWidth="1"/>
    <col min="24" max="24" width="9.33203125" style="274" bestFit="1" customWidth="1"/>
    <col min="25" max="25" width="9.6640625" style="274" customWidth="1"/>
    <col min="26" max="26" width="55.33203125" style="274" customWidth="1"/>
    <col min="27" max="27" width="8.88671875" style="274"/>
    <col min="28" max="28" width="13.77734375" style="274" customWidth="1"/>
    <col min="29" max="29" width="19.44140625" style="274" customWidth="1"/>
    <col min="30" max="30" width="12.6640625" style="274" customWidth="1"/>
    <col min="31" max="31" width="12.109375" style="274" customWidth="1"/>
    <col min="32" max="32" width="14.6640625" style="274" customWidth="1"/>
    <col min="33" max="33" width="10.109375" style="274" customWidth="1"/>
    <col min="34" max="34" width="10.5546875" style="274" customWidth="1"/>
    <col min="35" max="35" width="11.88671875" style="274" customWidth="1"/>
    <col min="36" max="36" width="15.5546875" style="280" customWidth="1"/>
    <col min="37" max="37" width="8.88671875" style="274"/>
    <col min="38" max="38" width="16.33203125" style="274" customWidth="1"/>
    <col min="39" max="39" width="11.109375" style="274" customWidth="1"/>
    <col min="40" max="40" width="10.21875" style="274" customWidth="1"/>
    <col min="41" max="42" width="8.77734375" style="274" customWidth="1"/>
    <col min="43" max="16384" width="8.88671875" style="274"/>
  </cols>
  <sheetData>
    <row r="1" spans="2:36" ht="20.100000000000001" customHeight="1">
      <c r="B1" s="299" t="str">
        <f>EntityName</f>
        <v>Windom, MN</v>
      </c>
      <c r="C1" s="297"/>
      <c r="D1" s="297"/>
      <c r="E1" s="297"/>
      <c r="F1" s="297"/>
      <c r="G1" s="297"/>
      <c r="H1" s="297"/>
      <c r="I1" s="297"/>
      <c r="J1" s="297"/>
      <c r="K1" s="297"/>
      <c r="L1" s="297"/>
      <c r="M1" s="297"/>
      <c r="AJ1" s="274"/>
    </row>
    <row r="2" spans="2:36" ht="20.100000000000001" customHeight="1">
      <c r="B2" s="300" t="s">
        <v>527</v>
      </c>
      <c r="C2" s="298"/>
      <c r="D2" s="298"/>
      <c r="E2" s="298"/>
      <c r="F2" s="298"/>
      <c r="G2" s="298"/>
      <c r="H2" s="298"/>
      <c r="I2" s="298"/>
      <c r="J2" s="298"/>
      <c r="K2" s="298"/>
      <c r="L2" s="298"/>
      <c r="M2" s="298"/>
      <c r="AJ2" s="274"/>
    </row>
    <row r="3" spans="2:36" ht="20.100000000000001" customHeight="1">
      <c r="B3" s="301">
        <f>FilingDate</f>
        <v>42735</v>
      </c>
      <c r="C3" s="297"/>
      <c r="D3" s="297"/>
      <c r="E3" s="297"/>
      <c r="F3" s="297"/>
      <c r="G3" s="297"/>
      <c r="H3" s="297"/>
      <c r="I3" s="297"/>
      <c r="J3" s="297"/>
      <c r="K3" s="297"/>
      <c r="L3" s="297"/>
      <c r="M3" s="297"/>
      <c r="AJ3" s="274"/>
    </row>
    <row r="4" spans="2:36" ht="15" customHeight="1">
      <c r="AJ4" s="274"/>
    </row>
    <row r="5" spans="2:36" ht="18" customHeight="1">
      <c r="B5" s="323"/>
      <c r="C5" s="418" t="s">
        <v>532</v>
      </c>
      <c r="D5" s="419"/>
      <c r="E5" s="419"/>
      <c r="F5" s="420"/>
      <c r="G5" s="421" t="s">
        <v>536</v>
      </c>
      <c r="H5" s="422"/>
      <c r="I5" s="422"/>
      <c r="J5" s="423"/>
      <c r="K5" s="324"/>
      <c r="L5" s="323"/>
      <c r="M5" s="323"/>
      <c r="N5" s="323"/>
      <c r="AJ5" s="274"/>
    </row>
    <row r="6" spans="2:36" ht="18" customHeight="1">
      <c r="B6" s="325" t="s">
        <v>542</v>
      </c>
      <c r="C6" s="320" t="s">
        <v>533</v>
      </c>
      <c r="D6" s="320" t="s">
        <v>452</v>
      </c>
      <c r="E6" s="320" t="s">
        <v>534</v>
      </c>
      <c r="F6" s="320" t="s">
        <v>535</v>
      </c>
      <c r="G6" s="320" t="s">
        <v>533</v>
      </c>
      <c r="H6" s="320" t="s">
        <v>452</v>
      </c>
      <c r="I6" s="320" t="s">
        <v>534</v>
      </c>
      <c r="J6" s="320" t="s">
        <v>535</v>
      </c>
      <c r="K6" s="320" t="s">
        <v>512</v>
      </c>
      <c r="L6" s="323"/>
      <c r="M6" s="323"/>
      <c r="N6" s="323"/>
      <c r="AJ6" s="274"/>
    </row>
    <row r="7" spans="2:36" ht="18" customHeight="1">
      <c r="B7" s="326" t="s">
        <v>539</v>
      </c>
      <c r="C7" s="327">
        <v>3064219.0099999993</v>
      </c>
      <c r="D7" s="327"/>
      <c r="E7" s="327"/>
      <c r="F7" s="327">
        <f>+C7+D7+E7</f>
        <v>3064219.0099999993</v>
      </c>
      <c r="G7" s="327">
        <v>1833828.3400000003</v>
      </c>
      <c r="H7" s="327">
        <v>126823.13999999998</v>
      </c>
      <c r="I7" s="327"/>
      <c r="J7" s="327">
        <f>+G7+H7+I7</f>
        <v>1960651.4800000002</v>
      </c>
      <c r="K7" s="327">
        <f>F7-J7</f>
        <v>1103567.5299999991</v>
      </c>
      <c r="L7" s="323"/>
      <c r="M7" s="323"/>
      <c r="N7" s="323"/>
      <c r="AJ7" s="274"/>
    </row>
    <row r="8" spans="2:36" ht="18" customHeight="1">
      <c r="B8" s="326" t="s">
        <v>497</v>
      </c>
      <c r="C8" s="327">
        <v>351712.28</v>
      </c>
      <c r="D8" s="327"/>
      <c r="E8" s="327"/>
      <c r="F8" s="327">
        <f t="shared" ref="F8:F9" si="0">+C8+D8+E8</f>
        <v>351712.28</v>
      </c>
      <c r="G8" s="327">
        <v>347227.65</v>
      </c>
      <c r="H8" s="327">
        <v>305.77</v>
      </c>
      <c r="I8" s="327"/>
      <c r="J8" s="327">
        <f t="shared" ref="J8:J9" si="1">+G8+H8+I8</f>
        <v>347533.42000000004</v>
      </c>
      <c r="K8" s="327">
        <f>F8-J8</f>
        <v>4178.859999999986</v>
      </c>
      <c r="L8" s="323"/>
      <c r="M8" s="323"/>
      <c r="N8" s="323"/>
      <c r="AJ8" s="274"/>
    </row>
    <row r="9" spans="2:36" ht="18" customHeight="1">
      <c r="B9" s="326" t="s">
        <v>540</v>
      </c>
      <c r="C9" s="327">
        <v>6183317.5499999998</v>
      </c>
      <c r="D9" s="327">
        <v>314005.07999999996</v>
      </c>
      <c r="E9" s="327">
        <v>0</v>
      </c>
      <c r="F9" s="327">
        <f t="shared" si="0"/>
        <v>6497322.6299999999</v>
      </c>
      <c r="G9" s="327">
        <v>4039740.4699999979</v>
      </c>
      <c r="H9" s="327">
        <v>280050.36000000004</v>
      </c>
      <c r="I9" s="327"/>
      <c r="J9" s="327">
        <f t="shared" si="1"/>
        <v>4319790.8299999982</v>
      </c>
      <c r="K9" s="327">
        <f t="shared" ref="K9" si="2">F9-J9</f>
        <v>2177531.8000000017</v>
      </c>
      <c r="L9" s="323"/>
      <c r="M9" s="323"/>
      <c r="N9" s="323"/>
      <c r="AJ9" s="274"/>
    </row>
    <row r="10" spans="2:36" ht="18" customHeight="1">
      <c r="B10" s="326" t="s">
        <v>541</v>
      </c>
      <c r="C10" s="394">
        <v>1515632.84</v>
      </c>
      <c r="D10" s="327">
        <v>478337.03</v>
      </c>
      <c r="E10" s="327">
        <v>191682</v>
      </c>
      <c r="F10" s="327">
        <f>+C10+D10+-E10</f>
        <v>1802287.87</v>
      </c>
      <c r="G10" s="327">
        <v>1136757.7799999996</v>
      </c>
      <c r="H10" s="327">
        <v>98594.35</v>
      </c>
      <c r="I10" s="327">
        <v>191682</v>
      </c>
      <c r="J10" s="327">
        <f>+G10+H10+-I10</f>
        <v>1043670.1299999997</v>
      </c>
      <c r="K10" s="327">
        <f>F10-J10</f>
        <v>758617.74000000046</v>
      </c>
      <c r="L10" s="323"/>
      <c r="M10" s="323"/>
      <c r="N10" s="323"/>
      <c r="AJ10" s="274"/>
    </row>
    <row r="11" spans="2:36" ht="18" customHeight="1">
      <c r="B11" s="328" t="s">
        <v>556</v>
      </c>
      <c r="C11" s="359">
        <f>SUM(C7:C10)</f>
        <v>11114881.68</v>
      </c>
      <c r="D11" s="359">
        <f t="shared" ref="D11:K11" si="3">SUM(D7:D10)</f>
        <v>792342.11</v>
      </c>
      <c r="E11" s="359">
        <f t="shared" si="3"/>
        <v>191682</v>
      </c>
      <c r="F11" s="359">
        <f t="shared" si="3"/>
        <v>11715541.789999999</v>
      </c>
      <c r="G11" s="359">
        <f t="shared" si="3"/>
        <v>7357554.2399999974</v>
      </c>
      <c r="H11" s="359">
        <f t="shared" si="3"/>
        <v>505773.62</v>
      </c>
      <c r="I11" s="359">
        <f t="shared" si="3"/>
        <v>191682</v>
      </c>
      <c r="J11" s="359">
        <f>SUM(J7:J10)-0.5</f>
        <v>7671645.3599999985</v>
      </c>
      <c r="K11" s="359">
        <f t="shared" si="3"/>
        <v>4043895.9300000016</v>
      </c>
      <c r="L11" s="323"/>
      <c r="M11" s="323"/>
      <c r="N11" s="323"/>
      <c r="AJ11" s="274"/>
    </row>
    <row r="12" spans="2:36" ht="18" customHeight="1">
      <c r="B12" s="326" t="s">
        <v>511</v>
      </c>
      <c r="C12" s="327">
        <v>0</v>
      </c>
      <c r="D12" s="327">
        <v>0</v>
      </c>
      <c r="E12" s="327">
        <v>0</v>
      </c>
      <c r="F12" s="327">
        <f>C12+D12-E12</f>
        <v>0</v>
      </c>
      <c r="G12" s="327"/>
      <c r="H12" s="327"/>
      <c r="I12" s="327"/>
      <c r="J12" s="327">
        <v>0</v>
      </c>
      <c r="K12" s="327">
        <v>0</v>
      </c>
      <c r="L12" s="323"/>
      <c r="M12" s="323"/>
      <c r="N12" s="323"/>
      <c r="AJ12" s="274"/>
    </row>
    <row r="13" spans="2:36" ht="18" customHeight="1">
      <c r="B13" s="328" t="s">
        <v>555</v>
      </c>
      <c r="C13" s="359">
        <f t="shared" ref="C13:K13" si="4">C11+C12</f>
        <v>11114881.68</v>
      </c>
      <c r="D13" s="359">
        <f t="shared" si="4"/>
        <v>792342.11</v>
      </c>
      <c r="E13" s="359">
        <f t="shared" si="4"/>
        <v>191682</v>
      </c>
      <c r="F13" s="359">
        <f t="shared" si="4"/>
        <v>11715541.789999999</v>
      </c>
      <c r="G13" s="359">
        <f t="shared" si="4"/>
        <v>7357554.2399999974</v>
      </c>
      <c r="H13" s="359">
        <f t="shared" si="4"/>
        <v>505773.62</v>
      </c>
      <c r="I13" s="359">
        <f t="shared" si="4"/>
        <v>191682</v>
      </c>
      <c r="J13" s="359">
        <f t="shared" si="4"/>
        <v>7671645.3599999985</v>
      </c>
      <c r="K13" s="359">
        <f t="shared" si="4"/>
        <v>4043895.9300000016</v>
      </c>
      <c r="M13" s="323"/>
      <c r="N13" s="323"/>
      <c r="AJ13" s="274"/>
    </row>
    <row r="14" spans="2:36" ht="18" customHeight="1">
      <c r="B14" s="323"/>
      <c r="C14" s="323"/>
      <c r="D14" s="323"/>
      <c r="E14" s="323"/>
      <c r="F14" s="339" t="s">
        <v>655</v>
      </c>
      <c r="G14" s="323"/>
      <c r="H14" s="323"/>
      <c r="I14" s="323"/>
      <c r="J14" s="339" t="s">
        <v>655</v>
      </c>
      <c r="K14" s="339" t="s">
        <v>655</v>
      </c>
      <c r="L14" s="323"/>
      <c r="M14" s="323"/>
      <c r="N14" s="323"/>
      <c r="AJ14" s="274"/>
    </row>
    <row r="15" spans="2:36" ht="18" customHeight="1">
      <c r="B15" s="323"/>
      <c r="C15" s="323"/>
      <c r="D15" s="323"/>
      <c r="E15" s="323"/>
      <c r="F15" s="323"/>
      <c r="G15" s="323"/>
      <c r="H15" s="323"/>
      <c r="I15" s="323"/>
      <c r="J15" s="323"/>
      <c r="K15" s="323"/>
      <c r="L15" s="323"/>
      <c r="M15" s="323"/>
      <c r="N15" s="323"/>
      <c r="AJ15" s="274"/>
    </row>
    <row r="16" spans="2:36" ht="18" customHeight="1">
      <c r="B16" s="325" t="s">
        <v>560</v>
      </c>
      <c r="C16" s="320" t="s">
        <v>7</v>
      </c>
      <c r="D16" s="323"/>
      <c r="E16" s="323"/>
      <c r="G16" s="323" t="s">
        <v>654</v>
      </c>
      <c r="H16" s="323"/>
      <c r="I16" s="323"/>
      <c r="J16" s="323"/>
      <c r="K16" s="323"/>
      <c r="L16" s="323"/>
      <c r="M16" s="323"/>
      <c r="N16" s="323"/>
      <c r="AJ16" s="274"/>
    </row>
    <row r="17" spans="2:36" ht="18" customHeight="1">
      <c r="B17" s="326" t="s">
        <v>539</v>
      </c>
      <c r="C17" s="327">
        <v>0</v>
      </c>
      <c r="D17" s="323"/>
      <c r="E17" s="323"/>
      <c r="F17" s="323"/>
      <c r="G17" s="323"/>
      <c r="H17" s="323"/>
      <c r="I17" s="323"/>
      <c r="J17" s="323"/>
      <c r="K17" s="323"/>
      <c r="L17" s="323"/>
      <c r="M17" s="323"/>
      <c r="N17" s="323"/>
      <c r="AJ17" s="274"/>
    </row>
    <row r="18" spans="2:36" ht="18" customHeight="1">
      <c r="B18" s="326" t="s">
        <v>497</v>
      </c>
      <c r="C18" s="327">
        <v>0</v>
      </c>
      <c r="D18" s="323"/>
      <c r="E18" s="323"/>
      <c r="F18" s="323"/>
      <c r="G18" s="323"/>
      <c r="H18" s="323"/>
      <c r="I18" s="323"/>
      <c r="J18" s="323"/>
      <c r="K18" s="323"/>
      <c r="L18" s="323"/>
      <c r="M18" s="323"/>
      <c r="N18" s="323"/>
      <c r="AJ18" s="274"/>
    </row>
    <row r="19" spans="2:36" ht="18" customHeight="1">
      <c r="B19" s="326" t="s">
        <v>540</v>
      </c>
      <c r="C19" s="327">
        <v>0</v>
      </c>
      <c r="D19" s="323"/>
      <c r="E19" s="323"/>
      <c r="F19" s="323"/>
      <c r="G19" s="323"/>
      <c r="H19" s="323"/>
      <c r="I19" s="323"/>
      <c r="J19" s="323"/>
      <c r="K19" s="323"/>
      <c r="L19" s="323"/>
      <c r="M19" s="323"/>
      <c r="N19" s="323"/>
      <c r="AJ19" s="274"/>
    </row>
    <row r="20" spans="2:36" ht="18" customHeight="1">
      <c r="B20" s="326" t="s">
        <v>541</v>
      </c>
      <c r="C20" s="327">
        <v>0</v>
      </c>
      <c r="D20" s="323"/>
      <c r="E20" s="323"/>
      <c r="F20" s="323"/>
      <c r="G20" s="323"/>
      <c r="H20" s="323"/>
      <c r="I20" s="323"/>
      <c r="J20" s="323"/>
      <c r="K20" s="323"/>
      <c r="L20" s="323"/>
      <c r="M20" s="323"/>
      <c r="N20" s="323"/>
      <c r="AJ20" s="274"/>
    </row>
    <row r="21" spans="2:36" ht="18" customHeight="1">
      <c r="AJ21" s="274"/>
    </row>
    <row r="22" spans="2:36" ht="15" customHeight="1">
      <c r="AJ22" s="274"/>
    </row>
    <row r="23" spans="2:36" ht="15" customHeight="1">
      <c r="AJ23" s="274"/>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workbookViewId="0">
      <selection activeCell="K30" sqref="K30"/>
    </sheetView>
  </sheetViews>
  <sheetFormatPr defaultRowHeight="15" customHeight="1"/>
  <cols>
    <col min="1" max="1" width="3.33203125" style="274" customWidth="1"/>
    <col min="2" max="2" width="16.5546875" style="275" customWidth="1"/>
    <col min="3" max="3" width="6.88671875" style="274" customWidth="1"/>
    <col min="4" max="4" width="7.5546875" style="274" customWidth="1"/>
    <col min="5" max="5" width="11.21875" style="274" customWidth="1"/>
    <col min="6" max="6" width="12.44140625" style="274" customWidth="1"/>
    <col min="7" max="7" width="11.44140625" style="274" customWidth="1"/>
    <col min="8" max="16384" width="8.88671875" style="274"/>
  </cols>
  <sheetData>
    <row r="1" spans="2:12" ht="20.100000000000001" customHeight="1">
      <c r="B1" s="299" t="str">
        <f>EntityName</f>
        <v>Windom, MN</v>
      </c>
      <c r="C1" s="303"/>
      <c r="D1" s="303"/>
    </row>
    <row r="2" spans="2:12" ht="20.100000000000001" customHeight="1">
      <c r="B2" s="300" t="s">
        <v>524</v>
      </c>
      <c r="C2" s="305"/>
      <c r="D2" s="305"/>
      <c r="E2" s="296"/>
      <c r="F2" s="296"/>
      <c r="G2" s="296"/>
    </row>
    <row r="3" spans="2:12" ht="20.100000000000001" customHeight="1">
      <c r="B3" s="301">
        <f>FilingDate</f>
        <v>42735</v>
      </c>
      <c r="C3" s="303"/>
      <c r="D3" s="303"/>
    </row>
    <row r="4" spans="2:12" ht="20.100000000000001" customHeight="1">
      <c r="B4" s="304"/>
      <c r="C4" s="303"/>
      <c r="D4" s="303"/>
    </row>
    <row r="5" spans="2:12" ht="20.100000000000001" customHeight="1">
      <c r="B5" s="306">
        <f>E11</f>
        <v>0</v>
      </c>
      <c r="C5" s="312" t="s">
        <v>548</v>
      </c>
      <c r="D5" s="303"/>
    </row>
    <row r="6" spans="2:12" ht="20.100000000000001" customHeight="1">
      <c r="B6" s="306">
        <f>E27</f>
        <v>0</v>
      </c>
      <c r="C6" s="312" t="s">
        <v>553</v>
      </c>
      <c r="D6" s="303"/>
    </row>
    <row r="7" spans="2:12" ht="15" customHeight="1">
      <c r="B7" s="279"/>
      <c r="C7" s="279"/>
    </row>
    <row r="8" spans="2:12" ht="18" customHeight="1">
      <c r="B8" s="279"/>
      <c r="C8" s="279"/>
    </row>
    <row r="9" spans="2:12" ht="18" customHeight="1">
      <c r="B9" s="424" t="s">
        <v>502</v>
      </c>
      <c r="C9" s="424"/>
      <c r="D9" s="424"/>
      <c r="E9" s="424"/>
      <c r="F9" s="424"/>
      <c r="G9" s="424"/>
      <c r="H9" s="323"/>
      <c r="I9" s="323"/>
      <c r="J9" s="323"/>
      <c r="K9" s="323"/>
      <c r="L9" s="323"/>
    </row>
    <row r="10" spans="2:12" ht="18" customHeight="1">
      <c r="B10" s="320" t="s">
        <v>499</v>
      </c>
      <c r="C10" s="321"/>
      <c r="D10" s="321"/>
      <c r="E10" s="321" t="s">
        <v>498</v>
      </c>
      <c r="F10" s="321" t="s">
        <v>559</v>
      </c>
      <c r="G10" s="321" t="s">
        <v>501</v>
      </c>
      <c r="H10" s="323"/>
      <c r="I10" s="323"/>
      <c r="J10" s="323"/>
      <c r="K10" s="323"/>
      <c r="L10" s="323"/>
    </row>
    <row r="11" spans="2:12" ht="18" customHeight="1">
      <c r="B11" s="322">
        <v>2015</v>
      </c>
      <c r="C11" s="351">
        <v>0</v>
      </c>
      <c r="D11" s="351">
        <v>0</v>
      </c>
      <c r="E11" s="351">
        <f t="shared" ref="E11:E16" si="0">C11+D11</f>
        <v>0</v>
      </c>
      <c r="F11" s="351"/>
      <c r="G11" s="351">
        <f t="shared" ref="G11:G16" si="1">E11+F11</f>
        <v>0</v>
      </c>
      <c r="H11" s="329"/>
      <c r="I11" s="323"/>
      <c r="J11" s="323"/>
      <c r="K11" s="323"/>
      <c r="L11" s="323"/>
    </row>
    <row r="12" spans="2:12" ht="18" customHeight="1">
      <c r="B12" s="322">
        <v>2016</v>
      </c>
      <c r="C12" s="351">
        <v>0</v>
      </c>
      <c r="D12" s="351">
        <v>0</v>
      </c>
      <c r="E12" s="351">
        <f t="shared" si="0"/>
        <v>0</v>
      </c>
      <c r="F12" s="351"/>
      <c r="G12" s="351">
        <f t="shared" si="1"/>
        <v>0</v>
      </c>
      <c r="H12" s="323"/>
      <c r="I12" s="323"/>
      <c r="J12" s="323"/>
      <c r="K12" s="323"/>
      <c r="L12" s="323"/>
    </row>
    <row r="13" spans="2:12" ht="18" customHeight="1">
      <c r="B13" s="322">
        <v>2017</v>
      </c>
      <c r="C13" s="351">
        <v>0</v>
      </c>
      <c r="D13" s="351">
        <v>0</v>
      </c>
      <c r="E13" s="351">
        <f t="shared" si="0"/>
        <v>0</v>
      </c>
      <c r="F13" s="351"/>
      <c r="G13" s="351">
        <f t="shared" si="1"/>
        <v>0</v>
      </c>
      <c r="H13" s="323"/>
      <c r="I13" s="323"/>
      <c r="J13" s="323"/>
      <c r="K13" s="323"/>
      <c r="L13" s="323"/>
    </row>
    <row r="14" spans="2:12" ht="18" customHeight="1">
      <c r="B14" s="322">
        <v>2018</v>
      </c>
      <c r="C14" s="351">
        <v>0</v>
      </c>
      <c r="D14" s="351">
        <v>0</v>
      </c>
      <c r="E14" s="351">
        <f t="shared" si="0"/>
        <v>0</v>
      </c>
      <c r="F14" s="351"/>
      <c r="G14" s="351">
        <f t="shared" si="1"/>
        <v>0</v>
      </c>
      <c r="H14" s="323"/>
      <c r="I14" s="323"/>
      <c r="J14" s="323"/>
      <c r="K14" s="323"/>
      <c r="L14" s="323"/>
    </row>
    <row r="15" spans="2:12" ht="18" customHeight="1">
      <c r="B15" s="322">
        <v>2019</v>
      </c>
      <c r="C15" s="351"/>
      <c r="D15" s="351">
        <v>0</v>
      </c>
      <c r="E15" s="351">
        <f t="shared" si="0"/>
        <v>0</v>
      </c>
      <c r="F15" s="351"/>
      <c r="G15" s="351">
        <f t="shared" si="1"/>
        <v>0</v>
      </c>
      <c r="H15" s="323"/>
      <c r="I15" s="323"/>
      <c r="J15" s="323"/>
      <c r="K15" s="323"/>
      <c r="L15" s="323"/>
    </row>
    <row r="16" spans="2:12" ht="18" customHeight="1">
      <c r="B16" s="322">
        <v>2020</v>
      </c>
      <c r="C16" s="351"/>
      <c r="D16" s="351">
        <v>0</v>
      </c>
      <c r="E16" s="351">
        <f t="shared" si="0"/>
        <v>0</v>
      </c>
      <c r="F16" s="351"/>
      <c r="G16" s="351">
        <f t="shared" si="1"/>
        <v>0</v>
      </c>
      <c r="H16" s="323"/>
      <c r="I16" s="323"/>
      <c r="J16" s="323"/>
      <c r="K16" s="323"/>
      <c r="L16" s="323"/>
    </row>
    <row r="17" spans="2:12" ht="18" customHeight="1">
      <c r="B17" s="330"/>
      <c r="C17" s="331"/>
      <c r="D17" s="331"/>
      <c r="E17" s="331"/>
      <c r="F17" s="331"/>
      <c r="G17" s="331"/>
      <c r="H17" s="323"/>
      <c r="I17" s="323"/>
      <c r="J17" s="323"/>
      <c r="K17" s="323"/>
      <c r="L17" s="323"/>
    </row>
    <row r="18" spans="2:12" ht="18" customHeight="1">
      <c r="B18" s="332"/>
      <c r="C18" s="333"/>
      <c r="D18" s="333"/>
      <c r="E18" s="333"/>
      <c r="F18" s="333"/>
      <c r="G18" s="333"/>
      <c r="H18" s="323"/>
      <c r="I18" s="323"/>
      <c r="J18" s="323"/>
      <c r="K18" s="323"/>
      <c r="L18" s="323"/>
    </row>
    <row r="19" spans="2:12" ht="18" customHeight="1">
      <c r="B19" s="424" t="s">
        <v>500</v>
      </c>
      <c r="C19" s="424"/>
      <c r="D19" s="424"/>
      <c r="E19" s="424"/>
      <c r="F19" s="424"/>
      <c r="G19" s="424"/>
      <c r="H19" s="323"/>
      <c r="I19" s="323"/>
      <c r="J19" s="323"/>
      <c r="K19" s="323"/>
      <c r="L19" s="323"/>
    </row>
    <row r="20" spans="2:12" ht="18" customHeight="1">
      <c r="B20" s="320" t="s">
        <v>499</v>
      </c>
      <c r="C20" s="321"/>
      <c r="D20" s="321"/>
      <c r="E20" s="321" t="s">
        <v>498</v>
      </c>
      <c r="F20" s="334"/>
      <c r="G20" s="335"/>
      <c r="H20" s="323"/>
      <c r="I20" s="323"/>
      <c r="J20" s="323"/>
      <c r="K20" s="323"/>
      <c r="L20" s="323"/>
    </row>
    <row r="21" spans="2:12" ht="18" customHeight="1">
      <c r="B21" s="336">
        <v>2015</v>
      </c>
      <c r="C21" s="352">
        <v>0</v>
      </c>
      <c r="D21" s="352">
        <v>0</v>
      </c>
      <c r="E21" s="351">
        <f t="shared" ref="E21:E26" si="2">C21+D21</f>
        <v>0</v>
      </c>
      <c r="F21" s="337"/>
      <c r="G21" s="337"/>
      <c r="H21" s="323"/>
      <c r="I21" s="323"/>
      <c r="J21" s="323"/>
      <c r="K21" s="323"/>
      <c r="L21" s="323"/>
    </row>
    <row r="22" spans="2:12" ht="18" customHeight="1">
      <c r="B22" s="336">
        <v>2016</v>
      </c>
      <c r="C22" s="352">
        <v>0</v>
      </c>
      <c r="D22" s="352">
        <v>0</v>
      </c>
      <c r="E22" s="351">
        <f t="shared" si="2"/>
        <v>0</v>
      </c>
      <c r="F22" s="337"/>
      <c r="G22" s="337"/>
      <c r="H22" s="323"/>
      <c r="I22" s="323"/>
      <c r="J22" s="323"/>
      <c r="K22" s="323"/>
      <c r="L22" s="323"/>
    </row>
    <row r="23" spans="2:12" ht="18" customHeight="1">
      <c r="B23" s="336">
        <v>2017</v>
      </c>
      <c r="C23" s="352">
        <v>0</v>
      </c>
      <c r="D23" s="352">
        <v>0</v>
      </c>
      <c r="E23" s="351">
        <f t="shared" si="2"/>
        <v>0</v>
      </c>
      <c r="F23" s="337"/>
      <c r="G23" s="337"/>
      <c r="H23" s="323"/>
      <c r="I23" s="323"/>
      <c r="J23" s="323"/>
      <c r="K23" s="323"/>
      <c r="L23" s="323"/>
    </row>
    <row r="24" spans="2:12" ht="18" customHeight="1">
      <c r="B24" s="336">
        <v>2018</v>
      </c>
      <c r="C24" s="352">
        <v>0</v>
      </c>
      <c r="D24" s="352">
        <v>0</v>
      </c>
      <c r="E24" s="351">
        <f t="shared" si="2"/>
        <v>0</v>
      </c>
      <c r="F24" s="337"/>
      <c r="G24" s="337"/>
      <c r="H24" s="323"/>
      <c r="I24" s="323"/>
      <c r="J24" s="323"/>
      <c r="K24" s="323"/>
      <c r="L24" s="323"/>
    </row>
    <row r="25" spans="2:12" ht="18" customHeight="1">
      <c r="B25" s="336">
        <v>2019</v>
      </c>
      <c r="C25" s="352">
        <v>0</v>
      </c>
      <c r="D25" s="352">
        <v>0</v>
      </c>
      <c r="E25" s="351">
        <f t="shared" si="2"/>
        <v>0</v>
      </c>
      <c r="F25" s="337"/>
      <c r="G25" s="337"/>
      <c r="H25" s="323"/>
      <c r="I25" s="323"/>
      <c r="J25" s="323"/>
      <c r="K25" s="323"/>
      <c r="L25" s="323"/>
    </row>
    <row r="26" spans="2:12" ht="18" customHeight="1">
      <c r="B26" s="336">
        <v>2020</v>
      </c>
      <c r="C26" s="352"/>
      <c r="D26" s="352">
        <v>0</v>
      </c>
      <c r="E26" s="351">
        <f t="shared" si="2"/>
        <v>0</v>
      </c>
      <c r="F26" s="337"/>
      <c r="G26" s="337"/>
      <c r="H26" s="323"/>
      <c r="I26" s="323"/>
      <c r="J26" s="323"/>
      <c r="K26" s="323"/>
      <c r="L26" s="323"/>
    </row>
    <row r="27" spans="2:12" ht="18" customHeight="1">
      <c r="B27" s="360"/>
      <c r="C27" s="361">
        <f>SUM(C22:C26)</f>
        <v>0</v>
      </c>
      <c r="D27" s="361">
        <f>SUM(D22:D26)</f>
        <v>0</v>
      </c>
      <c r="E27" s="361">
        <f>SUM(E22:E26)</f>
        <v>0</v>
      </c>
      <c r="F27" s="329"/>
      <c r="G27" s="337"/>
      <c r="H27" s="338"/>
      <c r="I27" s="323"/>
      <c r="J27" s="323"/>
      <c r="K27" s="323"/>
      <c r="L27" s="323"/>
    </row>
    <row r="28" spans="2:12" ht="18" customHeight="1">
      <c r="B28" s="339"/>
      <c r="C28" s="323"/>
      <c r="D28" s="323"/>
      <c r="E28" s="323"/>
      <c r="F28" s="323"/>
      <c r="G28" s="323"/>
      <c r="H28" s="323"/>
      <c r="I28" s="323"/>
      <c r="J28" s="323"/>
      <c r="K28" s="323"/>
      <c r="L28" s="323"/>
    </row>
    <row r="29" spans="2:12" ht="18" customHeight="1">
      <c r="B29" s="339"/>
      <c r="C29" s="323"/>
      <c r="D29" s="323"/>
      <c r="E29" s="323"/>
      <c r="F29" s="323"/>
      <c r="G29" s="323"/>
      <c r="H29" s="323"/>
      <c r="I29" s="323"/>
      <c r="J29" s="323"/>
      <c r="K29" s="323"/>
      <c r="L29" s="323"/>
    </row>
    <row r="30" spans="2:12" ht="18" customHeight="1">
      <c r="F30" s="277"/>
      <c r="G30" s="277"/>
    </row>
    <row r="31" spans="2:12" ht="18" customHeight="1">
      <c r="F31" s="277"/>
      <c r="G31" s="277"/>
    </row>
    <row r="32" spans="2:12" ht="18" customHeight="1"/>
    <row r="33" spans="2:2" ht="18" customHeight="1"/>
    <row r="40" spans="2:2" ht="15" customHeight="1">
      <c r="B40" s="274"/>
    </row>
    <row r="41" spans="2:2" ht="15" customHeight="1">
      <c r="B41" s="274"/>
    </row>
    <row r="42" spans="2:2" ht="15" customHeight="1">
      <c r="B42" s="274"/>
    </row>
    <row r="43" spans="2:2" ht="15" customHeight="1">
      <c r="B43" s="274"/>
    </row>
    <row r="44" spans="2:2" ht="15" customHeight="1">
      <c r="B44" s="274"/>
    </row>
    <row r="45" spans="2:2" ht="15" customHeight="1">
      <c r="B45" s="274"/>
    </row>
    <row r="46" spans="2:2" ht="15" customHeight="1">
      <c r="B46" s="274"/>
    </row>
    <row r="47" spans="2:2" ht="15" customHeight="1">
      <c r="B47" s="274"/>
    </row>
    <row r="48" spans="2:2" ht="15" customHeight="1">
      <c r="B48" s="274"/>
    </row>
    <row r="49" spans="2:2" ht="15" customHeight="1">
      <c r="B49" s="274"/>
    </row>
    <row r="50" spans="2:2" ht="15" customHeight="1">
      <c r="B50" s="274"/>
    </row>
    <row r="51" spans="2:2" ht="15" customHeight="1">
      <c r="B51" s="274"/>
    </row>
    <row r="52" spans="2:2" ht="15" customHeight="1">
      <c r="B52" s="276"/>
    </row>
    <row r="53" spans="2:2" ht="15" customHeight="1">
      <c r="B53" s="276"/>
    </row>
  </sheetData>
  <mergeCells count="2">
    <mergeCell ref="B9:G9"/>
    <mergeCell ref="B19:G19"/>
  </mergeCells>
  <pageMargins left="0.75" right="0.75" top="1" bottom="1" header="0.5" footer="0.5"/>
  <pageSetup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showGridLines="0" workbookViewId="0">
      <selection activeCell="I19" sqref="I19"/>
    </sheetView>
  </sheetViews>
  <sheetFormatPr defaultRowHeight="15" customHeight="1"/>
  <cols>
    <col min="1" max="1" width="3.33203125" style="274" customWidth="1"/>
    <col min="2" max="2" width="15.109375" style="274" customWidth="1"/>
    <col min="3" max="3" width="13.109375" style="274" customWidth="1"/>
    <col min="4" max="4" width="11" style="274" customWidth="1"/>
    <col min="5" max="5" width="13.44140625" style="274" customWidth="1"/>
    <col min="6" max="6" width="13.5546875" style="274" customWidth="1"/>
    <col min="7" max="7" width="13.33203125" style="274" customWidth="1"/>
    <col min="8" max="8" width="13.88671875" style="274" customWidth="1"/>
    <col min="9" max="9" width="13.21875" style="274" customWidth="1"/>
    <col min="10" max="10" width="11" style="274" bestFit="1" customWidth="1"/>
    <col min="11" max="16384" width="8.88671875" style="274"/>
  </cols>
  <sheetData>
    <row r="1" spans="2:12" ht="20.100000000000001" customHeight="1">
      <c r="B1" s="299" t="str">
        <f>EntityName</f>
        <v>Windom, MN</v>
      </c>
      <c r="C1" s="303"/>
      <c r="D1" s="303"/>
      <c r="E1" s="303"/>
      <c r="F1" s="303"/>
      <c r="G1" s="303"/>
      <c r="H1" s="303"/>
    </row>
    <row r="2" spans="2:12" ht="20.100000000000001" customHeight="1">
      <c r="B2" s="300" t="s">
        <v>526</v>
      </c>
      <c r="C2" s="305"/>
      <c r="D2" s="305"/>
      <c r="E2" s="305"/>
      <c r="F2" s="305"/>
      <c r="G2" s="305"/>
      <c r="H2" s="303"/>
    </row>
    <row r="3" spans="2:12" ht="20.100000000000001" customHeight="1">
      <c r="B3" s="301">
        <f>FilingDate</f>
        <v>42735</v>
      </c>
      <c r="C3" s="303"/>
      <c r="D3" s="303"/>
      <c r="E3" s="303"/>
      <c r="F3" s="303"/>
      <c r="G3" s="303"/>
      <c r="H3" s="303"/>
    </row>
    <row r="4" spans="2:12" ht="18" customHeight="1"/>
    <row r="5" spans="2:12" ht="18" customHeight="1">
      <c r="B5" s="383" t="s">
        <v>644</v>
      </c>
      <c r="J5"/>
      <c r="K5"/>
      <c r="L5"/>
    </row>
    <row r="6" spans="2:12" ht="18" customHeight="1">
      <c r="B6" s="320"/>
      <c r="C6" s="320" t="s">
        <v>651</v>
      </c>
      <c r="D6" s="320" t="s">
        <v>652</v>
      </c>
      <c r="E6" s="320" t="s">
        <v>653</v>
      </c>
      <c r="J6"/>
      <c r="K6"/>
      <c r="L6"/>
    </row>
    <row r="7" spans="2:12" ht="18" customHeight="1">
      <c r="B7" s="326" t="s">
        <v>539</v>
      </c>
      <c r="C7" s="350">
        <v>15632</v>
      </c>
      <c r="D7" s="350">
        <f>C7</f>
        <v>15632</v>
      </c>
      <c r="E7" s="389">
        <f>ProductionLaborAllocator/LaborTotalNoAdmin</f>
        <v>6.0983887956930521E-2</v>
      </c>
      <c r="J7"/>
      <c r="K7"/>
      <c r="L7"/>
    </row>
    <row r="8" spans="2:12" ht="18" customHeight="1">
      <c r="B8" s="326" t="s">
        <v>497</v>
      </c>
      <c r="C8" s="350">
        <v>12720</v>
      </c>
      <c r="D8" s="350">
        <f>C8</f>
        <v>12720</v>
      </c>
      <c r="E8" s="389">
        <f>TransmissionLaborAllocator/LaborTotalNoAdmin</f>
        <v>4.9623532165567821E-2</v>
      </c>
      <c r="J8"/>
      <c r="K8"/>
      <c r="L8"/>
    </row>
    <row r="9" spans="2:12" ht="18" customHeight="1">
      <c r="B9" s="326" t="s">
        <v>540</v>
      </c>
      <c r="C9" s="350">
        <v>227978</v>
      </c>
      <c r="D9" s="350">
        <f>C9</f>
        <v>227978</v>
      </c>
      <c r="E9" s="389">
        <f>DistributionLaborAllocator/LaborTotalNoAdmin</f>
        <v>0.88939257987750164</v>
      </c>
      <c r="J9"/>
      <c r="K9"/>
      <c r="L9"/>
    </row>
    <row r="10" spans="2:12" ht="18" customHeight="1">
      <c r="B10" s="326" t="s">
        <v>496</v>
      </c>
      <c r="C10" s="350">
        <v>0</v>
      </c>
      <c r="D10" s="350">
        <f>C10</f>
        <v>0</v>
      </c>
      <c r="E10" s="389">
        <f>OtherLaborAllocator/LaborTotalNoAdmin</f>
        <v>0</v>
      </c>
      <c r="J10"/>
      <c r="K10"/>
      <c r="L10"/>
    </row>
    <row r="11" spans="2:12" ht="18" customHeight="1">
      <c r="B11" s="326" t="s">
        <v>543</v>
      </c>
      <c r="C11" s="350">
        <v>98387</v>
      </c>
      <c r="D11" s="384" t="s">
        <v>641</v>
      </c>
      <c r="E11" s="385" t="s">
        <v>642</v>
      </c>
      <c r="J11"/>
      <c r="K11"/>
      <c r="L11"/>
    </row>
    <row r="12" spans="2:12" ht="18" customHeight="1">
      <c r="B12" s="362" t="s">
        <v>537</v>
      </c>
      <c r="C12" s="363">
        <f>SUM(C7:C11)</f>
        <v>354717</v>
      </c>
      <c r="D12" s="363">
        <f>SUM(D7:D11)</f>
        <v>256330</v>
      </c>
      <c r="E12" s="386">
        <v>1</v>
      </c>
      <c r="F12" s="395" t="s">
        <v>648</v>
      </c>
      <c r="J12"/>
      <c r="K12"/>
      <c r="L12"/>
    </row>
    <row r="13" spans="2:12" ht="18" customHeight="1">
      <c r="B13" s="303"/>
      <c r="C13" s="382"/>
      <c r="H13" s="303"/>
      <c r="I13"/>
      <c r="J13"/>
      <c r="K13"/>
      <c r="L13"/>
    </row>
    <row r="14" spans="2:12" ht="18" customHeight="1">
      <c r="D14"/>
      <c r="E14"/>
      <c r="G14"/>
      <c r="H14"/>
      <c r="I14"/>
      <c r="J14"/>
      <c r="K14"/>
      <c r="L14"/>
    </row>
    <row r="15" spans="2:12" ht="18" customHeight="1">
      <c r="B15" s="383" t="s">
        <v>656</v>
      </c>
      <c r="C15" s="303"/>
      <c r="D15" s="303"/>
      <c r="E15" s="303"/>
      <c r="F15" s="303"/>
      <c r="G15" s="303"/>
      <c r="H15"/>
      <c r="I15"/>
      <c r="J15"/>
      <c r="K15"/>
      <c r="L15"/>
    </row>
    <row r="16" spans="2:12" ht="18" customHeight="1">
      <c r="B16" s="320" t="s">
        <v>643</v>
      </c>
      <c r="C16" s="320" t="s">
        <v>651</v>
      </c>
      <c r="D16" s="320" t="s">
        <v>640</v>
      </c>
      <c r="E16" s="320" t="s">
        <v>645</v>
      </c>
      <c r="F16" s="303"/>
      <c r="G16" s="303"/>
      <c r="H16"/>
      <c r="I16"/>
      <c r="J16"/>
      <c r="K16"/>
      <c r="L16"/>
    </row>
    <row r="17" spans="2:12" ht="18" customHeight="1">
      <c r="B17" s="326" t="s">
        <v>539</v>
      </c>
      <c r="C17" s="350">
        <f>+C7</f>
        <v>15632</v>
      </c>
      <c r="D17" s="350">
        <v>7416</v>
      </c>
      <c r="E17" s="350">
        <f>C17+D17</f>
        <v>23048</v>
      </c>
      <c r="F17" s="303"/>
      <c r="G17" s="303"/>
      <c r="H17"/>
      <c r="I17"/>
      <c r="J17"/>
      <c r="K17"/>
      <c r="L17"/>
    </row>
    <row r="18" spans="2:12" ht="18" customHeight="1">
      <c r="B18" s="326" t="s">
        <v>497</v>
      </c>
      <c r="C18" s="350">
        <f t="shared" ref="C18:C21" si="0">+C8</f>
        <v>12720</v>
      </c>
      <c r="D18" s="350">
        <v>2810</v>
      </c>
      <c r="E18" s="350">
        <f>C18+D18</f>
        <v>15530</v>
      </c>
      <c r="F18" s="303"/>
      <c r="G18" s="303"/>
      <c r="H18"/>
      <c r="I18"/>
      <c r="J18"/>
      <c r="K18"/>
      <c r="L18"/>
    </row>
    <row r="19" spans="2:12" ht="18" customHeight="1">
      <c r="B19" s="326" t="s">
        <v>540</v>
      </c>
      <c r="C19" s="350">
        <f t="shared" si="0"/>
        <v>227978</v>
      </c>
      <c r="D19" s="350">
        <v>111387</v>
      </c>
      <c r="E19" s="350">
        <f>C19+D19</f>
        <v>339365</v>
      </c>
      <c r="F19" s="303"/>
      <c r="G19" s="303"/>
      <c r="H19"/>
      <c r="I19"/>
      <c r="J19"/>
      <c r="K19"/>
      <c r="L19"/>
    </row>
    <row r="20" spans="2:12" ht="18" customHeight="1">
      <c r="B20" s="326" t="s">
        <v>496</v>
      </c>
      <c r="C20" s="350">
        <f t="shared" si="0"/>
        <v>0</v>
      </c>
      <c r="D20" s="350">
        <f>C20/$C$22*D$22</f>
        <v>0</v>
      </c>
      <c r="E20" s="350">
        <f>C20+D20</f>
        <v>0</v>
      </c>
      <c r="F20" s="303"/>
      <c r="G20" s="303"/>
      <c r="H20"/>
      <c r="I20"/>
      <c r="J20"/>
      <c r="K20"/>
      <c r="L20"/>
    </row>
    <row r="21" spans="2:12" ht="18" customHeight="1">
      <c r="B21" s="326" t="s">
        <v>543</v>
      </c>
      <c r="C21" s="350">
        <f t="shared" si="0"/>
        <v>98387</v>
      </c>
      <c r="D21" s="350">
        <v>46679</v>
      </c>
      <c r="E21" s="350">
        <f>C21+D21</f>
        <v>145066</v>
      </c>
      <c r="F21" s="303"/>
      <c r="G21" s="303"/>
      <c r="H21"/>
      <c r="I21"/>
      <c r="J21"/>
      <c r="K21"/>
      <c r="L21"/>
    </row>
    <row r="22" spans="2:12" ht="18" customHeight="1">
      <c r="B22" s="362" t="s">
        <v>537</v>
      </c>
      <c r="C22" s="363">
        <f>SUM(C17:C21)</f>
        <v>354717</v>
      </c>
      <c r="D22" s="363">
        <f>+D21+D19+D18+D17</f>
        <v>168292</v>
      </c>
      <c r="E22" s="363">
        <f>SUM(E17:E21)</f>
        <v>523009</v>
      </c>
      <c r="F22" s="303"/>
      <c r="G22" s="303"/>
      <c r="H22"/>
      <c r="I22"/>
      <c r="J22"/>
      <c r="K22"/>
      <c r="L22"/>
    </row>
    <row r="23" spans="2:12" ht="18" customHeight="1">
      <c r="B23"/>
      <c r="C23"/>
      <c r="D23" s="303"/>
      <c r="E23" s="350">
        <v>35450</v>
      </c>
      <c r="F23" s="303" t="s">
        <v>657</v>
      </c>
      <c r="G23" s="303"/>
      <c r="H23"/>
      <c r="I23"/>
      <c r="J23"/>
      <c r="K23"/>
      <c r="L23"/>
    </row>
    <row r="24" spans="2:12" ht="18" customHeight="1">
      <c r="E24" s="363">
        <f>E22+E23</f>
        <v>558459</v>
      </c>
      <c r="F24" s="303" t="s">
        <v>658</v>
      </c>
      <c r="G24" s="303"/>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40</vt:i4>
      </vt:variant>
    </vt:vector>
  </HeadingPairs>
  <TitlesOfParts>
    <vt:vector size="55"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DistributionLaborAllocator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LaborTotalNoAdmin</vt:lpstr>
      <vt:lpstr>NetworkRevenue</vt:lpstr>
      <vt:lpstr>NonNetworkRevenue</vt:lpstr>
      <vt:lpstr>OtherLabor</vt:lpstr>
      <vt:lpstr>OtherLaborAllocator</vt:lpstr>
      <vt:lpstr>PayrollTaxes</vt:lpstr>
      <vt:lpstr>PILOT</vt:lpstr>
      <vt:lpstr>Prepayments</vt:lpstr>
      <vt:lpstr>'412IS'!Print_Area</vt:lpstr>
      <vt:lpstr>Nonlevelized_EIA412!Print_Area</vt:lpstr>
      <vt:lpstr>ProductionLabor</vt:lpstr>
      <vt:lpstr>ProductionLaborAllocator</vt:lpstr>
      <vt:lpstr>ProductionPlant</vt:lpstr>
      <vt:lpstr>ProductionPlantAD</vt:lpstr>
      <vt:lpstr>SalesExpenses</vt:lpstr>
      <vt:lpstr>TransmissionDepreciation</vt:lpstr>
      <vt:lpstr>TransmissionLabor</vt:lpstr>
      <vt:lpstr>TransmissionLaborAllocator</vt:lpstr>
      <vt:lpstr>TransmissionOM</vt:lpstr>
      <vt:lpstr>TransmissionPlant</vt:lpstr>
      <vt:lpstr>TransmissionPlantAD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2018-04-19T19:01:08Z</cp:lastPrinted>
  <dcterms:created xsi:type="dcterms:W3CDTF">2008-03-20T17:17:49Z</dcterms:created>
  <dcterms:modified xsi:type="dcterms:W3CDTF">2018-04-30T19:16:52Z</dcterms:modified>
</cp:coreProperties>
</file>