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K:\CPK Attachment O posting files\2019 Posting\Blue Earth\"/>
    </mc:Choice>
  </mc:AlternateContent>
  <xr:revisionPtr revIDLastSave="0" documentId="13_ncr:1_{43F122FB-2F2F-49D1-8807-186B937775AF}" xr6:coauthVersionLast="36" xr6:coauthVersionMax="36" xr10:uidLastSave="{00000000-0000-0000-0000-000000000000}"/>
  <bookViews>
    <workbookView xWindow="0" yWindow="0" windowWidth="28800" windowHeight="11910" tabRatio="723" xr2:uid="{00000000-000D-0000-FFFF-FFFF00000000}"/>
  </bookViews>
  <sheets>
    <sheet name="Nonlevelized_EIA412" sheetId="1" r:id="rId1"/>
    <sheet name="412BS" sheetId="4" r:id="rId2"/>
    <sheet name="412IS" sheetId="5" r:id="rId3"/>
    <sheet name="412Plant" sheetId="6" r:id="rId4"/>
    <sheet name="412OM" sheetId="8" r:id="rId5"/>
    <sheet name="412Notes" sheetId="9" r:id="rId6"/>
    <sheet name="S1_Plant" sheetId="16" r:id="rId7"/>
    <sheet name="S2_Debt" sheetId="11" r:id="rId8"/>
    <sheet name="S3_Labor" sheetId="13" r:id="rId9"/>
    <sheet name="S4_TransOM" sheetId="12" r:id="rId10"/>
    <sheet name="S5_A&amp;G" sheetId="17" r:id="rId11"/>
    <sheet name="S6_Other" sheetId="18" r:id="rId12"/>
    <sheet name="Rev_7&amp;8" sheetId="19" r:id="rId13"/>
    <sheet name="Rev_9" sheetId="20" r:id="rId14"/>
    <sheet name="PeakLoad" sheetId="21" r:id="rId15"/>
  </sheets>
  <definedNames>
    <definedName name="AdminGeneralTotal">'S5_A&amp;G'!$C$5</definedName>
    <definedName name="AdminLabor">S3_Labor!$D$10</definedName>
    <definedName name="AttachO_Fees">S6_Other!$B$16</definedName>
    <definedName name="AveragePeak">PeakLoad!$B$5</definedName>
    <definedName name="CWIP">S1_Plant!$F$12</definedName>
    <definedName name="Debt">S2_Debt!$B$6</definedName>
    <definedName name="DistributionLabor">S3_Labor!$D$8</definedName>
    <definedName name="DistributionPlant">S1_Plant!$F$9</definedName>
    <definedName name="DistributionPlantAD">S1_Plant!$J$9</definedName>
    <definedName name="EntityName">'412BS'!$A$1</definedName>
    <definedName name="Equity">'412BS'!$F$12</definedName>
    <definedName name="FilingDate">'412BS'!$A$4</definedName>
    <definedName name="GeneralDepreciation">S1_Plant!$H$10</definedName>
    <definedName name="GeneralPlant">S1_Plant!$F$10</definedName>
    <definedName name="GeneralPlantAD">S1_Plant!$J$10</definedName>
    <definedName name="InterestExpense">S2_Debt!$B$5</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aborTotal">S3_Labor!$D$11</definedName>
    <definedName name="NetworkRevenue">Rev_9!$B$5</definedName>
    <definedName name="NonNetworkRevenue">'Rev_7&amp;8'!$B$5</definedName>
    <definedName name="OtherLabor">S3_Labor!$D$9</definedName>
    <definedName name="PayrollTaxes">S6_Other!$B$10</definedName>
    <definedName name="PILOT">S6_Other!$B$5</definedName>
    <definedName name="Prepayments">'412BS'!$C$43</definedName>
    <definedName name="_xlnm.Print_Area" localSheetId="0">Nonlevelized_EIA412!$A$1:$K$316</definedName>
    <definedName name="ProductionLabor">S3_Labor!$D$6</definedName>
    <definedName name="ProductionPlant">S1_Plant!$F$7</definedName>
    <definedName name="ProductionPlantAD">S1_Plant!$J$7</definedName>
    <definedName name="QB_COLUMN_1" localSheetId="12" hidden="1">'Rev_7&amp;8'!#REF!</definedName>
    <definedName name="QB_COLUMN_14" localSheetId="12" hidden="1">'Rev_7&amp;8'!#REF!</definedName>
    <definedName name="QB_COLUMN_140" localSheetId="12" hidden="1">'Rev_7&amp;8'!#REF!</definedName>
    <definedName name="QB_COLUMN_26" localSheetId="12" hidden="1">'Rev_7&amp;8'!#REF!</definedName>
    <definedName name="QB_COLUMN_27" localSheetId="12" hidden="1">'Rev_7&amp;8'!#REF!</definedName>
    <definedName name="QB_COLUMN_3" localSheetId="12" hidden="1">'Rev_7&amp;8'!#REF!</definedName>
    <definedName name="QB_COLUMN_30" localSheetId="12" hidden="1">'Rev_7&amp;8'!#REF!</definedName>
    <definedName name="QB_COLUMN_31" localSheetId="12" hidden="1">'Rev_7&amp;8'!#REF!</definedName>
    <definedName name="QB_COLUMN_4" localSheetId="12" hidden="1">'Rev_7&amp;8'!#REF!</definedName>
    <definedName name="QB_COLUMN_5" localSheetId="12" hidden="1">'Rev_7&amp;8'!#REF!</definedName>
    <definedName name="QB_COLUMN_7" localSheetId="12" hidden="1">'Rev_7&amp;8'!#REF!</definedName>
    <definedName name="QB_COLUMN_8" localSheetId="12" hidden="1">'Rev_7&amp;8'!#REF!</definedName>
    <definedName name="QB_DATA_0" localSheetId="12" hidden="1">'Rev_7&amp;8'!$7:$7,'Rev_7&amp;8'!$8:$8,'Rev_7&amp;8'!$9:$9,'Rev_7&amp;8'!$10:$10,'Rev_7&amp;8'!$11:$11,'Rev_7&amp;8'!$12:$12,'Rev_7&amp;8'!$13:$13,'Rev_7&amp;8'!$14:$14,'Rev_7&amp;8'!$15:$15,'Rev_7&amp;8'!$16:$16,'Rev_7&amp;8'!$17:$17,'Rev_7&amp;8'!$18:$18,'Rev_7&amp;8'!#REF!,'Rev_7&amp;8'!#REF!,'Rev_7&amp;8'!#REF!,'Rev_7&amp;8'!#REF!</definedName>
    <definedName name="QB_DATA_1" localSheetId="12" hidden="1">'Rev_7&amp;8'!#REF!,'Rev_7&amp;8'!#REF!,'Rev_7&amp;8'!#REF!,'Rev_7&amp;8'!#REF!,'Rev_7&amp;8'!#REF!,'Rev_7&amp;8'!#REF!,'Rev_7&amp;8'!#REF!,'Rev_7&amp;8'!#REF!,'Rev_7&amp;8'!$20:$20,'Rev_7&amp;8'!$21:$21,'Rev_7&amp;8'!$22:$22,'Rev_7&amp;8'!$23:$23,'Rev_7&amp;8'!$24:$24,'Rev_7&amp;8'!$25:$25,'Rev_7&amp;8'!$26:$26,'Rev_7&amp;8'!$27:$27</definedName>
    <definedName name="QB_DATA_2" localSheetId="12" hidden="1">'Rev_7&amp;8'!$28:$28,'Rev_7&amp;8'!$29:$29,'Rev_7&amp;8'!$30:$30,'Rev_7&amp;8'!$31:$31,'Rev_7&amp;8'!#REF!,'Rev_7&amp;8'!#REF!,'Rev_7&amp;8'!#REF!,'Rev_7&amp;8'!#REF!,'Rev_7&amp;8'!#REF!,'Rev_7&amp;8'!#REF!,'Rev_7&amp;8'!#REF!,'Rev_7&amp;8'!#REF!,'Rev_7&amp;8'!#REF!,'Rev_7&amp;8'!#REF!,'Rev_7&amp;8'!#REF!,'Rev_7&amp;8'!#REF!</definedName>
    <definedName name="QB_DATA_3" localSheetId="12" hidden="1">'Rev_7&amp;8'!$32:$32</definedName>
    <definedName name="QB_FORMULA_0" localSheetId="12" hidden="1">'Rev_7&amp;8'!#REF!,'Rev_7&amp;8'!#REF!,'Rev_7&amp;8'!#REF!,'Rev_7&amp;8'!#REF!,'Rev_7&amp;8'!#REF!,'Rev_7&amp;8'!#REF!,'Rev_7&amp;8'!#REF!,'Rev_7&amp;8'!#REF!,'Rev_7&amp;8'!#REF!,'Rev_7&amp;8'!#REF!,'Rev_7&amp;8'!#REF!,'Rev_7&amp;8'!#REF!,'Rev_7&amp;8'!#REF!,'Rev_7&amp;8'!#REF!,'Rev_7&amp;8'!#REF!,'Rev_7&amp;8'!#REF!</definedName>
    <definedName name="QB_FORMULA_1" localSheetId="12" hidden="1">'Rev_7&amp;8'!#REF!,'Rev_7&amp;8'!#REF!,'Rev_7&amp;8'!#REF!,'Rev_7&amp;8'!#REF!,'Rev_7&amp;8'!#REF!,'Rev_7&amp;8'!#REF!,'Rev_7&amp;8'!#REF!,'Rev_7&amp;8'!#REF!,'Rev_7&amp;8'!#REF!,'Rev_7&amp;8'!#REF!,'Rev_7&amp;8'!#REF!,'Rev_7&amp;8'!#REF!,'Rev_7&amp;8'!#REF!,'Rev_7&amp;8'!#REF!,'Rev_7&amp;8'!#REF!,'Rev_7&amp;8'!#REF!</definedName>
    <definedName name="QB_FORMULA_2" localSheetId="12" hidden="1">'Rev_7&amp;8'!#REF!,'Rev_7&amp;8'!#REF!,'Rev_7&amp;8'!#REF!,'Rev_7&amp;8'!#REF!,'Rev_7&amp;8'!#REF!,'Rev_7&amp;8'!#REF!,'Rev_7&amp;8'!#REF!,'Rev_7&amp;8'!#REF!,'Rev_7&amp;8'!#REF!,'Rev_7&amp;8'!#REF!,'Rev_7&amp;8'!#REF!,'Rev_7&amp;8'!#REF!,'Rev_7&amp;8'!#REF!,'Rev_7&amp;8'!#REF!,'Rev_7&amp;8'!#REF!,'Rev_7&amp;8'!#REF!</definedName>
    <definedName name="QB_FORMULA_3" localSheetId="12" hidden="1">'Rev_7&amp;8'!#REF!,'Rev_7&amp;8'!#REF!,'Rev_7&amp;8'!#REF!,'Rev_7&amp;8'!#REF!,'Rev_7&amp;8'!#REF!,'Rev_7&amp;8'!#REF!,'Rev_7&amp;8'!#REF!,'Rev_7&amp;8'!#REF!,'Rev_7&amp;8'!#REF!,'Rev_7&amp;8'!#REF!,'Rev_7&amp;8'!#REF!,'Rev_7&amp;8'!#REF!,'Rev_7&amp;8'!#REF!,'Rev_7&amp;8'!#REF!,'Rev_7&amp;8'!#REF!,'Rev_7&amp;8'!#REF!</definedName>
    <definedName name="QB_FORMULA_4" localSheetId="12" hidden="1">'Rev_7&amp;8'!#REF!,'Rev_7&amp;8'!#REF!,'Rev_7&amp;8'!#REF!,'Rev_7&amp;8'!#REF!,'Rev_7&amp;8'!#REF!,'Rev_7&amp;8'!#REF!,'Rev_7&amp;8'!#REF!,'Rev_7&amp;8'!#REF!,'Rev_7&amp;8'!#REF!,'Rev_7&amp;8'!#REF!,'Rev_7&amp;8'!#REF!,'Rev_7&amp;8'!#REF!,'Rev_7&amp;8'!#REF!,'Rev_7&amp;8'!#REF!,'Rev_7&amp;8'!#REF!,'Rev_7&amp;8'!#REF!</definedName>
    <definedName name="QB_FORMULA_5" localSheetId="12" hidden="1">'Rev_7&amp;8'!#REF!,'Rev_7&amp;8'!#REF!,'Rev_7&amp;8'!#REF!,'Rev_7&amp;8'!#REF!,'Rev_7&amp;8'!#REF!,'Rev_7&amp;8'!#REF!,'Rev_7&amp;8'!#REF!,'Rev_7&amp;8'!#REF!,'Rev_7&amp;8'!#REF!,'Rev_7&amp;8'!#REF!,'Rev_7&amp;8'!#REF!,'Rev_7&amp;8'!#REF!,'Rev_7&amp;8'!#REF!,'Rev_7&amp;8'!#REF!,'Rev_7&amp;8'!#REF!,'Rev_7&amp;8'!#REF!</definedName>
    <definedName name="QB_FORMULA_6" localSheetId="12" hidden="1">'Rev_7&amp;8'!#REF!,'Rev_7&amp;8'!#REF!,'Rev_7&amp;8'!#REF!,'Rev_7&amp;8'!#REF!,'Rev_7&amp;8'!#REF!,'Rev_7&amp;8'!#REF!,'Rev_7&amp;8'!#REF!,'Rev_7&amp;8'!#REF!,'Rev_7&amp;8'!#REF!,'Rev_7&amp;8'!#REF!,'Rev_7&amp;8'!#REF!,'Rev_7&amp;8'!#REF!,'Rev_7&amp;8'!#REF!,'Rev_7&amp;8'!#REF!,'Rev_7&amp;8'!#REF!,'Rev_7&amp;8'!#REF!</definedName>
    <definedName name="QB_FORMULA_7" localSheetId="12" hidden="1">'Rev_7&amp;8'!#REF!,'Rev_7&amp;8'!#REF!,'Rev_7&amp;8'!#REF!,'Rev_7&amp;8'!#REF!,'Rev_7&amp;8'!#REF!,'Rev_7&amp;8'!#REF!,'Rev_7&amp;8'!#REF!</definedName>
    <definedName name="QB_ROW_1207020" localSheetId="12" hidden="1">'Rev_7&amp;8'!#REF!</definedName>
    <definedName name="QB_ROW_1207320" localSheetId="12" hidden="1">'Rev_7&amp;8'!#REF!</definedName>
    <definedName name="QB_ROW_1235030" localSheetId="12" hidden="1">'Rev_7&amp;8'!#REF!</definedName>
    <definedName name="QB_ROW_1235330" localSheetId="12" hidden="1">'Rev_7&amp;8'!#REF!</definedName>
    <definedName name="QB_ROW_1237030" localSheetId="12" hidden="1">'Rev_7&amp;8'!#REF!</definedName>
    <definedName name="QB_ROW_1237330" localSheetId="12" hidden="1">'Rev_7&amp;8'!#REF!</definedName>
    <definedName name="QB_ROW_1239030" localSheetId="12" hidden="1">'Rev_7&amp;8'!#REF!</definedName>
    <definedName name="QB_ROW_1239330" localSheetId="12" hidden="1">'Rev_7&amp;8'!#REF!</definedName>
    <definedName name="QB_ROW_1241030" localSheetId="12" hidden="1">'Rev_7&amp;8'!#REF!</definedName>
    <definedName name="QB_ROW_1241330" localSheetId="12" hidden="1">'Rev_7&amp;8'!#REF!</definedName>
    <definedName name="QB_ROW_46301" localSheetId="12" hidden="1">'Rev_7&amp;8'!#REF!</definedName>
    <definedName name="QB_ROW_49011" localSheetId="12" hidden="1">'Rev_7&amp;8'!#REF!</definedName>
    <definedName name="QB_ROW_49311" localSheetId="12" hidden="1">'Rev_7&amp;8'!#REF!</definedName>
    <definedName name="TransmissionDepreciation">S1_Plant!$H$8</definedName>
    <definedName name="TransmissionLabor">S3_Labor!$D$7</definedName>
    <definedName name="TransmissionOM">S4_TransOM!$B$5</definedName>
    <definedName name="TransmissionPlant">S1_Plant!$F$8</definedName>
    <definedName name="TransmissionPlantAD">S1_Plant!$J$8</definedName>
    <definedName name="TransmissionRent">S6_Other!$B$13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7" i="20" l="1"/>
  <c r="C34" i="12"/>
  <c r="C15" i="17"/>
  <c r="C13" i="17"/>
  <c r="C20" i="17"/>
  <c r="D27" i="8"/>
  <c r="C10" i="17"/>
  <c r="C36" i="17" s="1"/>
  <c r="C41" i="17"/>
  <c r="C12" i="17"/>
  <c r="C37" i="17"/>
  <c r="D18" i="8"/>
  <c r="C9" i="17" l="1"/>
  <c r="C9" i="12"/>
  <c r="C38" i="17" l="1"/>
  <c r="B6" i="11" l="1"/>
  <c r="B5" i="11"/>
  <c r="C20" i="5" l="1"/>
  <c r="C19" i="5" l="1"/>
  <c r="C9" i="5"/>
  <c r="F50" i="4"/>
  <c r="F44" i="4"/>
  <c r="F22" i="4"/>
  <c r="C53" i="4"/>
  <c r="C16" i="8"/>
  <c r="E19" i="20" l="1"/>
  <c r="E18" i="20"/>
  <c r="E17" i="20"/>
  <c r="E16" i="20"/>
  <c r="E15" i="20"/>
  <c r="E14" i="20"/>
  <c r="E13" i="20"/>
  <c r="E13" i="19"/>
  <c r="E23" i="19"/>
  <c r="E9" i="20"/>
  <c r="E11" i="19"/>
  <c r="E11" i="20"/>
  <c r="E10" i="20"/>
  <c r="E9" i="19"/>
  <c r="E8" i="19" l="1"/>
  <c r="C23" i="6" l="1"/>
  <c r="B4" i="9" l="1"/>
  <c r="D23" i="8"/>
  <c r="D114" i="1" l="1"/>
  <c r="D151" i="1"/>
  <c r="C17" i="6" l="1"/>
  <c r="D84" i="1" l="1"/>
  <c r="C26" i="17" l="1"/>
  <c r="C22" i="17"/>
  <c r="C38" i="12"/>
  <c r="E21" i="8" s="1"/>
  <c r="C25" i="12"/>
  <c r="D21" i="8" s="1"/>
  <c r="C28" i="17" l="1"/>
  <c r="C42" i="17" s="1"/>
  <c r="C40" i="12"/>
  <c r="C5" i="17" l="1"/>
  <c r="F19" i="19"/>
  <c r="F31" i="19"/>
  <c r="I261" i="1" l="1"/>
  <c r="D20" i="21" l="1"/>
  <c r="B5" i="21" s="1"/>
  <c r="I27" i="1" s="1"/>
  <c r="B3" i="21"/>
  <c r="B1" i="21"/>
  <c r="E20" i="20" l="1"/>
  <c r="B5" i="20" s="1"/>
  <c r="B3" i="20"/>
  <c r="B1" i="20"/>
  <c r="E32" i="19"/>
  <c r="B5" i="19" s="1"/>
  <c r="F32" i="19"/>
  <c r="I264" i="1" l="1"/>
  <c r="H6" i="9" l="1"/>
  <c r="B1" i="9"/>
  <c r="C14" i="5" l="1"/>
  <c r="D168" i="1"/>
  <c r="D174" i="1"/>
  <c r="D249" i="1"/>
  <c r="D162" i="1"/>
  <c r="D161" i="1"/>
  <c r="D119" i="1"/>
  <c r="D235" i="1"/>
  <c r="D234" i="1"/>
  <c r="D233" i="1"/>
  <c r="D232" i="1"/>
  <c r="D94" i="1"/>
  <c r="D93" i="1"/>
  <c r="D92" i="1"/>
  <c r="D91" i="1"/>
  <c r="D86" i="1"/>
  <c r="D85" i="1"/>
  <c r="D83" i="1"/>
  <c r="D11" i="13"/>
  <c r="C6" i="13" l="1"/>
  <c r="C9" i="13"/>
  <c r="C8" i="13"/>
  <c r="C7" i="13"/>
  <c r="G24" i="6"/>
  <c r="G23" i="6"/>
  <c r="G22" i="6"/>
  <c r="G13" i="6"/>
  <c r="G12" i="6"/>
  <c r="G11" i="6"/>
  <c r="C11" i="13" l="1"/>
  <c r="C15" i="4"/>
  <c r="C12" i="5"/>
  <c r="E17" i="6"/>
  <c r="D17" i="6"/>
  <c r="E27" i="6"/>
  <c r="D27" i="6"/>
  <c r="C27" i="6"/>
  <c r="G9" i="6"/>
  <c r="E19" i="6"/>
  <c r="D19" i="6"/>
  <c r="E18" i="6"/>
  <c r="D18" i="6"/>
  <c r="E14" i="6"/>
  <c r="G27" i="6" l="1"/>
  <c r="C12" i="4" s="1"/>
  <c r="G17" i="6" l="1"/>
  <c r="C14" i="6"/>
  <c r="C18" i="6"/>
  <c r="G18" i="6" s="1"/>
  <c r="C19" i="6"/>
  <c r="G19" i="6" s="1"/>
  <c r="D14" i="6" l="1"/>
  <c r="G14" i="6" s="1"/>
  <c r="D245" i="1" l="1"/>
  <c r="B3" i="19"/>
  <c r="B1" i="19"/>
  <c r="B3" i="18" l="1"/>
  <c r="B1" i="18"/>
  <c r="B3" i="17"/>
  <c r="B1" i="17"/>
  <c r="B3" i="16"/>
  <c r="B1" i="16"/>
  <c r="B3" i="13"/>
  <c r="B1" i="13"/>
  <c r="B3" i="12"/>
  <c r="B1" i="12"/>
  <c r="B3" i="11"/>
  <c r="B1" i="11"/>
  <c r="B5" i="12" l="1"/>
  <c r="D248" i="1"/>
  <c r="D149" i="1" l="1"/>
  <c r="D152" i="1"/>
  <c r="D29" i="8"/>
  <c r="A1" i="8" l="1"/>
  <c r="A4" i="8"/>
  <c r="F10" i="8"/>
  <c r="F11" i="8"/>
  <c r="F13" i="8"/>
  <c r="F15" i="8"/>
  <c r="F16" i="8"/>
  <c r="F18" i="8"/>
  <c r="C19" i="8"/>
  <c r="D19" i="8"/>
  <c r="D31" i="8" s="1"/>
  <c r="E19" i="8"/>
  <c r="E31" i="8" s="1"/>
  <c r="C11" i="5" s="1"/>
  <c r="F21" i="8"/>
  <c r="F23" i="8"/>
  <c r="F25" i="8"/>
  <c r="F27" i="8"/>
  <c r="F28" i="8"/>
  <c r="F29" i="8"/>
  <c r="A1" i="6"/>
  <c r="A4" i="6"/>
  <c r="C15" i="6"/>
  <c r="D15" i="6"/>
  <c r="D20" i="6" s="1"/>
  <c r="D25" i="6" s="1"/>
  <c r="D28" i="6" s="1"/>
  <c r="E15" i="6"/>
  <c r="E20" i="6" s="1"/>
  <c r="E25" i="6" s="1"/>
  <c r="E28" i="6" s="1"/>
  <c r="F15" i="6"/>
  <c r="F20" i="6" s="1"/>
  <c r="F25" i="6" s="1"/>
  <c r="F28" i="6" s="1"/>
  <c r="A1" i="5"/>
  <c r="A4" i="5"/>
  <c r="C27" i="5"/>
  <c r="F16" i="4"/>
  <c r="F28" i="4"/>
  <c r="C30" i="4"/>
  <c r="F33" i="4"/>
  <c r="F45" i="4"/>
  <c r="C46" i="4"/>
  <c r="C54" i="4"/>
  <c r="F54" i="4"/>
  <c r="G15" i="6" l="1"/>
  <c r="G20" i="6" s="1"/>
  <c r="C10" i="5"/>
  <c r="F56" i="4"/>
  <c r="F19" i="8"/>
  <c r="F31" i="8" s="1"/>
  <c r="C20" i="6"/>
  <c r="C25" i="6" s="1"/>
  <c r="I252" i="1"/>
  <c r="C15" i="5" l="1"/>
  <c r="G25" i="6"/>
  <c r="C28" i="6"/>
  <c r="G28" i="6" s="1"/>
  <c r="I22" i="1"/>
  <c r="C16" i="5" l="1"/>
  <c r="C18" i="5" s="1"/>
  <c r="C23" i="5" s="1"/>
  <c r="C28" i="5" s="1"/>
  <c r="C11" i="4"/>
  <c r="C31" i="5" l="1"/>
  <c r="C16" i="4"/>
  <c r="C22" i="4" s="1"/>
  <c r="C56" i="4" s="1"/>
  <c r="D158" i="1"/>
  <c r="D117" i="1" s="1"/>
  <c r="D120" i="1" s="1"/>
  <c r="D88" i="1"/>
  <c r="D239" i="1" s="1"/>
  <c r="D242" i="1" s="1"/>
  <c r="G240" i="1" s="1"/>
  <c r="I215" i="1"/>
  <c r="G232" i="1"/>
  <c r="G234" i="1"/>
  <c r="G235" i="1"/>
  <c r="I223" i="1"/>
  <c r="D99" i="1"/>
  <c r="D100" i="1"/>
  <c r="D101" i="1"/>
  <c r="D102" i="1"/>
  <c r="G248" i="1"/>
  <c r="D250" i="1"/>
  <c r="E248" i="1" s="1"/>
  <c r="G249" i="1"/>
  <c r="I34" i="1"/>
  <c r="D236" i="1"/>
  <c r="I157" i="1"/>
  <c r="D178" i="1"/>
  <c r="D182" i="1" s="1"/>
  <c r="D186" i="1" s="1"/>
  <c r="D112" i="1"/>
  <c r="D103" i="1"/>
  <c r="D175" i="1"/>
  <c r="D164" i="1"/>
  <c r="D209" i="1"/>
  <c r="K274" i="1"/>
  <c r="I150" i="1"/>
  <c r="F173" i="1"/>
  <c r="F155" i="1"/>
  <c r="D14" i="1"/>
  <c r="I259" i="1"/>
  <c r="F110" i="1"/>
  <c r="D276" i="1"/>
  <c r="D275" i="1"/>
  <c r="C274" i="1"/>
  <c r="B274" i="1"/>
  <c r="D208" i="1"/>
  <c r="K208" i="1"/>
  <c r="B208" i="1"/>
  <c r="K141" i="1"/>
  <c r="D142" i="1"/>
  <c r="D141" i="1"/>
  <c r="B141" i="1"/>
  <c r="K75" i="1"/>
  <c r="D76" i="1"/>
  <c r="D75" i="1"/>
  <c r="B75" i="1"/>
  <c r="I46" i="1"/>
  <c r="I45" i="1"/>
  <c r="F92" i="1"/>
  <c r="F114" i="1" s="1"/>
  <c r="D211" i="1"/>
  <c r="D144" i="1"/>
  <c r="D78" i="1"/>
  <c r="F169" i="1"/>
  <c r="B163" i="1"/>
  <c r="B161" i="1"/>
  <c r="F153" i="1"/>
  <c r="F154" i="1" s="1"/>
  <c r="B95" i="1"/>
  <c r="B103" i="1" s="1"/>
  <c r="B94" i="1"/>
  <c r="B102" i="1" s="1"/>
  <c r="B93" i="1"/>
  <c r="B101" i="1" s="1"/>
  <c r="B92" i="1"/>
  <c r="B100" i="1" s="1"/>
  <c r="B91" i="1"/>
  <c r="B99" i="1" s="1"/>
  <c r="D96" i="1"/>
  <c r="F95" i="1"/>
  <c r="F94" i="1"/>
  <c r="G93" i="1"/>
  <c r="F93" i="1"/>
  <c r="G91" i="1"/>
  <c r="F91" i="1"/>
  <c r="F15" i="1"/>
  <c r="F57" i="4" l="1"/>
  <c r="I218" i="1"/>
  <c r="I220" i="1" s="1"/>
  <c r="E249" i="1"/>
  <c r="I249" i="1" s="1"/>
  <c r="D104" i="1"/>
  <c r="D122" i="1" s="1"/>
  <c r="I225" i="1"/>
  <c r="I227" i="1" s="1"/>
  <c r="I248" i="1"/>
  <c r="E250" i="1" l="1"/>
  <c r="G84" i="1"/>
  <c r="G14" i="1"/>
  <c r="G16" i="1" s="1"/>
  <c r="I16" i="1" s="1"/>
  <c r="E233" i="1"/>
  <c r="G233" i="1" s="1"/>
  <c r="G236" i="1" s="1"/>
  <c r="I236" i="1" s="1"/>
  <c r="G86" i="1" s="1"/>
  <c r="G94" i="1" s="1"/>
  <c r="I94" i="1" s="1"/>
  <c r="I228" i="1"/>
  <c r="I229" i="1" s="1"/>
  <c r="G118" i="1" s="1"/>
  <c r="I118" i="1" s="1"/>
  <c r="I250" i="1"/>
  <c r="G17" i="1"/>
  <c r="I17" i="1" s="1"/>
  <c r="I14" i="1" l="1"/>
  <c r="D179" i="1"/>
  <c r="I253" i="1"/>
  <c r="G15" i="1"/>
  <c r="I86" i="1"/>
  <c r="I102" i="1" s="1"/>
  <c r="G149" i="1"/>
  <c r="G155" i="1" s="1"/>
  <c r="I155" i="1" s="1"/>
  <c r="I240" i="1"/>
  <c r="K240" i="1" s="1"/>
  <c r="G153" i="1"/>
  <c r="I153" i="1" s="1"/>
  <c r="G154" i="1"/>
  <c r="I154" i="1" s="1"/>
  <c r="G152" i="1"/>
  <c r="G92" i="1"/>
  <c r="I84" i="1"/>
  <c r="D189" i="1"/>
  <c r="D185" i="1" l="1"/>
  <c r="D187" i="1" s="1"/>
  <c r="D192" i="1" s="1"/>
  <c r="D201" i="1" s="1"/>
  <c r="G151" i="1"/>
  <c r="I151" i="1" s="1"/>
  <c r="I149" i="1"/>
  <c r="I92" i="1"/>
  <c r="I100" i="1" s="1"/>
  <c r="G114" i="1"/>
  <c r="G87" i="1"/>
  <c r="G156" i="1"/>
  <c r="I152" i="1"/>
  <c r="G162" i="1"/>
  <c r="I156" i="1" l="1"/>
  <c r="I158" i="1" s="1"/>
  <c r="I117" i="1" s="1"/>
  <c r="G163" i="1"/>
  <c r="I163" i="1" s="1"/>
  <c r="G95" i="1"/>
  <c r="I95" i="1" s="1"/>
  <c r="I96" i="1" s="1"/>
  <c r="I87" i="1"/>
  <c r="I162" i="1"/>
  <c r="G168" i="1"/>
  <c r="I114" i="1"/>
  <c r="G161" i="1"/>
  <c r="I161" i="1" s="1"/>
  <c r="I164" i="1" l="1"/>
  <c r="I103" i="1"/>
  <c r="I104" i="1" s="1"/>
  <c r="G104" i="1" s="1"/>
  <c r="I88" i="1"/>
  <c r="G88" i="1" s="1"/>
  <c r="I168" i="1"/>
  <c r="G169" i="1"/>
  <c r="I169" i="1" s="1"/>
  <c r="G119" i="1" l="1"/>
  <c r="I119" i="1" s="1"/>
  <c r="I120" i="1" s="1"/>
  <c r="G171" i="1"/>
  <c r="G186" i="1"/>
  <c r="I186" i="1" s="1"/>
  <c r="G108" i="1"/>
  <c r="G109" i="1" l="1"/>
  <c r="I108" i="1"/>
  <c r="G173" i="1"/>
  <c r="I171" i="1"/>
  <c r="G174" i="1" l="1"/>
  <c r="I174" i="1" s="1"/>
  <c r="I173" i="1"/>
  <c r="I109" i="1"/>
  <c r="G111" i="1"/>
  <c r="I111" i="1" s="1"/>
  <c r="G110" i="1"/>
  <c r="I110" i="1" s="1"/>
  <c r="I175" i="1" l="1"/>
  <c r="I112" i="1"/>
  <c r="I122" i="1" s="1"/>
  <c r="I189" i="1" s="1"/>
  <c r="I185" i="1" s="1"/>
  <c r="I187" i="1" s="1"/>
  <c r="I192" i="1" l="1"/>
  <c r="I201" i="1" s="1"/>
  <c r="I11" i="1" s="1"/>
  <c r="I265" i="1"/>
  <c r="I268" i="1" l="1"/>
  <c r="D15" i="1" s="1"/>
  <c r="I15" i="1" s="1"/>
  <c r="I18" i="1" s="1"/>
  <c r="I24" i="1" s="1"/>
  <c r="D36" i="1" s="1"/>
  <c r="I41" i="1" l="1"/>
  <c r="D40" i="1"/>
  <c r="I40" i="1"/>
  <c r="D37" i="1"/>
  <c r="D42" i="1"/>
  <c r="D41" i="1"/>
  <c r="I42" i="1"/>
</calcChain>
</file>

<file path=xl/sharedStrings.xml><?xml version="1.0" encoding="utf-8"?>
<sst xmlns="http://schemas.openxmlformats.org/spreadsheetml/2006/main" count="952" uniqueCount="677">
  <si>
    <t xml:space="preserve">Formula Rate - Non-Levelized </t>
  </si>
  <si>
    <t xml:space="preserve">   Rate Formula Template</t>
  </si>
  <si>
    <t xml:space="preserve"> </t>
  </si>
  <si>
    <t>Utilizing EIA Form 412 Data</t>
  </si>
  <si>
    <t>Line</t>
  </si>
  <si>
    <t>Allocated</t>
  </si>
  <si>
    <t>No.</t>
  </si>
  <si>
    <t>Amount</t>
  </si>
  <si>
    <t xml:space="preserve">REVENUE CREDITS </t>
  </si>
  <si>
    <t>Total</t>
  </si>
  <si>
    <t>Allocator</t>
  </si>
  <si>
    <t xml:space="preserve">  Account No. 454</t>
  </si>
  <si>
    <t>TP</t>
  </si>
  <si>
    <t>Revenues from Grandfathered Interzonal Transactions</t>
  </si>
  <si>
    <t>Revenues from service provided by the ISO at a discount</t>
  </si>
  <si>
    <t>TOTAL REVENUE CREDITS  (sum lines 2-5)</t>
  </si>
  <si>
    <t>NET REVENUE REQUIREMENT</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</si>
  <si>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</si>
  <si>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</si>
  <si>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</si>
  <si>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</si>
  <si>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</si>
  <si>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</si>
  <si>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</si>
  <si>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</si>
  <si>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</si>
  <si>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</si>
  <si>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Annual Cost ($/kW/Yr)</t>
  </si>
  <si>
    <t>Peak Rate</t>
  </si>
  <si>
    <t>Off-Peak Rate</t>
  </si>
  <si>
    <t>Point-To-Point Rate ($/kW/Wk)</t>
  </si>
  <si>
    <t>Point-To-Point Rate ($/kW/Day)</t>
  </si>
  <si>
    <t xml:space="preserve"> Capped at weekly rate</t>
  </si>
  <si>
    <t>Point-To-Point Rate ($/MWh)</t>
  </si>
  <si>
    <t xml:space="preserve"> Capped at weekly</t>
  </si>
  <si>
    <t xml:space="preserve"> times 1,000)</t>
  </si>
  <si>
    <t xml:space="preserve"> and daily rates</t>
  </si>
  <si>
    <t>Short Term</t>
  </si>
  <si>
    <t>Long Term</t>
  </si>
  <si>
    <t>(1)</t>
  </si>
  <si>
    <t>(2)</t>
  </si>
  <si>
    <t>(3)</t>
  </si>
  <si>
    <t>(4)</t>
  </si>
  <si>
    <t>(5)</t>
  </si>
  <si>
    <t>EIA 412</t>
  </si>
  <si>
    <t>Transmission</t>
  </si>
  <si>
    <t>Reference</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</si>
  <si>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</si>
  <si>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</si>
  <si>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</si>
  <si>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</si>
  <si>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</si>
  <si>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</si>
  <si>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</si>
  <si>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</si>
  <si>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</si>
  <si>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</si>
  <si>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</si>
  <si>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CE</t>
  </si>
  <si>
    <t>GP=</t>
  </si>
  <si>
    <t>NET PLANT IN SERVICE</t>
  </si>
  <si>
    <t>NP=</t>
  </si>
  <si>
    <t xml:space="preserve">  Account No. 281 (enter negative) </t>
  </si>
  <si>
    <t>NP</t>
  </si>
  <si>
    <t xml:space="preserve">  Account No. 282 (enter negative)</t>
  </si>
  <si>
    <t xml:space="preserve">  Account No. 283 (enter negative)</t>
  </si>
  <si>
    <t xml:space="preserve">  Account No. 190</t>
  </si>
  <si>
    <t xml:space="preserve">  Account No. 255 (enter negative)</t>
  </si>
  <si>
    <t>TOTAL ADJUSTMENTS  (sum lines 19 - 23)</t>
  </si>
  <si>
    <t xml:space="preserve">LAND HELD FOR FUTURE USE </t>
  </si>
  <si>
    <t>WORKING CAPITAL</t>
  </si>
  <si>
    <t xml:space="preserve">  CWC</t>
  </si>
  <si>
    <t>(Note H)</t>
  </si>
  <si>
    <t xml:space="preserve">  Materials &amp; Supplies</t>
  </si>
  <si>
    <t>TE</t>
  </si>
  <si>
    <t xml:space="preserve">  Prepayments</t>
  </si>
  <si>
    <t>GP</t>
  </si>
  <si>
    <t>RATE BASE  (sum lines 18, 24, 25, and 29)</t>
  </si>
  <si>
    <t xml:space="preserve">  Transmission </t>
  </si>
  <si>
    <t xml:space="preserve">     Less Account 565</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</si>
  <si>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</si>
  <si>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</si>
  <si>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</si>
  <si>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</si>
  <si>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</si>
  <si>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</si>
  <si>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</si>
  <si>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</si>
  <si>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</si>
  <si>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</si>
  <si>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</si>
  <si>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</si>
  <si>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</si>
  <si>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</si>
  <si>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 xml:space="preserve">     T=1 - {[(1 - SIT) * (1 - FIT)] / (1 - SIT * FIT * p)} =</t>
  </si>
  <si>
    <t xml:space="preserve">     CIT=(T/1-T) * (1-(WCLTD/R)) =</t>
  </si>
  <si>
    <t xml:space="preserve">       and FIT, SIT &amp; p are as given in footnote K.</t>
  </si>
  <si>
    <t xml:space="preserve">      1 / (1 - T)  = (from line 21)</t>
  </si>
  <si>
    <t>Income Tax Calculation = line 22 * line 28</t>
  </si>
  <si>
    <t>ITC adjustment (line 23 * line 24)</t>
  </si>
  <si>
    <t>Total Income Taxes</t>
  </si>
  <si>
    <t>(line 25 plus line 26)</t>
  </si>
  <si>
    <t xml:space="preserve">RETURN </t>
  </si>
  <si>
    <t xml:space="preserve">  [ Rate Base (page 2, line 30) * Rate of Return (page 4, line 24)]</t>
  </si>
  <si>
    <t xml:space="preserve">                SUPPORTING CALCULATIONS AND NOTES</t>
  </si>
  <si>
    <t xml:space="preserve">TRANSMISSION EXPENSES </t>
  </si>
  <si>
    <t>TE=</t>
  </si>
  <si>
    <t>TRANSMISSION PLANT INCLUDED IN ISO RATES</t>
  </si>
  <si>
    <t>TP=</t>
  </si>
  <si>
    <t>WAGES &amp; SALARY ALLOCATOR   (W&amp;S)</t>
  </si>
  <si>
    <t>$</t>
  </si>
  <si>
    <t>Allocation</t>
  </si>
  <si>
    <t>W&amp;S Allocator</t>
  </si>
  <si>
    <t xml:space="preserve">  Other</t>
  </si>
  <si>
    <t>($ / Allocation)</t>
  </si>
  <si>
    <t>=</t>
  </si>
  <si>
    <t>% Electric</t>
  </si>
  <si>
    <t>Labor Ratio</t>
  </si>
  <si>
    <t xml:space="preserve">  Electric</t>
  </si>
  <si>
    <t>(line 17 / line 20)</t>
  </si>
  <si>
    <t>(line 16)</t>
  </si>
  <si>
    <t xml:space="preserve">  Gas</t>
  </si>
  <si>
    <t>*</t>
  </si>
  <si>
    <t xml:space="preserve">  Water</t>
  </si>
  <si>
    <t>RETURN (R)</t>
  </si>
  <si>
    <t xml:space="preserve">              Long Term Interest  </t>
  </si>
  <si>
    <t>Cost</t>
  </si>
  <si>
    <t>%</t>
  </si>
  <si>
    <t>(Note P)</t>
  </si>
  <si>
    <t>Weighted</t>
  </si>
  <si>
    <t xml:space="preserve">  Long Term Debt</t>
  </si>
  <si>
    <t>=WCLTD</t>
  </si>
  <si>
    <t xml:space="preserve">  Proprietary Capital</t>
  </si>
  <si>
    <t>=R</t>
  </si>
  <si>
    <t>REVENUE CREDITS</t>
  </si>
  <si>
    <t>Load</t>
  </si>
  <si>
    <t>ACCOUNT 447 (SALES FOR RESALE)</t>
  </si>
  <si>
    <t xml:space="preserve">  a. Bundled Non-RQ Sales for Resale</t>
  </si>
  <si>
    <t>(Note Q)</t>
  </si>
  <si>
    <t xml:space="preserve">  Total of (a)-(b)</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</si>
  <si>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</si>
  <si>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</si>
  <si>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</si>
  <si>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</si>
  <si>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</si>
  <si>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</si>
  <si>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</si>
  <si>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</si>
  <si>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</si>
  <si>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</si>
  <si>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</si>
  <si>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</si>
  <si>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</si>
  <si>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</si>
  <si>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</si>
  <si>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</si>
  <si>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</si>
  <si>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</si>
  <si>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</si>
  <si>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 xml:space="preserve">  (percent of federal income tax deductible for state purposes)</t>
  </si>
  <si>
    <t>L</t>
  </si>
  <si>
    <t>M</t>
  </si>
  <si>
    <t>N</t>
  </si>
  <si>
    <t>O</t>
  </si>
  <si>
    <t>P</t>
  </si>
  <si>
    <t>Q</t>
  </si>
  <si>
    <t>R</t>
  </si>
  <si>
    <t>Includes income related only to transmission facilities, such as pole attachments, rentals and special use.</t>
  </si>
  <si>
    <t>(page 4, line 30)</t>
  </si>
  <si>
    <t>(page 4, line 33)</t>
  </si>
  <si>
    <t xml:space="preserve">  Less 12 CP or Contract Demands from service over one year provided by ISO at a discount (enter negative)</t>
  </si>
  <si>
    <t xml:space="preserve">  Total  (sum lines 17-19)</t>
  </si>
  <si>
    <t>Total  (sum lines 22, 23)</t>
  </si>
  <si>
    <t xml:space="preserve">  b. Bundled Sales for Resale included in Divisor on page 1 </t>
  </si>
  <si>
    <t xml:space="preserve">  b. Transmission charges for all transmission transactions included in Divisor on page 1</t>
  </si>
  <si>
    <t>(Note T)</t>
  </si>
  <si>
    <t xml:space="preserve">  Less Contract Demand from Grandfathered Interzonal transactions over one year (enter negative)  (Note S)</t>
  </si>
  <si>
    <t>zero</t>
  </si>
  <si>
    <t>5a</t>
  </si>
  <si>
    <t>Transmission plant included in ISO rates  (line 1 less lines 2 &amp; 3)</t>
  </si>
  <si>
    <t>Transmission related only.</t>
  </si>
  <si>
    <t>Enter dollar amounts</t>
  </si>
  <si>
    <t>S</t>
  </si>
  <si>
    <t>T</t>
  </si>
  <si>
    <t>Page 1 of 5</t>
  </si>
  <si>
    <t>Page 2 of 5</t>
  </si>
  <si>
    <t>Page 3 of 5</t>
  </si>
  <si>
    <t>Page 4 of 5</t>
  </si>
  <si>
    <t>Page 5 of 5</t>
  </si>
  <si>
    <t>U</t>
  </si>
  <si>
    <t>1a</t>
  </si>
  <si>
    <t>V</t>
  </si>
  <si>
    <t xml:space="preserve">  Account No. 456.1</t>
  </si>
  <si>
    <t>ACCOUNT 456.1 (OTHER ELECTRIC REVENUES)</t>
  </si>
  <si>
    <t>Removes dollar amount of transmission expenses included in the OATT ancillary services rates, including Account Nos. 561.1, 561.2, 561.3, and 561.BA.</t>
  </si>
  <si>
    <t>32a</t>
  </si>
  <si>
    <t>W</t>
  </si>
  <si>
    <t>X</t>
  </si>
  <si>
    <t xml:space="preserve">REVENUE REQUIREMENT TO BE COLLECTED UNDER ATTACHMENT O </t>
  </si>
  <si>
    <t>[Revenue Requirement for facilities included on page 2, line 2, and also included</t>
  </si>
  <si>
    <t>in Attachment GG]</t>
  </si>
  <si>
    <t>Proprietary Capital Cost Rate =</t>
  </si>
  <si>
    <t>TIER =</t>
  </si>
  <si>
    <t>(Note E)</t>
  </si>
  <si>
    <t>(Note K)</t>
  </si>
  <si>
    <t xml:space="preserve">                            </t>
  </si>
  <si>
    <t>To the extent the page references to EIA Form 412 are missing, the entity will include a "Notes" section in the EIA 412 to provide this data.</t>
  </si>
  <si>
    <t>References to data from EIA Form 412 are indicated as:   x.y.z  (section, line, column)</t>
  </si>
  <si>
    <t>(line 7 / line 15)</t>
  </si>
  <si>
    <t>Divisor  (sum lines 8-14)</t>
  </si>
  <si>
    <t>(line 16 / 52; line 16 /  52)</t>
  </si>
  <si>
    <t>FERC Annual Charge ($/MWh)</t>
  </si>
  <si>
    <t>TOTAL GROSS PLANT  (sum lines 1-5)</t>
  </si>
  <si>
    <t>TOTAL ACCUM. DEPRECIATION  (sum lines 7-11)</t>
  </si>
  <si>
    <t>(line 1- line 7)</t>
  </si>
  <si>
    <t>(line 2- line 8)</t>
  </si>
  <si>
    <t>(line 3 - line 9)</t>
  </si>
  <si>
    <t>(line 4 - line 10)</t>
  </si>
  <si>
    <t>(line 5 - line 11)</t>
  </si>
  <si>
    <t>TOTAL NET PLANT  (sum lines 13-17)</t>
  </si>
  <si>
    <t>ADJUSTMENTS TO RATE BASE  (Note F)</t>
  </si>
  <si>
    <t>(Note G)</t>
  </si>
  <si>
    <t>TOTAL WORKING CAPITAL  (sum lines 26 - 28)</t>
  </si>
  <si>
    <t xml:space="preserve">     Less LSE Expenses included in Transmission O&amp;M Accounts  (Note V)</t>
  </si>
  <si>
    <t xml:space="preserve">     Less EPRI &amp; Reg. Comm. Exp. &amp; Non-safety Ad.  (Note I)</t>
  </si>
  <si>
    <t xml:space="preserve">     Plus Transmission Related Reg. Comm. Exp.  (Note I)</t>
  </si>
  <si>
    <t>TOTAL DEPRECIATION  (sum lines 9 - 11)</t>
  </si>
  <si>
    <t>TAXES OTHER THAN INCOME TAXES  (Note J)</t>
  </si>
  <si>
    <t>REV. REQUIREMENT  (sum lines 8, 12, 20, 27, 28)</t>
  </si>
  <si>
    <t>Total transmission plant  (page 2, line 2, column 3)</t>
  </si>
  <si>
    <t>Less transmission plant excluded from ISO rates  (Note M)</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</si>
  <si>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</si>
  <si>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</si>
  <si>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</si>
  <si>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</si>
  <si>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Percentage of transmission expenses after adjustment  (line 8 divided by line 6)</t>
  </si>
  <si>
    <t>Percentage of transmission plant included in ISO Rates  (line 5)</t>
  </si>
  <si>
    <t>Percentage of transmission expenses included in ISO Rates  (line 9 times line 10)</t>
  </si>
  <si>
    <t>COMMON PLANT ALLOCATOR  (CE)  (Note O)</t>
  </si>
  <si>
    <t xml:space="preserve">  Total  (sum lines 12-15)</t>
  </si>
  <si>
    <t>ACCOUNT 454 (RENT FROM ELECTRIC PROPERTY)  (Note R)</t>
  </si>
  <si>
    <t>Inputs Required:</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</si>
  <si>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</si>
  <si>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Cash Working Capital assigned to transmission is one-eighth of O&amp;M allocated to transmission at page 3, line 8, column 5.  Prepayments are the electric related prepayments booked to Account No. 165 as shown on Schedule I of EIA Form 412.</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</si>
  <si>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</si>
  <si>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</si>
  <si>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</si>
  <si>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Line 29 must equal zero since all short-term power sales must be unbundled and the transmission component reflected in Account No. 456.1 and all other uses are to be included in the divisor.</t>
  </si>
  <si>
    <t>GROSS REVENUE REQUIREMENT  (page 3, line 31)</t>
  </si>
  <si>
    <t>(line 16 / 260; line 16 / 365)</t>
  </si>
  <si>
    <t>(line 16 / 4,160; line 16 / 8,760</t>
  </si>
  <si>
    <t>IV.6.e</t>
  </si>
  <si>
    <t>IV.7.e</t>
  </si>
  <si>
    <t>IV.8.e</t>
  </si>
  <si>
    <t>IV.12.e  (Note G)</t>
  </si>
  <si>
    <t>II.20.b</t>
  </si>
  <si>
    <t>VII.8.d</t>
  </si>
  <si>
    <t>VII.13.d</t>
  </si>
  <si>
    <t>TOTAL O&amp;M  (sum lines 1, 3, 5a, 6, 7 less 1a, 2, 4, 5)</t>
  </si>
  <si>
    <t>Included transmission expenses ( line 6 less line 7)</t>
  </si>
  <si>
    <t>II.32.b</t>
  </si>
  <si>
    <t>III.16.b + III.17.b  (Note U)</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</si>
  <si>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</si>
  <si>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</si>
  <si>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LESS ATTACHMENT GG ADJUSTMENT [Attachment GG, page 2, line 3, column 10]  (Note W)</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</si>
  <si>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</si>
  <si>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</si>
  <si>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</si>
  <si>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30a</t>
  </si>
  <si>
    <t>in Attachment MM]</t>
  </si>
  <si>
    <t>(line 29 - line 30 - line 30a)</t>
  </si>
  <si>
    <t>32b</t>
  </si>
  <si>
    <t xml:space="preserve">  Total of (a)-(b)-(c)-(d)</t>
  </si>
  <si>
    <t>Y</t>
  </si>
  <si>
    <t>Z</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</si>
  <si>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</si>
  <si>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</si>
  <si>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</si>
  <si>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</si>
  <si>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 xml:space="preserve">II.37.b </t>
  </si>
  <si>
    <t>The FERC's annual charges for the year assessed the Transmission Owner for service under this tariff, if any.</t>
  </si>
  <si>
    <t>GROSS PLANT IN SERVICE (Note AA)</t>
  </si>
  <si>
    <t>IV.9.e &amp; IV.1.e</t>
  </si>
  <si>
    <t>ACCUMULATED DEPRECIATION (Note AA)</t>
  </si>
  <si>
    <t>O&amp;M (Note BB)</t>
  </si>
  <si>
    <t>DEPRECIATION AND AMORTIZATION EXPENSE (Note AA)</t>
  </si>
  <si>
    <t xml:space="preserve">  General  &amp; Intangible</t>
  </si>
  <si>
    <t xml:space="preserve">       where WCLTD=(page 4, line 22) and R= (page 4, line 24)</t>
  </si>
  <si>
    <t>From Reference III.17.b include only the amount from Accounts 428, 429, and 430.</t>
  </si>
  <si>
    <t>Account Nos. 561.4 and 561.8 consist of RTO expenses billed to load-serving entities and are not included in Transmission Owner revenue requirements.</t>
  </si>
  <si>
    <t>Amortized Investment Tax Credit (enter negative)</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</si>
  <si>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</si>
  <si>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</si>
  <si>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</si>
  <si>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Pursuant to Attachment GG of the Midwest ISO Tariff, removes dollar amount of revenue requirements calculated pursuant to Attachment GG.</t>
  </si>
  <si>
    <t>Removes from revenue credits revenues that are distributed pursuant to Schedules associated with Attachment GG of the Midwest ISO Tariff, since the Transmission Owner's Attachment O revenue requirements have already been reduced by the Attachment GG revenue requirements.</t>
  </si>
  <si>
    <t>Pursuant to Attachment MM of the Midwest ISO Tariff, removes dollar amount of revenue requirements calculated pursuant to Attachment MM.</t>
  </si>
  <si>
    <t>Removes from revenue credits revenues that are distributed pursuant to Schedules associated with Attachment MM of the Midwest ISO Tariff, since the Transmission Owner's Attachment O revenue requirements have already been reduced by the Attachment MM revenue requirements.</t>
  </si>
  <si>
    <t>Removes transmission plant determined  to be state-jurisdictional by Commission order according to the seven-factor test (until EIA 412 balances are adjusted to reflect application of seven-factor test).</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</si>
  <si>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</si>
  <si>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Attachment O-EIA Non-Levelized Generic</t>
  </si>
  <si>
    <t>Network &amp; P-to-P Rate ($/kW/Mo)  (line 11 / 12)</t>
  </si>
  <si>
    <t>6a</t>
  </si>
  <si>
    <t>Adjustments to Net Revenue Requirement (Note CC)</t>
  </si>
  <si>
    <t>6b</t>
  </si>
  <si>
    <t>Interest on Adjustments (Note DD)</t>
  </si>
  <si>
    <t>6c</t>
  </si>
  <si>
    <t>Total Adjustment (line 6a + line 6b)</t>
  </si>
  <si>
    <t>CC</t>
  </si>
  <si>
    <t>DD</t>
  </si>
  <si>
    <t xml:space="preserve">Adjustments required pursuant to Section V (Changes to Annual Updates) of Attachment O.  Refunds shall be entered as a negative number to reduce the </t>
  </si>
  <si>
    <t>net revenue requirement.  Surcharges shall be entered as a positive number to increase the net revenue requirement.</t>
  </si>
  <si>
    <t xml:space="preserve">Interest required pursuant to Section V (Changes to Annual Updates) of Attachment O.  Interest on any refunds shall be entered as a negative number to reduce </t>
  </si>
  <si>
    <t>the net revenue requirement.  Interest on surcharge shall be entered as a positive number to increase the net revenue requirement.</t>
  </si>
  <si>
    <t>(line 1 minus line 6 plus Line 6c)</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</si>
  <si>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 A 50 basis point adder for RTO participation may be added to the ROE or Proprietary Capital Cost up to the upper end of the zone of reasonableness established by FERC for a transmission owner that has turned over functional control of its Transmission Facilities to MISO or provides service over Non-transferred Transmission Facilities through the MISO Tariff with MISO acting as agent., subject to the following criteria. By use of this template, any transmission owner utilizing the RTO Adder affirms that it: 1) commits to providing refunds (with interest at the FERC refund interest rates) to the extent that the ROE or zone of reasonableness established in Docket No. EL14-12 when applied to the effective date established in Docket No ER15-1067-000 would result in a lower revenue requirement than that charged; and 2) commits to providing refunds (with interest at the FERC refund interest rates) consistent with any refund effective date established in any other proceedings resulting in a new base ROE or new zone of reasonableness for the MISO transmission owners’ base ROE, to the extent that the ROE or zone of reasonableness established in any such proceedings, when applied as of the refund effective date established in such proceedings, would result in a lower revenue requirement than that charged.</t>
  </si>
  <si>
    <t xml:space="preserve">ROE Determination </t>
  </si>
  <si>
    <t>ROE per EL14-12, Effective 9-28-2016</t>
  </si>
  <si>
    <t>RTO Adder per ER15-1067, Effective June 16, 2015</t>
  </si>
  <si>
    <t>TOTAL LIABILITIES &amp; OTHER CREDITS</t>
  </si>
  <si>
    <t>TOTAL ASSETS &amp; OTHER DEBITS</t>
  </si>
  <si>
    <t>Total Deferred Credits</t>
  </si>
  <si>
    <t xml:space="preserve">Total Deferred Debits </t>
  </si>
  <si>
    <t>(257)</t>
  </si>
  <si>
    <t>Losses (184-191)</t>
  </si>
  <si>
    <t xml:space="preserve">Unamortized gain on Reacquired Debt </t>
  </si>
  <si>
    <t>Development Expenses &amp; Unamortized</t>
  </si>
  <si>
    <t xml:space="preserve">Miscellaneous Debt, Research and </t>
  </si>
  <si>
    <t>(253, 256, 281-283)</t>
  </si>
  <si>
    <t>and Charges (182.1, 182.2, 182.3, 183)</t>
  </si>
  <si>
    <t xml:space="preserve">Other Deferred Credits </t>
  </si>
  <si>
    <t>Extraordinary Property Losses, Study Costs,</t>
  </si>
  <si>
    <t>(252)</t>
  </si>
  <si>
    <t>Unamortized Debt Expense (181)</t>
  </si>
  <si>
    <t>Customer Advances for Construction</t>
  </si>
  <si>
    <t>DEFERRED DEBITS</t>
  </si>
  <si>
    <t>DEFERRED CREDITS</t>
  </si>
  <si>
    <t>Total Current &amp; Accrued Assets</t>
  </si>
  <si>
    <t>Total Current &amp; Accrued Liabilities</t>
  </si>
  <si>
    <t>Misc Current &amp; Accrued Assets (171, 174)</t>
  </si>
  <si>
    <t>Misc Curr &amp; Accr Liabilities (239-245)</t>
  </si>
  <si>
    <t xml:space="preserve">Accrued revenues (173) </t>
  </si>
  <si>
    <t>Accrued Interest payable (237)</t>
  </si>
  <si>
    <t>Prepayments (165)</t>
  </si>
  <si>
    <t>Accrued taxes (236)</t>
  </si>
  <si>
    <t>Other Supplies &amp; Misc (153, 155-163)</t>
  </si>
  <si>
    <t>Customer Deposits (235)</t>
  </si>
  <si>
    <t>Plant Materials &amp; Operating Supplies (154)</t>
  </si>
  <si>
    <t>Associated Enterprises (233, 234)</t>
  </si>
  <si>
    <t>(151-152)</t>
  </si>
  <si>
    <t>Notes and Accounts Payable to</t>
  </si>
  <si>
    <t>Fuel Stock &amp; Expenses Undistributed</t>
  </si>
  <si>
    <t>Accounts Payable (232)</t>
  </si>
  <si>
    <t>Uncollectible Accounts (144)</t>
  </si>
  <si>
    <t>(Less) Accumulated Provision for</t>
  </si>
  <si>
    <t>Notes Payable (231)</t>
  </si>
  <si>
    <t>Customer Accounts Recevable (142)</t>
  </si>
  <si>
    <t>CURRENT AND ACCRUED LIABILITIES</t>
  </si>
  <si>
    <t>(141, 143, 145, 146, 172)</t>
  </si>
  <si>
    <t>Notes &amp; Other Receivables</t>
  </si>
  <si>
    <t>Total Other Non Current Liabilities</t>
  </si>
  <si>
    <t>(131-136)</t>
  </si>
  <si>
    <t>Accumulated Provisions for Rate Refunds</t>
  </si>
  <si>
    <t>Cash, Working Funds &amp; Investments</t>
  </si>
  <si>
    <t>Accumulated Operating Provisions (228.1-.4)</t>
  </si>
  <si>
    <t>CURRENT &amp; ACCRUED ASSETS</t>
  </si>
  <si>
    <t>OTHER NONCURRENT LIABILITIES</t>
  </si>
  <si>
    <t>Total Other Property and Investments</t>
  </si>
  <si>
    <t>Investments &amp; Special Funds (124-129)</t>
  </si>
  <si>
    <t>Total Long Term Debt</t>
  </si>
  <si>
    <t>(123-123.1)</t>
  </si>
  <si>
    <t>Investment in Associated Enterprises</t>
  </si>
  <si>
    <t>Term Debt (226)</t>
  </si>
  <si>
    <t>Depreciation and Amortization (122)</t>
  </si>
  <si>
    <t>(Less) Unamortized Discount on Long</t>
  </si>
  <si>
    <t>Debt (225)</t>
  </si>
  <si>
    <t>Non-Electric Plant Property (121)</t>
  </si>
  <si>
    <t xml:space="preserve">Unamortized Premium on Long Term </t>
  </si>
  <si>
    <t>OTHER PROPERTY &amp; INVESTMENTS</t>
  </si>
  <si>
    <t>Long Term Debt (223, 224)</t>
  </si>
  <si>
    <t xml:space="preserve">Fuel </t>
  </si>
  <si>
    <t>Advances from Municipality and Other</t>
  </si>
  <si>
    <t>Net Electric Plant including Nuclear</t>
  </si>
  <si>
    <t>Bonds (221, 222)</t>
  </si>
  <si>
    <t>Assemblies (120.5)</t>
  </si>
  <si>
    <t>Amortization of Nuclear Fuel</t>
  </si>
  <si>
    <t>LONG TERM DEBT</t>
  </si>
  <si>
    <t>Nuclear Fuel (120.1-120.4, 120.6)</t>
  </si>
  <si>
    <t>TOTAL PROPRIETARY CAPITAL</t>
  </si>
  <si>
    <t xml:space="preserve">Net Electric Plant </t>
  </si>
  <si>
    <t>(215, 215.1, 216)</t>
  </si>
  <si>
    <t>Depletion (108,111,115)</t>
  </si>
  <si>
    <t>Retained Earnings</t>
  </si>
  <si>
    <t xml:space="preserve">Depreciation, Amortization and </t>
  </si>
  <si>
    <t>Miscellaneous Capital (211, 219, 219.1)</t>
  </si>
  <si>
    <t xml:space="preserve">Construction Work In Progress (107) </t>
  </si>
  <si>
    <t>Investment of Municipality (208)</t>
  </si>
  <si>
    <t>(101-106,114,116)</t>
  </si>
  <si>
    <t>Electric Plant &amp; Adjustments</t>
  </si>
  <si>
    <t>PROPIETARY CAPITAL</t>
  </si>
  <si>
    <t>ELECTRIC PLANT</t>
  </si>
  <si>
    <t>(Dollars)</t>
  </si>
  <si>
    <t>LIABILITIES and OTHER CREDITS</t>
  </si>
  <si>
    <t>No</t>
  </si>
  <si>
    <t>ASSETS and OTHER DEBITS</t>
  </si>
  <si>
    <t>AMOUNT</t>
  </si>
  <si>
    <t>ELECTRIC BALANCE SHEET</t>
  </si>
  <si>
    <t>Schedule 2</t>
  </si>
  <si>
    <t>EIA-412</t>
  </si>
  <si>
    <t xml:space="preserve">        NET INCOME</t>
  </si>
  <si>
    <t>Extraordinary Deductions (435)</t>
  </si>
  <si>
    <t>Extraordinary Items (434)</t>
  </si>
  <si>
    <t xml:space="preserve">        Income Before Extraordinary Items</t>
  </si>
  <si>
    <t xml:space="preserve">    Total Income Deductions</t>
  </si>
  <si>
    <t>Allowance for Borrowed Funds Used During Constructions (432)</t>
  </si>
  <si>
    <t>Other Income Deductions (428-431)</t>
  </si>
  <si>
    <t>Income Deductions from Interest on Long Term Debt (427)</t>
  </si>
  <si>
    <t xml:space="preserve">    Electric Income</t>
  </si>
  <si>
    <t>Taxes Applicable to Other Income and Deductions (408.2, 409.2)</t>
  </si>
  <si>
    <t>Allowance for Other Funds Used During Construction (419.1)</t>
  </si>
  <si>
    <t>Other Electric Deductions (416, 417, 421.2)</t>
  </si>
  <si>
    <t>Other Electric Income (415, 417, 418, 419, 421, 421.1)</t>
  </si>
  <si>
    <t xml:space="preserve">    Electric Operating Income</t>
  </si>
  <si>
    <t>Income from Electric Plant Leased to Others (412, 413)</t>
  </si>
  <si>
    <t xml:space="preserve">        NET ELECTRIC OPERATING INCOME</t>
  </si>
  <si>
    <t xml:space="preserve">    TOTAL ELECTRIC OPERATING EXPENSES</t>
  </si>
  <si>
    <t>Taxes and Tax Equivalents (408.1, 409.1)</t>
  </si>
  <si>
    <t>Amortization of Electric Plant, Property Losses, and Regulatory Study Costs (404-407)</t>
  </si>
  <si>
    <t>Depreciation Expenses (403)</t>
  </si>
  <si>
    <t>Maintenance Expenses (402)</t>
  </si>
  <si>
    <t>Operation Expenses (401)</t>
  </si>
  <si>
    <t>Electric Operating Revenues (400)</t>
  </si>
  <si>
    <t>ELECTRIC INCOME STATEMENT</t>
  </si>
  <si>
    <t>Schedule 3</t>
  </si>
  <si>
    <t>NOTE FOR LINE 5:  Combustion Turbine</t>
  </si>
  <si>
    <t>Total Electric Plant &amp; Adj's</t>
  </si>
  <si>
    <t>Construction Work in Progress</t>
  </si>
  <si>
    <t>Electric Plant Miscellaneous</t>
  </si>
  <si>
    <t>Electric Plant Held for Future Use</t>
  </si>
  <si>
    <t>Electric Plant Leased to Others</t>
  </si>
  <si>
    <t>Total Electric Plant In Service</t>
  </si>
  <si>
    <t>General Plant (389-399)</t>
  </si>
  <si>
    <t>Distribution Plant (360-373)</t>
  </si>
  <si>
    <t>Transmission Plant (350-359)</t>
  </si>
  <si>
    <t>Total Production Plant</t>
  </si>
  <si>
    <t>Other Production (340-346)</t>
  </si>
  <si>
    <t>Hydraulic Production (330-336)</t>
  </si>
  <si>
    <t>Nuclear Production (320-325)</t>
  </si>
  <si>
    <t>Steam Production (310-316)</t>
  </si>
  <si>
    <t>Intangible Plant (301-303)</t>
  </si>
  <si>
    <t>Balance</t>
  </si>
  <si>
    <t>Transfers</t>
  </si>
  <si>
    <t>Retirements</t>
  </si>
  <si>
    <t>Additions</t>
  </si>
  <si>
    <t>Ending</t>
  </si>
  <si>
    <t xml:space="preserve">Beginning </t>
  </si>
  <si>
    <t>Schedule 4</t>
  </si>
  <si>
    <t>Total Number of Part Time Employees</t>
  </si>
  <si>
    <t>Total Number of Full Time Employees</t>
  </si>
  <si>
    <t>XXXXXXXXXXX</t>
  </si>
  <si>
    <t>Maintenance Expenses</t>
  </si>
  <si>
    <t>Total Electric Operation and</t>
  </si>
  <si>
    <t>XXXXXXXXXXXXX</t>
  </si>
  <si>
    <t>Admin &amp; General exp (920-935)</t>
  </si>
  <si>
    <t>Sales Expenses (911-916)</t>
  </si>
  <si>
    <t>Expenses (907-910)</t>
  </si>
  <si>
    <t>Customer Service &amp; Information</t>
  </si>
  <si>
    <t>(901-905)</t>
  </si>
  <si>
    <t>Customer Account Expenses</t>
  </si>
  <si>
    <t>(580-589, 590-598)</t>
  </si>
  <si>
    <t>Distribution Expenses</t>
  </si>
  <si>
    <t>(560-567, 568-573)</t>
  </si>
  <si>
    <t>Transmission Expenses</t>
  </si>
  <si>
    <t xml:space="preserve">   Total Production Expenses</t>
  </si>
  <si>
    <t>(556-557)</t>
  </si>
  <si>
    <t>Other Production Expenses</t>
  </si>
  <si>
    <t>Purchased Power (555)</t>
  </si>
  <si>
    <t>(546-550, 551-554) Fuel cost (547)</t>
  </si>
  <si>
    <t>Other Power Generation</t>
  </si>
  <si>
    <t>(535-540, 541-545)</t>
  </si>
  <si>
    <t>Hydraulic Power Generation</t>
  </si>
  <si>
    <t>Nuclear Power Generation</t>
  </si>
  <si>
    <t>(500-507, 510-514) Fuel Cost (501)</t>
  </si>
  <si>
    <t>Steam Power Generation</t>
  </si>
  <si>
    <t>Maintenance</t>
  </si>
  <si>
    <t>Operation</t>
  </si>
  <si>
    <t>Fuel Cost</t>
  </si>
  <si>
    <t>(d)</t>
  </si>
  <si>
    <t>(c)</t>
  </si>
  <si>
    <t>(b)</t>
  </si>
  <si>
    <t>(a)</t>
  </si>
  <si>
    <t>ELECTRIC OPERATION AND MAINTENANCE EXPENSES (Dollars)</t>
  </si>
  <si>
    <t>Schedule 7</t>
  </si>
  <si>
    <t>Notes:</t>
  </si>
  <si>
    <t/>
  </si>
  <si>
    <t>expenses to be deducted on page 3 line 4 of the attachment O.</t>
  </si>
  <si>
    <t>Additional Notes</t>
  </si>
  <si>
    <t>transmission</t>
  </si>
  <si>
    <t>total electric</t>
  </si>
  <si>
    <t>Eq Rev 2015</t>
  </si>
  <si>
    <t>Eq Rev 2013</t>
  </si>
  <si>
    <t>Year</t>
  </si>
  <si>
    <t>Principal</t>
  </si>
  <si>
    <t>Interest Expense</t>
  </si>
  <si>
    <t>Account</t>
  </si>
  <si>
    <t>HE</t>
  </si>
  <si>
    <t>Date</t>
  </si>
  <si>
    <t>cwip</t>
  </si>
  <si>
    <t>NBV</t>
  </si>
  <si>
    <t>Debt Detail Schedule</t>
  </si>
  <si>
    <t>Transmission O&amp;M Expense</t>
  </si>
  <si>
    <t>Wage and Salary Allocations</t>
  </si>
  <si>
    <t>Fixed Asset Summary</t>
  </si>
  <si>
    <t>A&amp;G Detail</t>
  </si>
  <si>
    <t>Asset Cost</t>
  </si>
  <si>
    <t>BOY Total</t>
  </si>
  <si>
    <t>Disposals</t>
  </si>
  <si>
    <t>EOY Total</t>
  </si>
  <si>
    <t>Accumulated Depreciation</t>
  </si>
  <si>
    <t xml:space="preserve">   total</t>
  </si>
  <si>
    <t>Line 12 see financials page 9 - non operating income and expense</t>
  </si>
  <si>
    <t>production</t>
  </si>
  <si>
    <t>distribution</t>
  </si>
  <si>
    <t>general</t>
  </si>
  <si>
    <t>Asset Category</t>
  </si>
  <si>
    <t>% of Total</t>
  </si>
  <si>
    <t>Function</t>
  </si>
  <si>
    <t>Labor Cost</t>
  </si>
  <si>
    <t>&lt;-- Transmission O&amp;M Total</t>
  </si>
  <si>
    <t>&lt;-- Admin &amp; General Total</t>
  </si>
  <si>
    <t xml:space="preserve"> &lt;-- Taxes in Lieu of Property Taxes:</t>
  </si>
  <si>
    <t xml:space="preserve">The payment is calculated based upon retail kwh sales </t>
  </si>
  <si>
    <t>Blue Earth makes an annual payment to the city general fund in lieu of property taxes</t>
  </si>
  <si>
    <t xml:space="preserve"> &lt;-- Payroll taxes</t>
  </si>
  <si>
    <t>Remaining Principal</t>
  </si>
  <si>
    <t>AccountingPeriod</t>
  </si>
  <si>
    <t>TranDescription</t>
  </si>
  <si>
    <t>Schedule Total</t>
  </si>
  <si>
    <t>&lt;-- remaining debt at year end</t>
  </si>
  <si>
    <t xml:space="preserve">  &lt;-- ties fo financial statements, page 7 and 8</t>
  </si>
  <si>
    <t xml:space="preserve">  &lt;-- ties fo financial statements, page 9</t>
  </si>
  <si>
    <t xml:space="preserve">  Total Plant</t>
  </si>
  <si>
    <t xml:space="preserve">  Sub Total</t>
  </si>
  <si>
    <t>&lt;-- Total attachment O filing fees</t>
  </si>
  <si>
    <t>Expense Item</t>
  </si>
  <si>
    <t>Land Breakout</t>
  </si>
  <si>
    <t>Blue Earth, MN</t>
  </si>
  <si>
    <t>Notes:  all references to "city" or "the city" refer to</t>
  </si>
  <si>
    <t>There are no CMMPA assets represented in the books and records of the city,</t>
  </si>
  <si>
    <t>hence no CMMPA assets are represented in the accompanying attachment O using current year audited information.</t>
  </si>
  <si>
    <t>There are no CMMPA expenses reflected anywhere in the books and records of the city.</t>
  </si>
  <si>
    <t>transmission expense by the city and a negative transmission expense by CMMPA.</t>
  </si>
  <si>
    <t>The city is charged its appropriate share of schedule 10 transmission admin charges by CMMPA as a</t>
  </si>
  <si>
    <t>component of their transmission costs.  It is included in the city's purchased power costs on their financial</t>
  </si>
  <si>
    <t>statements.  Since this cost is not included in A&amp;G on the city's books, it would be inappropriate for schedule 10</t>
  </si>
  <si>
    <t>schedule 7</t>
  </si>
  <si>
    <t>schedule 8</t>
  </si>
  <si>
    <t>schedule 9</t>
  </si>
  <si>
    <t>Schedule</t>
  </si>
  <si>
    <t xml:space="preserve">  &lt;-- ties fo financial statements, Land + Capital Assets, page 7</t>
  </si>
  <si>
    <t xml:space="preserve">  &lt;-- ties fo financial statements, page 8</t>
  </si>
  <si>
    <t xml:space="preserve"> &lt;-- ties to financial statements, Salaries and Wages, page 30</t>
  </si>
  <si>
    <t>Peak Loads</t>
  </si>
  <si>
    <t>Load MW</t>
  </si>
  <si>
    <t xml:space="preserve">  average</t>
  </si>
  <si>
    <t>&lt;-- average of 12 coincident system peaks, MW</t>
  </si>
  <si>
    <t>&lt;-- current year network revenue</t>
  </si>
  <si>
    <t>Transmission Tariff Revenue - Schedule 9</t>
  </si>
  <si>
    <t>Transmission Tariff Revenue - Schedule 7 &amp; 8</t>
  </si>
  <si>
    <t>amort/discount</t>
  </si>
  <si>
    <t>&lt;-- current year electric interest and bond discount amortization expense</t>
  </si>
  <si>
    <t>CMMPA does invoice the city for a preparation fee of their attachment O.  That fee is booked as a</t>
  </si>
  <si>
    <t>The city has no RECB or other "cost shared" projects' costs reflected in its attachment O.</t>
  </si>
  <si>
    <t>The city has no current year GFA load or revenue included in their attachment O for current year data.</t>
  </si>
  <si>
    <t>&lt;-- current year non network revenue</t>
  </si>
  <si>
    <t>&lt;-- rent from transmission related electric property</t>
  </si>
  <si>
    <t>Taxes, Rents and Other</t>
  </si>
  <si>
    <t>**</t>
  </si>
  <si>
    <t xml:space="preserve"> **  ties to financial statements, page 7</t>
  </si>
  <si>
    <t xml:space="preserve">  ***</t>
  </si>
  <si>
    <t xml:space="preserve"> *** ties to financial statements, Current + Long Term Debt,page 8</t>
  </si>
  <si>
    <t>Blue Earth's share of CMMPA distribution of Brookings</t>
  </si>
  <si>
    <t>CapX (attachment MM revenue).  Blue Earth currently records</t>
  </si>
  <si>
    <t>this revenue as transmission revenue.  The underying asset</t>
  </si>
  <si>
    <t xml:space="preserve">CapX asset remains on CMMPA books, so there should be no </t>
  </si>
  <si>
    <t>net effect to Attachment O, page 4, line 33.</t>
  </si>
  <si>
    <t>Eq Rev 2016</t>
  </si>
  <si>
    <t>vacation</t>
  </si>
  <si>
    <t>sick time</t>
  </si>
  <si>
    <t>funeral/other</t>
  </si>
  <si>
    <t>holiday pay</t>
  </si>
  <si>
    <t>total</t>
  </si>
  <si>
    <t>Reconciliation</t>
  </si>
  <si>
    <t>January</t>
  </si>
  <si>
    <t>February</t>
  </si>
  <si>
    <t>March</t>
  </si>
  <si>
    <t>April</t>
  </si>
  <si>
    <t>May</t>
  </si>
  <si>
    <t>June</t>
  </si>
  <si>
    <t>July</t>
  </si>
  <si>
    <t>August</t>
  </si>
  <si>
    <t>September</t>
  </si>
  <si>
    <t>October</t>
  </si>
  <si>
    <t>November</t>
  </si>
  <si>
    <t>December</t>
  </si>
  <si>
    <t>Month</t>
  </si>
  <si>
    <t>560 – Operation Supervision and Engineering</t>
  </si>
  <si>
    <t>561 – Load Dispatching</t>
  </si>
  <si>
    <t>561.1 – Load Dispatch – Reliability</t>
  </si>
  <si>
    <t>561.2 – Load Dispatch – Monitor and Operate Transmission System</t>
  </si>
  <si>
    <t>561.3 – Load Dispatch – Transmission Service and Scheduling</t>
  </si>
  <si>
    <t>561.4 – Scheduling, System Control and Dispatch Services</t>
  </si>
  <si>
    <t>561.5 – Reliability, Planning and Standards Development</t>
  </si>
  <si>
    <t>561.6 – Transmission Service Studies</t>
  </si>
  <si>
    <t>561.7 – Generation Interconnection Studies</t>
  </si>
  <si>
    <t>561.8 – Reliability, Planning and Standards Development Service</t>
  </si>
  <si>
    <t>562 – Station Expenses</t>
  </si>
  <si>
    <t>563 – Overhead Lines Expenses</t>
  </si>
  <si>
    <t>564 – Underground Lines Expenses</t>
  </si>
  <si>
    <t>565 – Transmission of Electricity by Others</t>
  </si>
  <si>
    <t>566 – Miscellaneous Transmission Expenses</t>
  </si>
  <si>
    <t>567 – Rents</t>
  </si>
  <si>
    <t>OPERATIONS</t>
  </si>
  <si>
    <t>MAINTENANCE</t>
  </si>
  <si>
    <t>Total Operations</t>
  </si>
  <si>
    <t>568 – Maintenance Supervision and Engineering</t>
  </si>
  <si>
    <t>569 – Maintenance of Structures</t>
  </si>
  <si>
    <t>569.1 – Maintenance of Computer Hardware</t>
  </si>
  <si>
    <t>569.2 – Maintenance of Computer Software</t>
  </si>
  <si>
    <t>569.3 – Maintenance of Communication Equipment</t>
  </si>
  <si>
    <t>569.4 – Maintenance of Miscellaneous Regional Transmission Plant</t>
  </si>
  <si>
    <t>570 – Maintenance of Station Equipment</t>
  </si>
  <si>
    <t>571 – Maintenance of Overhead Lines</t>
  </si>
  <si>
    <t>572 – Maintenance of Underground Lines</t>
  </si>
  <si>
    <t>573 – Maintenance of Miscellaneous Transmission Plant</t>
  </si>
  <si>
    <t>Total Maintenance</t>
  </si>
  <si>
    <t>Total Transmission O&amp;M</t>
  </si>
  <si>
    <t>920 – Administrative and General Salaries</t>
  </si>
  <si>
    <t>921 – Office Supplies and Expenses</t>
  </si>
  <si>
    <t>922 – Administrative Expenses Transferred Credit</t>
  </si>
  <si>
    <t>923 – Outside Services Employed</t>
  </si>
  <si>
    <t>924 – Property Insurance</t>
  </si>
  <si>
    <t>925 – Injuries and Damages</t>
  </si>
  <si>
    <t>926 – Employee Pension and Benefits</t>
  </si>
  <si>
    <t>927 – Franchise Requirements</t>
  </si>
  <si>
    <t>928 – Regulatory Commission Expenses</t>
  </si>
  <si>
    <t>929 – Duplicate Charges Credit</t>
  </si>
  <si>
    <t>930.1 – General Advertising Expenses</t>
  </si>
  <si>
    <t>930.2 – Miscellaneous General Expenses</t>
  </si>
  <si>
    <t>931 – Rents</t>
  </si>
  <si>
    <t>935 – Maintenance of General Plant</t>
  </si>
  <si>
    <t>Total A&amp;G</t>
  </si>
  <si>
    <t>Reconciliation to Financial Statements</t>
  </si>
  <si>
    <t>Source:  financial statemetns, page 30</t>
  </si>
  <si>
    <t>Plus CIP</t>
  </si>
  <si>
    <t>Less Other Office Expenses</t>
  </si>
  <si>
    <t>Less Employee Benefits</t>
  </si>
  <si>
    <t>Less Insurance</t>
  </si>
  <si>
    <t>Less Other A&amp;G Salaries</t>
  </si>
  <si>
    <t>Less Other Outside Services</t>
  </si>
  <si>
    <t>Less Maintenance of General Plant</t>
  </si>
  <si>
    <t>Plus Bad Debt Expense</t>
  </si>
  <si>
    <t>Less Misc General Expenses</t>
  </si>
  <si>
    <t xml:space="preserve"> &lt;-- ties to financial statements, Total Administrative Expenses, page 31</t>
  </si>
  <si>
    <t>transmission held for future use</t>
  </si>
  <si>
    <t>For the 12 months ended 12/31/17</t>
  </si>
  <si>
    <t>Admin Fee</t>
  </si>
  <si>
    <t>Eq Rev 2017</t>
  </si>
  <si>
    <t>Line 11 includes $43,664 in customer late penalties, $217,523 in Transmission Tariff Revenue.</t>
  </si>
  <si>
    <t>Source:  financial statements, page 30</t>
  </si>
  <si>
    <t>Needs to be completed</t>
  </si>
  <si>
    <t>2017 Interest</t>
  </si>
  <si>
    <t xml:space="preserve"> ** ties to financial statements, page 9 and 21</t>
  </si>
  <si>
    <t>Production</t>
  </si>
  <si>
    <t>Distribution</t>
  </si>
  <si>
    <t>Other</t>
  </si>
  <si>
    <t>Admin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</si>
</sst>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2" formatCode="_(&quot;$&quot;* #,##0_);_(&quot;$&quot;* \(#,##0\);_(&quot;$&quot;*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quot;$&quot;* #,##0_);_(&quot;$&quot;* \(#,##0\);_(&quot;$&quot;* &quot;-&quot;??_);_(@_)"/>
    <numFmt numFmtId="174" formatCode="_(* #,##0_);_(* \(#,##0\);_(* &quot;-&quot;??_);_(@_)"/>
    <numFmt numFmtId="175" formatCode="&quot;$&quot;#,##0.00;\(&quot;$&quot;#,##0.00\)"/>
    <numFmt numFmtId="176" formatCode="0.0%"/>
    <numFmt numFmtId="177" formatCode="_(* #,##0.000_);_(* \(#,##0.000\);_(* &quot;-&quot;??_);_(@_)"/>
    <numFmt numFmtId="178" formatCode="&quot;$&quot;#,##0;\(&quot;$&quot;#,##0\)"/>
  </numFmts>
  <fonts count="39">
    <font>
      <sz val="12"/>
      <name val="Arial MT"/>
    </font>
    <font>
      <sz val="11"/>
      <color theme="1"/>
      <name val="Calibri"/>
      <family val="2"/>
      <scheme val="minor"/>
    </font>
    <font>
      <sz val="12"/>
      <name val="Times New Roman"/>
      <family val="1"/>
    </font>
    <font>
      <sz val="12"/>
      <color indexed="10"/>
      <name val="Times New Roman"/>
      <family val="1"/>
    </font>
    <font>
      <sz val="12"/>
      <color indexed="17"/>
      <name val="Times New Roman"/>
      <family val="1"/>
    </font>
    <font>
      <b/>
      <sz val="12"/>
      <name val="Times New Roman"/>
      <family val="1"/>
    </font>
    <font>
      <b/>
      <sz val="12"/>
      <color indexed="17"/>
      <name val="Times New Roman"/>
      <family val="1"/>
    </font>
    <font>
      <u/>
      <sz val="12"/>
      <color indexed="17"/>
      <name val="Times New Roman"/>
      <family val="1"/>
    </font>
    <font>
      <b/>
      <sz val="12"/>
      <color indexed="48"/>
      <name val="Times New Roman"/>
      <family val="1"/>
    </font>
    <font>
      <b/>
      <sz val="12"/>
      <color indexed="10"/>
      <name val="Times New Roman"/>
      <family val="1"/>
    </font>
    <font>
      <sz val="12"/>
      <color rgb="FFFF0000"/>
      <name val="Times New Roman"/>
      <family val="1"/>
    </font>
    <font>
      <sz val="12"/>
      <color rgb="FF0070C0"/>
      <name val="Times New Roman"/>
      <family val="1"/>
    </font>
    <font>
      <sz val="12"/>
      <name val="Arial MT"/>
    </font>
    <font>
      <sz val="10"/>
      <name val="Arial"/>
      <family val="2"/>
    </font>
    <font>
      <b/>
      <sz val="10"/>
      <name val="Arial"/>
      <family val="2"/>
    </font>
    <font>
      <sz val="10"/>
      <color indexed="12"/>
      <name val="Arial"/>
      <family val="2"/>
    </font>
    <font>
      <b/>
      <sz val="11"/>
      <name val="Arial"/>
      <family val="2"/>
    </font>
    <font>
      <b/>
      <sz val="12"/>
      <color indexed="12"/>
      <name val="Arial"/>
      <family val="2"/>
    </font>
    <font>
      <sz val="12"/>
      <name val="Arial"/>
      <family val="2"/>
    </font>
    <font>
      <sz val="10"/>
      <name val="Arial"/>
      <family val="2"/>
    </font>
    <font>
      <sz val="10"/>
      <color indexed="12"/>
      <name val="Arial"/>
      <family val="2"/>
    </font>
    <font>
      <sz val="10"/>
      <color indexed="10"/>
      <name val="Arial"/>
      <family val="2"/>
    </font>
    <font>
      <sz val="10"/>
      <color indexed="8"/>
      <name val="Arial"/>
      <family val="2"/>
    </font>
    <font>
      <b/>
      <sz val="12"/>
      <name val="Arial"/>
      <family val="2"/>
    </font>
    <font>
      <b/>
      <sz val="18"/>
      <name val="Arial"/>
      <family val="2"/>
    </font>
    <font>
      <b/>
      <sz val="8"/>
      <color rgb="FF000000"/>
      <name val="Arial"/>
      <family val="2"/>
    </font>
    <font>
      <b/>
      <sz val="12"/>
      <color indexed="12"/>
      <name val="Tahoma"/>
      <family val="2"/>
    </font>
    <font>
      <sz val="12"/>
      <name val="Tahoma"/>
      <family val="2"/>
    </font>
    <font>
      <sz val="10"/>
      <name val="Tahoma"/>
      <family val="2"/>
    </font>
    <font>
      <b/>
      <sz val="12"/>
      <name val="Tahoma"/>
      <family val="2"/>
    </font>
    <font>
      <b/>
      <u/>
      <sz val="12"/>
      <name val="Tahoma"/>
      <family val="2"/>
    </font>
    <font>
      <sz val="12"/>
      <color indexed="8"/>
      <name val="Tahoma"/>
      <family val="2"/>
    </font>
    <font>
      <sz val="12"/>
      <color theme="1"/>
      <name val="Tahoma"/>
      <family val="2"/>
    </font>
    <font>
      <b/>
      <sz val="12"/>
      <color indexed="8"/>
      <name val="Tahoma"/>
      <family val="2"/>
    </font>
    <font>
      <u/>
      <sz val="12"/>
      <name val="Arial MT"/>
    </font>
    <font>
      <b/>
      <u/>
      <sz val="12"/>
      <name val="Arial MT"/>
    </font>
    <font>
      <sz val="12"/>
      <color rgb="FFFF0000"/>
      <name val="Arial"/>
      <family val="2"/>
    </font>
    <font>
      <u/>
      <sz val="12"/>
      <name val="Tahoma"/>
      <family val="2"/>
    </font>
    <font>
      <b/>
      <sz val="12"/>
      <color theme="1"/>
      <name val="Tahoma"/>
      <family val="2"/>
    </font>
  </fonts>
  <fills count="12">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FF00"/>
        <bgColor indexed="64"/>
      </patternFill>
    </fill>
    <fill>
      <patternFill patternType="solid">
        <fgColor indexed="2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0" tint="-4.9989318521683403E-2"/>
        <bgColor indexed="64"/>
      </patternFill>
    </fill>
  </fills>
  <borders count="37">
    <border>
      <left/>
      <right/>
      <top/>
      <bottom/>
      <diagonal/>
    </border>
    <border>
      <left/>
      <right/>
      <top/>
      <bottom style="medium">
        <color indexed="64"/>
      </bottom>
      <diagonal/>
    </border>
    <border>
      <left/>
      <right/>
      <top/>
      <bottom style="double">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s>
  <cellStyleXfs count="19">
    <xf numFmtId="172" fontId="0" fillId="0" borderId="0" applyProtection="0"/>
    <xf numFmtId="9"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9" fillId="0" borderId="0"/>
    <xf numFmtId="44" fontId="19" fillId="0" borderId="0" applyFont="0" applyFill="0" applyBorder="0" applyAlignment="0" applyProtection="0"/>
    <xf numFmtId="0" fontId="22" fillId="0" borderId="0"/>
    <xf numFmtId="0" fontId="22" fillId="0" borderId="0"/>
    <xf numFmtId="44"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0" fontId="22" fillId="0" borderId="0"/>
    <xf numFmtId="0" fontId="1" fillId="0" borderId="0"/>
    <xf numFmtId="0" fontId="13" fillId="0" borderId="0"/>
    <xf numFmtId="43" fontId="13" fillId="0" borderId="0" applyFont="0" applyFill="0" applyBorder="0" applyAlignment="0" applyProtection="0"/>
  </cellStyleXfs>
  <cellXfs count="429">
    <xf numFmtId="172" fontId="0" fillId="0" borderId="0" xfId="0" applyAlignment="1"/>
    <xf numFmtId="172" fontId="2" fillId="0" borderId="0" xfId="0" applyFont="1" applyFill="1" applyAlignment="1" applyProtection="1"/>
    <xf numFmtId="170" fontId="2" fillId="0" borderId="0" xfId="0" applyNumberFormat="1" applyFont="1" applyFill="1" applyBorder="1" applyProtection="1"/>
    <xf numFmtId="170" fontId="2" fillId="2" borderId="0" xfId="0" applyNumberFormat="1" applyFont="1" applyFill="1" applyBorder="1" applyProtection="1"/>
    <xf numFmtId="170" fontId="2" fillId="0" borderId="0" xfId="0" applyNumberFormat="1" applyFont="1" applyFill="1" applyBorder="1" applyAlignment="1" applyProtection="1"/>
    <xf numFmtId="3" fontId="2" fillId="0" borderId="0" xfId="0" applyNumberFormat="1" applyFont="1" applyFill="1" applyAlignment="1" applyProtection="1"/>
    <xf numFmtId="172" fontId="2" fillId="0" borderId="0" xfId="0" applyFont="1" applyAlignment="1" applyProtection="1"/>
    <xf numFmtId="172" fontId="2" fillId="0" borderId="0" xfId="0" applyFont="1" applyAlignment="1" applyProtection="1">
      <alignment horizontal="right"/>
    </xf>
    <xf numFmtId="172" fontId="10" fillId="0" borderId="0" xfId="0" applyFont="1" applyBorder="1" applyAlignment="1" applyProtection="1">
      <alignment wrapText="1"/>
    </xf>
    <xf numFmtId="0" fontId="2" fillId="0" borderId="0" xfId="0" applyNumberFormat="1" applyFont="1" applyAlignment="1" applyProtection="1"/>
    <xf numFmtId="0" fontId="2" fillId="0" borderId="0" xfId="0" applyNumberFormat="1" applyFont="1" applyAlignment="1" applyProtection="1">
      <alignment horizontal="left"/>
    </xf>
    <xf numFmtId="0" fontId="2" fillId="0" borderId="0" xfId="0" applyNumberFormat="1" applyFont="1" applyProtection="1"/>
    <xf numFmtId="0" fontId="2" fillId="0" borderId="0" xfId="0" applyNumberFormat="1" applyFont="1" applyAlignment="1" applyProtection="1">
      <alignment horizontal="right"/>
    </xf>
    <xf numFmtId="0" fontId="2" fillId="0" borderId="0" xfId="0" applyNumberFormat="1" applyFont="1" applyAlignment="1" applyProtection="1">
      <alignment horizontal="center"/>
    </xf>
    <xf numFmtId="0" fontId="2" fillId="2" borderId="0" xfId="0" applyNumberFormat="1" applyFont="1" applyFill="1" applyProtection="1"/>
    <xf numFmtId="172" fontId="2" fillId="2" borderId="0" xfId="0" applyFont="1" applyFill="1" applyAlignment="1" applyProtection="1"/>
    <xf numFmtId="0" fontId="2" fillId="2" borderId="0" xfId="0" applyNumberFormat="1" applyFont="1" applyFill="1" applyAlignment="1" applyProtection="1">
      <alignment horizontal="right"/>
    </xf>
    <xf numFmtId="3" fontId="2" fillId="0" borderId="0" xfId="0" applyNumberFormat="1" applyFont="1" applyAlignment="1" applyProtection="1"/>
    <xf numFmtId="0" fontId="2" fillId="0" borderId="0" xfId="0" applyNumberFormat="1" applyFont="1" applyBorder="1" applyProtection="1"/>
    <xf numFmtId="172" fontId="2" fillId="0" borderId="0" xfId="0" applyFont="1" applyBorder="1" applyAlignment="1" applyProtection="1"/>
    <xf numFmtId="172" fontId="11" fillId="0" borderId="0" xfId="0" applyFont="1" applyBorder="1" applyAlignment="1" applyProtection="1">
      <alignment wrapText="1"/>
    </xf>
    <xf numFmtId="49" fontId="2" fillId="2" borderId="0" xfId="0" applyNumberFormat="1" applyFont="1" applyFill="1" applyProtection="1"/>
    <xf numFmtId="49" fontId="2" fillId="0" borderId="0" xfId="0" applyNumberFormat="1" applyFont="1" applyProtection="1"/>
    <xf numFmtId="0" fontId="2" fillId="0" borderId="1" xfId="0" applyNumberFormat="1" applyFont="1" applyBorder="1" applyAlignment="1" applyProtection="1">
      <alignment horizontal="center"/>
    </xf>
    <xf numFmtId="3" fontId="2" fillId="0" borderId="0" xfId="0" applyNumberFormat="1" applyFont="1" applyProtection="1"/>
    <xf numFmtId="42" fontId="2" fillId="0" borderId="0" xfId="0" applyNumberFormat="1" applyFont="1" applyProtection="1"/>
    <xf numFmtId="0" fontId="2" fillId="0" borderId="1" xfId="0" applyNumberFormat="1" applyFont="1" applyBorder="1" applyAlignment="1" applyProtection="1">
      <alignment horizontal="centerContinuous"/>
    </xf>
    <xf numFmtId="166" fontId="2" fillId="0" borderId="0" xfId="0" applyNumberFormat="1" applyFont="1" applyAlignment="1" applyProtection="1"/>
    <xf numFmtId="3" fontId="2" fillId="2" borderId="0" xfId="0" applyNumberFormat="1" applyFont="1" applyFill="1" applyProtection="1"/>
    <xf numFmtId="0" fontId="4" fillId="0" borderId="0" xfId="0" applyNumberFormat="1" applyFont="1" applyProtection="1"/>
    <xf numFmtId="3" fontId="2" fillId="0" borderId="1" xfId="0" applyNumberFormat="1" applyFont="1" applyBorder="1" applyAlignment="1" applyProtection="1"/>
    <xf numFmtId="3" fontId="2" fillId="0" borderId="0" xfId="0" applyNumberFormat="1" applyFont="1" applyAlignment="1" applyProtection="1">
      <alignment horizontal="fill"/>
    </xf>
    <xf numFmtId="3" fontId="2" fillId="3" borderId="0" xfId="0" applyNumberFormat="1" applyFont="1" applyFill="1" applyAlignment="1" applyProtection="1"/>
    <xf numFmtId="3" fontId="2" fillId="0" borderId="3" xfId="0" applyNumberFormat="1" applyFont="1" applyBorder="1" applyAlignment="1" applyProtection="1"/>
    <xf numFmtId="42" fontId="2" fillId="0" borderId="2" xfId="0" applyNumberFormat="1" applyFont="1" applyBorder="1" applyAlignment="1" applyProtection="1">
      <alignment horizontal="right"/>
    </xf>
    <xf numFmtId="172" fontId="4" fillId="0" borderId="0" xfId="0" applyFont="1" applyAlignment="1" applyProtection="1"/>
    <xf numFmtId="3" fontId="2" fillId="0" borderId="0" xfId="0" applyNumberFormat="1" applyFont="1" applyFill="1" applyBorder="1" applyProtection="1"/>
    <xf numFmtId="3" fontId="2" fillId="2" borderId="0" xfId="0" applyNumberFormat="1" applyFont="1" applyFill="1" applyBorder="1" applyProtection="1"/>
    <xf numFmtId="3" fontId="2" fillId="2" borderId="1" xfId="0" applyNumberFormat="1" applyFont="1" applyFill="1" applyBorder="1" applyProtection="1"/>
    <xf numFmtId="168" fontId="2" fillId="0" borderId="0" xfId="0" applyNumberFormat="1" applyFont="1" applyProtection="1"/>
    <xf numFmtId="168" fontId="2" fillId="0" borderId="0" xfId="0" applyNumberFormat="1" applyFont="1" applyAlignment="1" applyProtection="1">
      <alignment horizontal="center"/>
    </xf>
    <xf numFmtId="172" fontId="2" fillId="0" borderId="0" xfId="0" applyFont="1" applyAlignment="1" applyProtection="1">
      <alignment horizontal="center"/>
    </xf>
    <xf numFmtId="171" fontId="2" fillId="0" borderId="0" xfId="0" applyNumberFormat="1" applyFont="1" applyAlignment="1" applyProtection="1"/>
    <xf numFmtId="171" fontId="2" fillId="2" borderId="0" xfId="0" applyNumberFormat="1" applyFont="1" applyFill="1" applyProtection="1"/>
    <xf numFmtId="171" fontId="2" fillId="0" borderId="0" xfId="0" applyNumberFormat="1" applyFont="1" applyProtection="1"/>
    <xf numFmtId="49" fontId="2" fillId="0" borderId="0" xfId="0" applyNumberFormat="1" applyFont="1" applyAlignment="1" applyProtection="1">
      <alignment horizontal="left"/>
    </xf>
    <xf numFmtId="49" fontId="2" fillId="0" borderId="0" xfId="0" applyNumberFormat="1" applyFont="1" applyAlignment="1" applyProtection="1">
      <alignment horizontal="center"/>
    </xf>
    <xf numFmtId="3" fontId="5" fillId="0" borderId="0" xfId="0" applyNumberFormat="1" applyFont="1" applyAlignment="1" applyProtection="1">
      <alignment horizontal="center"/>
    </xf>
    <xf numFmtId="0" fontId="5" fillId="0" borderId="0" xfId="0" applyNumberFormat="1" applyFont="1" applyAlignment="1" applyProtection="1">
      <alignment horizontal="center"/>
    </xf>
    <xf numFmtId="0" fontId="5" fillId="0" borderId="0" xfId="0" applyNumberFormat="1" applyFont="1" applyAlignment="1" applyProtection="1"/>
    <xf numFmtId="172" fontId="5" fillId="0" borderId="0" xfId="0" applyFont="1" applyAlignment="1" applyProtection="1">
      <alignment horizontal="center"/>
    </xf>
    <xf numFmtId="3" fontId="5" fillId="0" borderId="0" xfId="0" applyNumberFormat="1" applyFont="1" applyAlignment="1" applyProtection="1"/>
    <xf numFmtId="3" fontId="2" fillId="2" borderId="0" xfId="0" applyNumberFormat="1" applyFont="1" applyFill="1" applyBorder="1" applyAlignment="1" applyProtection="1"/>
    <xf numFmtId="165" fontId="2" fillId="0" borderId="0" xfId="0" applyNumberFormat="1" applyFont="1" applyAlignment="1" applyProtection="1"/>
    <xf numFmtId="3" fontId="2" fillId="2" borderId="1" xfId="0" applyNumberFormat="1" applyFont="1" applyFill="1" applyBorder="1" applyAlignment="1" applyProtection="1"/>
    <xf numFmtId="164" fontId="2" fillId="0" borderId="0" xfId="0" applyNumberFormat="1" applyFont="1" applyAlignment="1" applyProtection="1">
      <alignment horizontal="center"/>
    </xf>
    <xf numFmtId="3" fontId="2" fillId="2" borderId="0" xfId="0" applyNumberFormat="1" applyFont="1" applyFill="1" applyAlignment="1" applyProtection="1"/>
    <xf numFmtId="0" fontId="2" fillId="0" borderId="0" xfId="0" applyNumberFormat="1" applyFont="1" applyAlignment="1" applyProtection="1">
      <alignment horizontal="fill"/>
    </xf>
    <xf numFmtId="165" fontId="2" fillId="0" borderId="0" xfId="0" applyNumberFormat="1" applyFont="1" applyAlignment="1" applyProtection="1">
      <alignment horizontal="right"/>
    </xf>
    <xf numFmtId="3" fontId="2" fillId="0" borderId="0" xfId="0" applyNumberFormat="1" applyFont="1" applyAlignment="1" applyProtection="1">
      <alignment horizontal="center"/>
    </xf>
    <xf numFmtId="172" fontId="2" fillId="0" borderId="1" xfId="0" applyFont="1" applyBorder="1" applyAlignment="1" applyProtection="1"/>
    <xf numFmtId="3" fontId="2" fillId="0" borderId="2" xfId="0" applyNumberFormat="1" applyFont="1" applyBorder="1" applyAlignment="1" applyProtection="1"/>
    <xf numFmtId="3" fontId="2" fillId="0" borderId="0" xfId="0" applyNumberFormat="1" applyFont="1" applyAlignment="1" applyProtection="1">
      <alignment horizontal="right"/>
    </xf>
    <xf numFmtId="0" fontId="2" fillId="0" borderId="0" xfId="0" applyNumberFormat="1" applyFont="1" applyFill="1" applyAlignment="1" applyProtection="1">
      <alignment horizontal="center"/>
    </xf>
    <xf numFmtId="0" fontId="2" fillId="0" borderId="0" xfId="0" applyNumberFormat="1" applyFont="1" applyFill="1" applyAlignment="1" applyProtection="1"/>
    <xf numFmtId="3" fontId="9" fillId="0" borderId="0" xfId="0" applyNumberFormat="1" applyFont="1" applyAlignment="1" applyProtection="1"/>
    <xf numFmtId="0" fontId="2" fillId="0" borderId="0" xfId="0" applyNumberFormat="1" applyFont="1" applyFill="1" applyAlignment="1" applyProtection="1">
      <alignment horizontal="fill"/>
    </xf>
    <xf numFmtId="3" fontId="2" fillId="0" borderId="0" xfId="0" applyNumberFormat="1" applyFont="1" applyAlignment="1" applyProtection="1">
      <alignment horizontal="left"/>
    </xf>
    <xf numFmtId="166" fontId="2" fillId="0" borderId="0" xfId="0" applyNumberFormat="1" applyFont="1" applyAlignment="1" applyProtection="1">
      <alignment horizontal="right"/>
    </xf>
    <xf numFmtId="10" fontId="2" fillId="0" borderId="0" xfId="0" applyNumberFormat="1" applyFont="1" applyAlignment="1" applyProtection="1">
      <alignment horizontal="left"/>
    </xf>
    <xf numFmtId="166" fontId="2" fillId="0" borderId="0" xfId="0" applyNumberFormat="1" applyFont="1" applyAlignment="1" applyProtection="1">
      <alignment horizontal="center"/>
    </xf>
    <xf numFmtId="164" fontId="2" fillId="0" borderId="0" xfId="0" applyNumberFormat="1" applyFont="1" applyAlignment="1" applyProtection="1">
      <alignment horizontal="left"/>
    </xf>
    <xf numFmtId="10" fontId="2" fillId="0" borderId="0" xfId="0" applyNumberFormat="1" applyFont="1" applyFill="1" applyAlignment="1" applyProtection="1">
      <alignment horizontal="right"/>
    </xf>
    <xf numFmtId="169" fontId="2" fillId="0" borderId="0" xfId="0" applyNumberFormat="1" applyFont="1" applyFill="1" applyAlignment="1" applyProtection="1">
      <alignment horizontal="right"/>
    </xf>
    <xf numFmtId="3" fontId="2" fillId="0" borderId="0" xfId="0" applyNumberFormat="1" applyFont="1" applyFill="1" applyAlignment="1" applyProtection="1">
      <alignment horizontal="right"/>
    </xf>
    <xf numFmtId="167" fontId="2" fillId="0" borderId="0" xfId="0" applyNumberFormat="1" applyFont="1" applyAlignment="1" applyProtection="1"/>
    <xf numFmtId="3" fontId="2" fillId="0" borderId="0" xfId="0" applyNumberFormat="1" applyFont="1" applyBorder="1" applyAlignment="1" applyProtection="1"/>
    <xf numFmtId="0" fontId="2" fillId="2" borderId="0" xfId="0" applyNumberFormat="1" applyFont="1" applyFill="1" applyBorder="1" applyAlignment="1" applyProtection="1"/>
    <xf numFmtId="0" fontId="2" fillId="2" borderId="1" xfId="0" applyNumberFormat="1" applyFont="1" applyFill="1" applyBorder="1" applyAlignment="1" applyProtection="1"/>
    <xf numFmtId="3" fontId="2" fillId="0" borderId="2" xfId="0" applyNumberFormat="1" applyFont="1" applyFill="1" applyBorder="1" applyAlignment="1" applyProtection="1"/>
    <xf numFmtId="0" fontId="2" fillId="0" borderId="0" xfId="0" applyNumberFormat="1" applyFont="1" applyFill="1" applyProtection="1"/>
    <xf numFmtId="0" fontId="3" fillId="0" borderId="0" xfId="0" applyNumberFormat="1" applyFont="1" applyAlignment="1" applyProtection="1">
      <alignment horizontal="center"/>
    </xf>
    <xf numFmtId="172" fontId="3" fillId="0" borderId="0" xfId="0" applyFont="1" applyAlignment="1" applyProtection="1"/>
    <xf numFmtId="3" fontId="3" fillId="0" borderId="0" xfId="0" applyNumberFormat="1" applyFont="1" applyAlignment="1" applyProtection="1"/>
    <xf numFmtId="0" fontId="3" fillId="0" borderId="0" xfId="0" applyNumberFormat="1" applyFont="1" applyProtection="1"/>
    <xf numFmtId="0" fontId="6" fillId="0" borderId="0" xfId="0" applyNumberFormat="1" applyFont="1" applyProtection="1"/>
    <xf numFmtId="0" fontId="2" fillId="0" borderId="1" xfId="0" applyNumberFormat="1" applyFont="1" applyBorder="1" applyProtection="1"/>
    <xf numFmtId="49" fontId="2" fillId="0" borderId="0" xfId="0" applyNumberFormat="1" applyFont="1" applyAlignment="1" applyProtection="1"/>
    <xf numFmtId="172" fontId="2" fillId="0" borderId="0" xfId="0" applyFont="1" applyFill="1" applyBorder="1" applyAlignment="1" applyProtection="1"/>
    <xf numFmtId="172" fontId="8" fillId="0" borderId="0" xfId="0" applyFont="1" applyFill="1" applyBorder="1" applyAlignment="1" applyProtection="1"/>
    <xf numFmtId="3" fontId="4" fillId="0" borderId="0" xfId="0" applyNumberFormat="1" applyFont="1" applyFill="1" applyBorder="1" applyAlignment="1" applyProtection="1"/>
    <xf numFmtId="0" fontId="2" fillId="0" borderId="0" xfId="0" applyNumberFormat="1" applyFont="1" applyFill="1" applyBorder="1" applyProtection="1"/>
    <xf numFmtId="3" fontId="2" fillId="0" borderId="0" xfId="0" applyNumberFormat="1" applyFont="1" applyFill="1" applyBorder="1" applyAlignment="1" applyProtection="1"/>
    <xf numFmtId="0" fontId="2" fillId="0" borderId="0" xfId="0" applyNumberFormat="1" applyFont="1" applyFill="1" applyBorder="1" applyAlignment="1" applyProtection="1"/>
    <xf numFmtId="172" fontId="4" fillId="0" borderId="0" xfId="0" applyFont="1" applyFill="1" applyBorder="1" applyAlignment="1" applyProtection="1"/>
    <xf numFmtId="0" fontId="2" fillId="0" borderId="0" xfId="0" applyNumberFormat="1" applyFont="1" applyFill="1" applyBorder="1" applyAlignment="1" applyProtection="1">
      <alignment horizontal="center"/>
    </xf>
    <xf numFmtId="172" fontId="7" fillId="0" borderId="0" xfId="0" applyFont="1" applyFill="1" applyBorder="1" applyProtection="1"/>
    <xf numFmtId="165" fontId="2" fillId="0" borderId="0" xfId="0" applyNumberFormat="1" applyFont="1" applyProtection="1"/>
    <xf numFmtId="172" fontId="4" fillId="0" borderId="0" xfId="0" applyFont="1" applyFill="1" applyBorder="1" applyProtection="1"/>
    <xf numFmtId="166" fontId="2" fillId="0" borderId="0" xfId="0" applyNumberFormat="1" applyFont="1" applyProtection="1"/>
    <xf numFmtId="3" fontId="2" fillId="0" borderId="1" xfId="0" applyNumberFormat="1" applyFont="1" applyBorder="1" applyAlignment="1" applyProtection="1">
      <alignment horizontal="center"/>
    </xf>
    <xf numFmtId="4" fontId="2" fillId="0" borderId="0" xfId="0" applyNumberFormat="1" applyFont="1" applyAlignment="1" applyProtection="1"/>
    <xf numFmtId="3" fontId="2" fillId="0" borderId="0" xfId="0" applyNumberFormat="1" applyFont="1" applyBorder="1" applyAlignment="1" applyProtection="1">
      <alignment horizontal="center"/>
    </xf>
    <xf numFmtId="0" fontId="2" fillId="0" borderId="1" xfId="0" applyNumberFormat="1" applyFont="1" applyBorder="1" applyAlignment="1" applyProtection="1"/>
    <xf numFmtId="170" fontId="2" fillId="2" borderId="0" xfId="0" applyNumberFormat="1" applyFont="1" applyFill="1" applyAlignment="1" applyProtection="1"/>
    <xf numFmtId="9" fontId="2" fillId="0" borderId="0" xfId="0" applyNumberFormat="1" applyFont="1" applyAlignment="1" applyProtection="1"/>
    <xf numFmtId="169" fontId="2" fillId="0" borderId="0" xfId="0" applyNumberFormat="1" applyFont="1" applyAlignment="1" applyProtection="1"/>
    <xf numFmtId="10" fontId="2" fillId="0" borderId="0" xfId="0" applyNumberFormat="1" applyFont="1" applyAlignment="1" applyProtection="1"/>
    <xf numFmtId="3" fontId="2" fillId="0" borderId="0" xfId="0" quotePrefix="1" applyNumberFormat="1" applyFont="1" applyAlignment="1" applyProtection="1"/>
    <xf numFmtId="9" fontId="2" fillId="0" borderId="1" xfId="0" applyNumberFormat="1" applyFont="1" applyBorder="1" applyAlignment="1" applyProtection="1"/>
    <xf numFmtId="169" fontId="2" fillId="0" borderId="1" xfId="0" applyNumberFormat="1" applyFont="1" applyBorder="1" applyAlignment="1" applyProtection="1"/>
    <xf numFmtId="9" fontId="2" fillId="0" borderId="0" xfId="0" applyNumberFormat="1" applyFont="1" applyFill="1" applyAlignment="1" applyProtection="1"/>
    <xf numFmtId="172" fontId="2" fillId="0" borderId="4" xfId="0" applyFont="1" applyBorder="1" applyAlignment="1" applyProtection="1"/>
    <xf numFmtId="172" fontId="2" fillId="0" borderId="5" xfId="0" applyFont="1" applyBorder="1" applyAlignment="1" applyProtection="1"/>
    <xf numFmtId="172" fontId="2" fillId="0" borderId="6" xfId="0" applyFont="1" applyBorder="1" applyAlignment="1" applyProtection="1"/>
    <xf numFmtId="10" fontId="2" fillId="2" borderId="0" xfId="0" applyNumberFormat="1" applyFont="1" applyFill="1" applyAlignment="1" applyProtection="1"/>
    <xf numFmtId="172" fontId="2" fillId="0" borderId="7" xfId="0" applyFont="1" applyBorder="1" applyAlignment="1" applyProtection="1"/>
    <xf numFmtId="172" fontId="2" fillId="0" borderId="8" xfId="0" applyFont="1" applyBorder="1" applyAlignment="1" applyProtection="1"/>
    <xf numFmtId="10" fontId="11" fillId="4" borderId="8" xfId="1" applyNumberFormat="1" applyFont="1" applyFill="1" applyBorder="1" applyAlignment="1" applyProtection="1"/>
    <xf numFmtId="172" fontId="2" fillId="0" borderId="9" xfId="0" applyFont="1" applyBorder="1" applyAlignment="1" applyProtection="1"/>
    <xf numFmtId="172" fontId="2" fillId="0" borderId="10" xfId="0" applyFont="1" applyBorder="1" applyAlignment="1" applyProtection="1"/>
    <xf numFmtId="172" fontId="2" fillId="0" borderId="11" xfId="0" applyFont="1" applyBorder="1" applyAlignment="1" applyProtection="1"/>
    <xf numFmtId="171" fontId="2" fillId="0" borderId="0" xfId="0" applyNumberFormat="1" applyFont="1" applyBorder="1" applyProtection="1"/>
    <xf numFmtId="170" fontId="2" fillId="2" borderId="0" xfId="0" applyNumberFormat="1" applyFont="1" applyFill="1" applyBorder="1" applyAlignment="1" applyProtection="1"/>
    <xf numFmtId="3" fontId="4" fillId="0" borderId="0" xfId="0" applyNumberFormat="1" applyFont="1" applyAlignment="1" applyProtection="1">
      <alignment horizontal="left"/>
    </xf>
    <xf numFmtId="0" fontId="2" fillId="0" borderId="0" xfId="0" applyNumberFormat="1" applyFont="1" applyBorder="1" applyAlignment="1" applyProtection="1"/>
    <xf numFmtId="0" fontId="2" fillId="0" borderId="1" xfId="0" applyNumberFormat="1" applyFont="1" applyFill="1" applyBorder="1" applyAlignment="1" applyProtection="1"/>
    <xf numFmtId="0" fontId="2" fillId="0" borderId="1" xfId="0" applyNumberFormat="1" applyFont="1" applyFill="1" applyBorder="1" applyProtection="1"/>
    <xf numFmtId="170" fontId="2" fillId="2" borderId="1" xfId="0" applyNumberFormat="1" applyFont="1" applyFill="1" applyBorder="1" applyAlignment="1" applyProtection="1"/>
    <xf numFmtId="172" fontId="2" fillId="0" borderId="0" xfId="0" applyNumberFormat="1" applyFont="1" applyAlignment="1" applyProtection="1"/>
    <xf numFmtId="0" fontId="3" fillId="0" borderId="0" xfId="0" applyNumberFormat="1" applyFont="1" applyAlignment="1" applyProtection="1"/>
    <xf numFmtId="170" fontId="2" fillId="0" borderId="0" xfId="0" applyNumberFormat="1" applyFont="1" applyAlignment="1" applyProtection="1">
      <alignment horizontal="right"/>
    </xf>
    <xf numFmtId="170" fontId="2" fillId="0" borderId="0" xfId="0" applyNumberFormat="1" applyFont="1" applyProtection="1"/>
    <xf numFmtId="0" fontId="2" fillId="0" borderId="0" xfId="0" applyNumberFormat="1" applyFont="1" applyAlignment="1" applyProtection="1">
      <alignment horizontal="left" indent="8"/>
    </xf>
    <xf numFmtId="0" fontId="2" fillId="0" borderId="0" xfId="0" applyNumberFormat="1" applyFont="1" applyAlignment="1" applyProtection="1">
      <alignment horizontal="center" vertical="top" wrapText="1"/>
    </xf>
    <xf numFmtId="0" fontId="2" fillId="0" borderId="0" xfId="0" applyNumberFormat="1" applyFont="1" applyFill="1" applyAlignment="1" applyProtection="1">
      <alignment horizontal="left" vertical="top" wrapText="1" indent="8"/>
    </xf>
    <xf numFmtId="0" fontId="2" fillId="0" borderId="0" xfId="0" applyNumberFormat="1" applyFont="1" applyFill="1" applyAlignment="1" applyProtection="1">
      <alignment vertical="top" wrapText="1"/>
    </xf>
    <xf numFmtId="10" fontId="2" fillId="2" borderId="0" xfId="0" applyNumberFormat="1" applyFont="1" applyFill="1" applyAlignment="1" applyProtection="1">
      <alignment vertical="top" wrapText="1"/>
    </xf>
    <xf numFmtId="3" fontId="2" fillId="0" borderId="0" xfId="0" applyNumberFormat="1" applyFont="1" applyAlignment="1" applyProtection="1">
      <alignment vertical="top" wrapText="1"/>
    </xf>
    <xf numFmtId="0" fontId="2" fillId="0" borderId="0" xfId="0" applyNumberFormat="1" applyFont="1" applyAlignment="1" applyProtection="1">
      <alignment vertical="top" wrapText="1"/>
    </xf>
    <xf numFmtId="0" fontId="4" fillId="0" borderId="0" xfId="0" applyNumberFormat="1" applyFont="1" applyFill="1" applyAlignment="1" applyProtection="1">
      <alignment horizontal="left"/>
    </xf>
    <xf numFmtId="172" fontId="2" fillId="0" borderId="0" xfId="0" applyFont="1" applyAlignment="1" applyProtection="1">
      <alignment horizontal="center" vertical="top" wrapText="1"/>
    </xf>
    <xf numFmtId="172" fontId="2" fillId="0" borderId="0" xfId="0" applyFont="1" applyFill="1" applyAlignment="1" applyProtection="1">
      <alignment horizontal="center" vertical="top" wrapText="1"/>
    </xf>
    <xf numFmtId="0" fontId="2" fillId="0" borderId="0" xfId="0" applyNumberFormat="1" applyFont="1" applyFill="1" applyAlignment="1" applyProtection="1">
      <alignment horizontal="left" vertical="top"/>
    </xf>
    <xf numFmtId="0" fontId="3" fillId="0" borderId="0" xfId="0" applyNumberFormat="1" applyFont="1" applyAlignment="1" applyProtection="1">
      <alignment vertical="top" wrapText="1"/>
    </xf>
    <xf numFmtId="0" fontId="2" fillId="0" borderId="0" xfId="0" applyNumberFormat="1" applyFont="1" applyFill="1" applyAlignment="1" applyProtection="1">
      <alignment vertical="top"/>
    </xf>
    <xf numFmtId="172" fontId="0" fillId="0" borderId="0" xfId="0" applyFont="1" applyAlignment="1" applyProtection="1">
      <alignment horizontal="center"/>
    </xf>
    <xf numFmtId="0" fontId="2" fillId="0" borderId="0" xfId="0" applyNumberFormat="1" applyFont="1" applyAlignment="1" applyProtection="1">
      <alignment horizontal="center" wrapText="1"/>
    </xf>
    <xf numFmtId="0" fontId="13" fillId="0" borderId="0" xfId="4"/>
    <xf numFmtId="0" fontId="13" fillId="0" borderId="0" xfId="4" applyBorder="1"/>
    <xf numFmtId="37" fontId="13" fillId="0" borderId="0" xfId="4" applyNumberFormat="1" applyBorder="1"/>
    <xf numFmtId="43" fontId="0" fillId="0" borderId="0" xfId="5" applyFont="1" applyBorder="1"/>
    <xf numFmtId="37" fontId="0" fillId="0" borderId="0" xfId="5" applyNumberFormat="1" applyFont="1" applyBorder="1"/>
    <xf numFmtId="0" fontId="14" fillId="0" borderId="13" xfId="4" applyFont="1" applyBorder="1"/>
    <xf numFmtId="0" fontId="13" fillId="0" borderId="15" xfId="4" applyBorder="1" applyAlignment="1">
      <alignment horizontal="center"/>
    </xf>
    <xf numFmtId="0" fontId="13" fillId="0" borderId="16" xfId="4" applyBorder="1"/>
    <xf numFmtId="0" fontId="13" fillId="0" borderId="16" xfId="4" applyBorder="1" applyAlignment="1">
      <alignment horizontal="center"/>
    </xf>
    <xf numFmtId="0" fontId="14" fillId="0" borderId="16" xfId="4" applyFont="1" applyBorder="1"/>
    <xf numFmtId="0" fontId="13" fillId="0" borderId="11" xfId="4" applyBorder="1" applyAlignment="1">
      <alignment horizontal="center"/>
    </xf>
    <xf numFmtId="0" fontId="14" fillId="0" borderId="17" xfId="4" applyFont="1" applyBorder="1"/>
    <xf numFmtId="0" fontId="13" fillId="0" borderId="18" xfId="4" applyBorder="1" applyAlignment="1">
      <alignment horizontal="center"/>
    </xf>
    <xf numFmtId="174" fontId="15" fillId="0" borderId="16" xfId="5" applyNumberFormat="1" applyFont="1" applyBorder="1"/>
    <xf numFmtId="0" fontId="13" fillId="0" borderId="19" xfId="4" applyBorder="1" applyAlignment="1">
      <alignment horizontal="center"/>
    </xf>
    <xf numFmtId="0" fontId="13" fillId="0" borderId="19" xfId="4" applyBorder="1" applyAlignment="1">
      <alignment horizontal="left" indent="1"/>
    </xf>
    <xf numFmtId="0" fontId="13" fillId="0" borderId="16" xfId="4" applyBorder="1" applyAlignment="1">
      <alignment horizontal="left" indent="1"/>
    </xf>
    <xf numFmtId="0" fontId="13" fillId="0" borderId="16" xfId="4" applyFill="1" applyBorder="1" applyAlignment="1">
      <alignment horizontal="center"/>
    </xf>
    <xf numFmtId="174" fontId="15" fillId="0" borderId="19" xfId="5" applyNumberFormat="1" applyFont="1" applyBorder="1"/>
    <xf numFmtId="0" fontId="13" fillId="0" borderId="19" xfId="4" applyBorder="1"/>
    <xf numFmtId="0" fontId="13" fillId="0" borderId="19" xfId="4" applyFill="1" applyBorder="1" applyAlignment="1">
      <alignment horizontal="center"/>
    </xf>
    <xf numFmtId="0" fontId="13" fillId="0" borderId="16" xfId="4" applyFill="1" applyBorder="1"/>
    <xf numFmtId="0" fontId="14" fillId="0" borderId="16" xfId="4" applyFont="1" applyBorder="1" applyAlignment="1">
      <alignment horizontal="center"/>
    </xf>
    <xf numFmtId="0" fontId="13" fillId="0" borderId="18" xfId="4" applyFill="1" applyBorder="1" applyAlignment="1">
      <alignment horizontal="center"/>
    </xf>
    <xf numFmtId="0" fontId="13" fillId="0" borderId="18" xfId="4" applyBorder="1"/>
    <xf numFmtId="0" fontId="13" fillId="0" borderId="18" xfId="4" applyFill="1" applyBorder="1"/>
    <xf numFmtId="37" fontId="0" fillId="0" borderId="16" xfId="5" applyNumberFormat="1" applyFont="1" applyBorder="1"/>
    <xf numFmtId="0" fontId="14" fillId="0" borderId="21" xfId="4" applyFont="1" applyBorder="1"/>
    <xf numFmtId="0" fontId="13" fillId="0" borderId="8" xfId="4" applyBorder="1" applyAlignment="1">
      <alignment horizontal="center"/>
    </xf>
    <xf numFmtId="0" fontId="14" fillId="0" borderId="20" xfId="4" applyFont="1" applyBorder="1"/>
    <xf numFmtId="0" fontId="13" fillId="0" borderId="5" xfId="4" applyBorder="1" applyAlignment="1">
      <alignment horizontal="center"/>
    </xf>
    <xf numFmtId="0" fontId="13" fillId="0" borderId="7" xfId="4" applyBorder="1"/>
    <xf numFmtId="0" fontId="13" fillId="0" borderId="20" xfId="4" applyFill="1" applyBorder="1" applyAlignment="1">
      <alignment horizontal="center"/>
    </xf>
    <xf numFmtId="0" fontId="14" fillId="0" borderId="23" xfId="4" applyFont="1" applyFill="1" applyBorder="1"/>
    <xf numFmtId="173" fontId="15" fillId="0" borderId="19" xfId="6" applyNumberFormat="1" applyFont="1" applyBorder="1"/>
    <xf numFmtId="43" fontId="0" fillId="0" borderId="20" xfId="5" applyFont="1" applyBorder="1"/>
    <xf numFmtId="0" fontId="14" fillId="0" borderId="20" xfId="4" applyFont="1" applyBorder="1" applyAlignment="1">
      <alignment horizontal="center"/>
    </xf>
    <xf numFmtId="0" fontId="13" fillId="0" borderId="20" xfId="4" applyBorder="1" applyAlignment="1">
      <alignment horizontal="center"/>
    </xf>
    <xf numFmtId="0" fontId="13" fillId="0" borderId="8" xfId="4" applyBorder="1"/>
    <xf numFmtId="37" fontId="13" fillId="0" borderId="0" xfId="4" applyNumberFormat="1"/>
    <xf numFmtId="173" fontId="14" fillId="0" borderId="24" xfId="6" applyNumberFormat="1" applyFont="1" applyBorder="1"/>
    <xf numFmtId="0" fontId="14" fillId="0" borderId="25" xfId="4" applyFont="1" applyBorder="1"/>
    <xf numFmtId="0" fontId="13" fillId="0" borderId="26" xfId="4" applyBorder="1" applyAlignment="1">
      <alignment horizontal="center"/>
    </xf>
    <xf numFmtId="174" fontId="15" fillId="0" borderId="8" xfId="5" applyNumberFormat="1" applyFont="1" applyBorder="1"/>
    <xf numFmtId="174" fontId="15" fillId="0" borderId="11" xfId="5" applyNumberFormat="1" applyFont="1" applyBorder="1"/>
    <xf numFmtId="0" fontId="13" fillId="0" borderId="11" xfId="4" applyBorder="1"/>
    <xf numFmtId="174" fontId="14" fillId="0" borderId="27" xfId="5" applyNumberFormat="1" applyFont="1" applyBorder="1"/>
    <xf numFmtId="0" fontId="13" fillId="0" borderId="25" xfId="4" applyBorder="1"/>
    <xf numFmtId="0" fontId="19" fillId="0" borderId="25" xfId="4" applyFont="1" applyBorder="1"/>
    <xf numFmtId="0" fontId="19" fillId="0" borderId="26" xfId="4" applyFont="1" applyBorder="1" applyAlignment="1">
      <alignment horizontal="center"/>
    </xf>
    <xf numFmtId="0" fontId="13" fillId="0" borderId="22" xfId="4" applyBorder="1"/>
    <xf numFmtId="0" fontId="13" fillId="0" borderId="6" xfId="4" applyBorder="1" applyAlignment="1">
      <alignment horizontal="center"/>
    </xf>
    <xf numFmtId="0" fontId="13" fillId="0" borderId="6" xfId="4" applyBorder="1"/>
    <xf numFmtId="0" fontId="13" fillId="0" borderId="20" xfId="4" applyBorder="1"/>
    <xf numFmtId="0" fontId="16" fillId="0" borderId="0" xfId="4" applyFont="1" applyBorder="1" applyAlignment="1">
      <alignment horizontal="left"/>
    </xf>
    <xf numFmtId="0" fontId="13" fillId="0" borderId="0" xfId="4" applyAlignment="1">
      <alignment horizontal="left"/>
    </xf>
    <xf numFmtId="14" fontId="18" fillId="0" borderId="0" xfId="4" applyNumberFormat="1" applyFont="1" applyAlignment="1">
      <alignment horizontal="left"/>
    </xf>
    <xf numFmtId="0" fontId="18" fillId="0" borderId="0" xfId="4" applyFont="1" applyAlignment="1">
      <alignment horizontal="left"/>
    </xf>
    <xf numFmtId="173" fontId="14" fillId="0" borderId="26" xfId="6" applyNumberFormat="1" applyFont="1" applyBorder="1"/>
    <xf numFmtId="173" fontId="14" fillId="0" borderId="28" xfId="6" applyNumberFormat="1" applyFont="1" applyBorder="1"/>
    <xf numFmtId="174" fontId="14" fillId="0" borderId="20" xfId="5" applyNumberFormat="1" applyFont="1" applyBorder="1"/>
    <xf numFmtId="174" fontId="20" fillId="0" borderId="20" xfId="5" applyNumberFormat="1" applyFont="1" applyBorder="1"/>
    <xf numFmtId="37" fontId="14" fillId="0" borderId="19" xfId="4" applyNumberFormat="1" applyFont="1" applyBorder="1"/>
    <xf numFmtId="0" fontId="14" fillId="0" borderId="18" xfId="4" applyFont="1" applyBorder="1"/>
    <xf numFmtId="174" fontId="14" fillId="0" borderId="18" xfId="5" applyNumberFormat="1" applyFont="1" applyBorder="1"/>
    <xf numFmtId="174" fontId="20" fillId="0" borderId="18" xfId="5" applyNumberFormat="1" applyFont="1" applyBorder="1"/>
    <xf numFmtId="173" fontId="14" fillId="0" borderId="19" xfId="6" applyNumberFormat="1" applyFont="1" applyBorder="1"/>
    <xf numFmtId="173" fontId="14" fillId="0" borderId="18" xfId="6" applyNumberFormat="1" applyFont="1" applyBorder="1"/>
    <xf numFmtId="173" fontId="0" fillId="0" borderId="18" xfId="6" applyNumberFormat="1" applyFont="1" applyBorder="1"/>
    <xf numFmtId="173" fontId="15" fillId="0" borderId="18" xfId="6" applyNumberFormat="1" applyFont="1" applyBorder="1"/>
    <xf numFmtId="37" fontId="15" fillId="0" borderId="11" xfId="4" applyNumberFormat="1" applyFont="1" applyBorder="1"/>
    <xf numFmtId="37" fontId="13" fillId="0" borderId="10" xfId="4" applyNumberFormat="1" applyBorder="1"/>
    <xf numFmtId="0" fontId="13" fillId="0" borderId="9" xfId="4" applyBorder="1"/>
    <xf numFmtId="173" fontId="14" fillId="0" borderId="27" xfId="6" applyNumberFormat="1" applyFont="1" applyBorder="1"/>
    <xf numFmtId="173" fontId="14" fillId="0" borderId="25" xfId="6" applyNumberFormat="1" applyFont="1" applyBorder="1"/>
    <xf numFmtId="0" fontId="13" fillId="0" borderId="10" xfId="4" applyBorder="1" applyAlignment="1">
      <alignment horizontal="left" indent="1"/>
    </xf>
    <xf numFmtId="37" fontId="13" fillId="0" borderId="8" xfId="4" applyNumberFormat="1" applyBorder="1"/>
    <xf numFmtId="174" fontId="0" fillId="0" borderId="11" xfId="5" applyNumberFormat="1" applyFont="1" applyBorder="1"/>
    <xf numFmtId="0" fontId="13" fillId="0" borderId="11" xfId="4" applyBorder="1" applyAlignment="1">
      <alignment horizontal="left" indent="1"/>
    </xf>
    <xf numFmtId="174" fontId="0" fillId="0" borderId="8" xfId="5" applyNumberFormat="1" applyFont="1" applyBorder="1"/>
    <xf numFmtId="0" fontId="13" fillId="0" borderId="29" xfId="4" applyBorder="1"/>
    <xf numFmtId="174" fontId="13" fillId="0" borderId="8" xfId="5" applyNumberFormat="1" applyFont="1" applyBorder="1"/>
    <xf numFmtId="174" fontId="13" fillId="0" borderId="22" xfId="5" applyNumberFormat="1" applyFont="1" applyBorder="1"/>
    <xf numFmtId="0" fontId="13" fillId="0" borderId="29" xfId="4" applyFill="1" applyBorder="1"/>
    <xf numFmtId="174" fontId="13" fillId="0" borderId="11" xfId="5" applyNumberFormat="1" applyFont="1" applyBorder="1"/>
    <xf numFmtId="0" fontId="13" fillId="0" borderId="10" xfId="4" applyFill="1" applyBorder="1" applyAlignment="1">
      <alignment horizontal="left" indent="1"/>
    </xf>
    <xf numFmtId="0" fontId="13" fillId="0" borderId="0" xfId="4" applyFill="1" applyBorder="1"/>
    <xf numFmtId="0" fontId="13" fillId="0" borderId="10" xfId="4" applyBorder="1"/>
    <xf numFmtId="173" fontId="13" fillId="0" borderId="11" xfId="6" applyNumberFormat="1" applyFont="1" applyBorder="1"/>
    <xf numFmtId="173" fontId="15" fillId="0" borderId="11" xfId="6" applyNumberFormat="1" applyFont="1" applyBorder="1"/>
    <xf numFmtId="37" fontId="13" fillId="0" borderId="20" xfId="4" applyNumberFormat="1" applyBorder="1"/>
    <xf numFmtId="14" fontId="18" fillId="0" borderId="0" xfId="4" applyNumberFormat="1" applyFont="1" applyAlignment="1">
      <alignment horizontal="center"/>
    </xf>
    <xf numFmtId="0" fontId="18" fillId="0" borderId="0" xfId="4" applyFont="1" applyAlignment="1">
      <alignment horizontal="center"/>
    </xf>
    <xf numFmtId="172" fontId="0" fillId="0" borderId="0" xfId="0"/>
    <xf numFmtId="14" fontId="17" fillId="0" borderId="0" xfId="4" applyNumberFormat="1" applyFont="1" applyAlignment="1">
      <alignment horizontal="center"/>
    </xf>
    <xf numFmtId="0" fontId="19" fillId="0" borderId="0" xfId="7"/>
    <xf numFmtId="0" fontId="19" fillId="0" borderId="0" xfId="7" applyAlignment="1">
      <alignment horizontal="center"/>
    </xf>
    <xf numFmtId="0" fontId="19" fillId="0" borderId="0" xfId="7" applyAlignment="1"/>
    <xf numFmtId="0" fontId="21" fillId="0" borderId="0" xfId="7" applyFont="1"/>
    <xf numFmtId="0" fontId="24" fillId="0" borderId="0" xfId="7" applyFont="1"/>
    <xf numFmtId="0" fontId="14" fillId="0" borderId="0" xfId="7" applyFont="1"/>
    <xf numFmtId="0" fontId="19" fillId="0" borderId="0" xfId="7" applyAlignment="1">
      <alignment horizontal="left" indent="1"/>
    </xf>
    <xf numFmtId="173" fontId="0" fillId="0" borderId="0" xfId="8" applyNumberFormat="1" applyFont="1"/>
    <xf numFmtId="0" fontId="19" fillId="0" borderId="0" xfId="7" applyFill="1"/>
    <xf numFmtId="0" fontId="25" fillId="0" borderId="0" xfId="7" applyFont="1" applyFill="1"/>
    <xf numFmtId="0" fontId="19" fillId="0" borderId="0" xfId="7" applyFill="1" applyAlignment="1">
      <alignment horizontal="center"/>
    </xf>
    <xf numFmtId="0" fontId="19" fillId="0" borderId="0" xfId="4" applyFont="1"/>
    <xf numFmtId="172" fontId="19" fillId="0" borderId="0" xfId="0" applyFont="1" applyFill="1"/>
    <xf numFmtId="172" fontId="0" fillId="0" borderId="0" xfId="0" applyFill="1"/>
    <xf numFmtId="0" fontId="19" fillId="0" borderId="0" xfId="4" applyFont="1" applyBorder="1"/>
    <xf numFmtId="0" fontId="18" fillId="0" borderId="0" xfId="7" applyFont="1" applyAlignment="1">
      <alignment horizontal="left" indent="1"/>
    </xf>
    <xf numFmtId="173" fontId="12" fillId="0" borderId="0" xfId="8" applyNumberFormat="1" applyFont="1"/>
    <xf numFmtId="174" fontId="13" fillId="0" borderId="0" xfId="4" applyNumberFormat="1"/>
    <xf numFmtId="37" fontId="0" fillId="8" borderId="19" xfId="5" applyNumberFormat="1" applyFont="1" applyFill="1" applyBorder="1"/>
    <xf numFmtId="0" fontId="18" fillId="0" borderId="0" xfId="4" applyFont="1" applyAlignment="1"/>
    <xf numFmtId="0" fontId="19" fillId="0" borderId="0" xfId="7" applyAlignment="1">
      <alignment horizontal="left" vertical="center"/>
    </xf>
    <xf numFmtId="0" fontId="18" fillId="0" borderId="0" xfId="4" applyFont="1" applyAlignment="1">
      <alignment horizontal="left" vertical="center"/>
    </xf>
    <xf numFmtId="0" fontId="26" fillId="0" borderId="0" xfId="4" applyFont="1" applyAlignment="1">
      <alignment horizontal="left" vertical="center"/>
    </xf>
    <xf numFmtId="0" fontId="27" fillId="0" borderId="0" xfId="4" applyFont="1" applyAlignment="1">
      <alignment horizontal="left" vertical="center"/>
    </xf>
    <xf numFmtId="14" fontId="26" fillId="0" borderId="0" xfId="4" applyNumberFormat="1" applyFont="1" applyAlignment="1">
      <alignment horizontal="left" vertical="center"/>
    </xf>
    <xf numFmtId="0" fontId="26" fillId="0" borderId="0" xfId="4" applyFont="1" applyAlignment="1">
      <alignment horizontal="left"/>
    </xf>
    <xf numFmtId="0" fontId="28" fillId="0" borderId="0" xfId="7" applyFont="1"/>
    <xf numFmtId="14" fontId="26" fillId="0" borderId="0" xfId="4" applyNumberFormat="1" applyFont="1" applyAlignment="1">
      <alignment horizontal="left"/>
    </xf>
    <xf numFmtId="0" fontId="27" fillId="0" borderId="0" xfId="4" applyFont="1" applyAlignment="1"/>
    <xf numFmtId="0" fontId="28" fillId="0" borderId="0" xfId="7" applyFont="1" applyAlignment="1">
      <alignment horizontal="left" indent="1"/>
    </xf>
    <xf numFmtId="0" fontId="27" fillId="0" borderId="0" xfId="7" applyFont="1" applyBorder="1" applyAlignment="1">
      <alignment horizontal="left" indent="1"/>
    </xf>
    <xf numFmtId="0" fontId="27" fillId="0" borderId="0" xfId="7" applyFont="1" applyAlignment="1">
      <alignment horizontal="left" indent="1"/>
    </xf>
    <xf numFmtId="0" fontId="27" fillId="0" borderId="0" xfId="7" applyFont="1" applyFill="1" applyAlignment="1">
      <alignment horizontal="left" indent="1"/>
    </xf>
    <xf numFmtId="0" fontId="29" fillId="0" borderId="0" xfId="7" applyFont="1"/>
    <xf numFmtId="172" fontId="27" fillId="0" borderId="0" xfId="0" applyFont="1" applyAlignment="1"/>
    <xf numFmtId="172" fontId="27" fillId="0" borderId="0" xfId="0" applyFont="1"/>
    <xf numFmtId="0" fontId="28" fillId="0" borderId="0" xfId="4" applyFont="1"/>
    <xf numFmtId="0" fontId="27" fillId="0" borderId="0" xfId="4" applyFont="1"/>
    <xf numFmtId="172" fontId="30" fillId="0" borderId="0" xfId="0" applyFont="1"/>
    <xf numFmtId="0" fontId="27" fillId="0" borderId="0" xfId="7" applyFont="1"/>
    <xf numFmtId="0" fontId="31" fillId="5" borderId="32" xfId="15" applyFont="1" applyFill="1" applyBorder="1" applyAlignment="1">
      <alignment horizontal="center"/>
    </xf>
    <xf numFmtId="0" fontId="31" fillId="5" borderId="32" xfId="15" applyFont="1" applyFill="1" applyBorder="1" applyAlignment="1">
      <alignment horizontal="right"/>
    </xf>
    <xf numFmtId="0" fontId="18" fillId="0" borderId="0" xfId="7" applyFont="1"/>
    <xf numFmtId="0" fontId="18" fillId="9" borderId="32" xfId="7" applyFont="1" applyFill="1" applyBorder="1"/>
    <xf numFmtId="0" fontId="31" fillId="5" borderId="32" xfId="15" applyFont="1" applyFill="1" applyBorder="1" applyAlignment="1">
      <alignment horizontal="left"/>
    </xf>
    <xf numFmtId="0" fontId="31" fillId="0" borderId="31" xfId="15" applyFont="1" applyFill="1" applyBorder="1" applyAlignment="1">
      <alignment horizontal="left" wrapText="1"/>
    </xf>
    <xf numFmtId="174" fontId="31" fillId="0" borderId="31" xfId="12" applyNumberFormat="1" applyFont="1" applyFill="1" applyBorder="1" applyAlignment="1">
      <alignment horizontal="right" wrapText="1"/>
    </xf>
    <xf numFmtId="0" fontId="33" fillId="0" borderId="31" xfId="15" applyFont="1" applyFill="1" applyBorder="1" applyAlignment="1">
      <alignment horizontal="left" wrapText="1"/>
    </xf>
    <xf numFmtId="175" fontId="31" fillId="0" borderId="0" xfId="9" applyNumberFormat="1" applyFont="1" applyFill="1" applyBorder="1" applyAlignment="1">
      <alignment horizontal="left"/>
    </xf>
    <xf numFmtId="0" fontId="23" fillId="0" borderId="0" xfId="7" applyFont="1" applyBorder="1" applyAlignment="1">
      <alignment horizontal="center"/>
    </xf>
    <xf numFmtId="175" fontId="23" fillId="0" borderId="0" xfId="7" applyNumberFormat="1" applyFont="1" applyBorder="1"/>
    <xf numFmtId="0" fontId="31" fillId="0" borderId="0" xfId="9" applyFont="1" applyFill="1" applyBorder="1" applyAlignment="1">
      <alignment horizontal="center"/>
    </xf>
    <xf numFmtId="0" fontId="18" fillId="0" borderId="0" xfId="7" applyFont="1" applyAlignment="1">
      <alignment horizontal="center"/>
    </xf>
    <xf numFmtId="0" fontId="31" fillId="5" borderId="32" xfId="10" applyFont="1" applyFill="1" applyBorder="1" applyAlignment="1">
      <alignment horizontal="center"/>
    </xf>
    <xf numFmtId="0" fontId="31" fillId="0" borderId="31" xfId="10" applyFont="1" applyFill="1" applyBorder="1" applyAlignment="1">
      <alignment horizontal="left" wrapText="1"/>
    </xf>
    <xf numFmtId="43" fontId="31" fillId="0" borderId="31" xfId="12" applyFont="1" applyFill="1" applyBorder="1" applyAlignment="1">
      <alignment horizontal="right" wrapText="1"/>
    </xf>
    <xf numFmtId="0" fontId="29" fillId="0" borderId="0" xfId="7" applyFont="1" applyAlignment="1">
      <alignment horizontal="center"/>
    </xf>
    <xf numFmtId="173" fontId="27" fillId="0" borderId="0" xfId="7" applyNumberFormat="1" applyFont="1"/>
    <xf numFmtId="176" fontId="31" fillId="0" borderId="31" xfId="1" applyNumberFormat="1" applyFont="1" applyFill="1" applyBorder="1" applyAlignment="1">
      <alignment horizontal="right" wrapText="1"/>
    </xf>
    <xf numFmtId="174" fontId="31" fillId="0" borderId="31" xfId="2" applyNumberFormat="1" applyFont="1" applyFill="1" applyBorder="1" applyAlignment="1">
      <alignment horizontal="left" wrapText="1"/>
    </xf>
    <xf numFmtId="172" fontId="12" fillId="0" borderId="0" xfId="0" applyFont="1" applyAlignment="1"/>
    <xf numFmtId="43" fontId="31" fillId="5" borderId="32" xfId="2" applyFont="1" applyFill="1" applyBorder="1" applyAlignment="1">
      <alignment horizontal="center"/>
    </xf>
    <xf numFmtId="174" fontId="19" fillId="0" borderId="0" xfId="7" applyNumberFormat="1"/>
    <xf numFmtId="174" fontId="33" fillId="11" borderId="31" xfId="12" applyNumberFormat="1" applyFont="1" applyFill="1" applyBorder="1" applyAlignment="1">
      <alignment horizontal="right" wrapText="1"/>
    </xf>
    <xf numFmtId="0" fontId="33" fillId="11" borderId="31" xfId="15" applyFont="1" applyFill="1" applyBorder="1" applyAlignment="1">
      <alignment horizontal="left" wrapText="1"/>
    </xf>
    <xf numFmtId="176" fontId="33" fillId="11" borderId="31" xfId="1" applyNumberFormat="1" applyFont="1" applyFill="1" applyBorder="1" applyAlignment="1">
      <alignment horizontal="right" wrapText="1"/>
    </xf>
    <xf numFmtId="174" fontId="33" fillId="11" borderId="31" xfId="2" applyNumberFormat="1" applyFont="1" applyFill="1" applyBorder="1" applyAlignment="1">
      <alignment horizontal="left" wrapText="1"/>
    </xf>
    <xf numFmtId="172" fontId="34" fillId="0" borderId="0" xfId="0" applyFont="1"/>
    <xf numFmtId="172" fontId="35" fillId="0" borderId="0" xfId="0" applyFont="1"/>
    <xf numFmtId="173" fontId="34" fillId="0" borderId="0" xfId="3" applyNumberFormat="1" applyFont="1"/>
    <xf numFmtId="0" fontId="18" fillId="0" borderId="0" xfId="7" applyFont="1" applyFill="1"/>
    <xf numFmtId="0" fontId="31" fillId="0" borderId="31" xfId="15" applyFont="1" applyFill="1" applyBorder="1" applyAlignment="1">
      <alignment horizontal="center" wrapText="1"/>
    </xf>
    <xf numFmtId="43" fontId="31" fillId="0" borderId="31" xfId="2" applyFont="1" applyFill="1" applyBorder="1" applyAlignment="1">
      <alignment horizontal="right" wrapText="1"/>
    </xf>
    <xf numFmtId="0" fontId="36" fillId="0" borderId="0" xfId="7" applyFont="1" applyFill="1"/>
    <xf numFmtId="43" fontId="33" fillId="11" borderId="31" xfId="2" applyFont="1" applyFill="1" applyBorder="1" applyAlignment="1">
      <alignment horizontal="right" wrapText="1"/>
    </xf>
    <xf numFmtId="0" fontId="13" fillId="0" borderId="0" xfId="4" applyFont="1"/>
    <xf numFmtId="0" fontId="33" fillId="11" borderId="31" xfId="15" applyFont="1" applyFill="1" applyBorder="1" applyAlignment="1">
      <alignment horizontal="right" wrapText="1"/>
    </xf>
    <xf numFmtId="177" fontId="29" fillId="10" borderId="0" xfId="2" applyNumberFormat="1" applyFont="1" applyFill="1" applyAlignment="1">
      <alignment horizontal="right"/>
    </xf>
    <xf numFmtId="172" fontId="29" fillId="0" borderId="0" xfId="0" applyFont="1"/>
    <xf numFmtId="173" fontId="29" fillId="10" borderId="0" xfId="3" applyNumberFormat="1" applyFont="1" applyFill="1" applyAlignment="1">
      <alignment horizontal="right"/>
    </xf>
    <xf numFmtId="0" fontId="17" fillId="0" borderId="0" xfId="4" applyFont="1" applyAlignment="1">
      <alignment horizontal="center"/>
    </xf>
    <xf numFmtId="43" fontId="19" fillId="0" borderId="0" xfId="7" applyNumberFormat="1" applyFill="1"/>
    <xf numFmtId="0" fontId="14" fillId="0" borderId="0" xfId="4" applyFont="1" applyAlignment="1">
      <alignment horizontal="center"/>
    </xf>
    <xf numFmtId="43" fontId="31" fillId="0" borderId="0" xfId="2" applyFont="1" applyFill="1" applyBorder="1" applyAlignment="1">
      <alignment horizontal="right" wrapText="1"/>
    </xf>
    <xf numFmtId="172" fontId="29" fillId="10" borderId="0" xfId="3" applyNumberFormat="1" applyFont="1" applyFill="1" applyAlignment="1">
      <alignment horizontal="right"/>
    </xf>
    <xf numFmtId="174" fontId="18" fillId="0" borderId="0" xfId="7" applyNumberFormat="1" applyFont="1"/>
    <xf numFmtId="0" fontId="37" fillId="0" borderId="0" xfId="7" applyFont="1"/>
    <xf numFmtId="0" fontId="31" fillId="0" borderId="0" xfId="15" applyFont="1" applyFill="1" applyBorder="1" applyAlignment="1">
      <alignment horizontal="left" wrapText="1"/>
    </xf>
    <xf numFmtId="174" fontId="31" fillId="0" borderId="0" xfId="2" applyNumberFormat="1" applyFont="1" applyFill="1" applyBorder="1" applyAlignment="1">
      <alignment horizontal="left" wrapText="1"/>
    </xf>
    <xf numFmtId="172" fontId="13" fillId="0" borderId="0" xfId="0" applyFont="1" applyFill="1"/>
    <xf numFmtId="173" fontId="13" fillId="0" borderId="0" xfId="4" applyNumberFormat="1"/>
    <xf numFmtId="174" fontId="15" fillId="0" borderId="19" xfId="5" applyNumberFormat="1" applyFont="1" applyFill="1" applyBorder="1"/>
    <xf numFmtId="174" fontId="15" fillId="0" borderId="16" xfId="5" applyNumberFormat="1" applyFont="1" applyFill="1" applyBorder="1"/>
    <xf numFmtId="174" fontId="31" fillId="8" borderId="31" xfId="12" applyNumberFormat="1" applyFont="1" applyFill="1" applyBorder="1" applyAlignment="1">
      <alignment horizontal="right" wrapText="1"/>
    </xf>
    <xf numFmtId="174" fontId="15" fillId="0" borderId="11" xfId="5" applyNumberFormat="1" applyFont="1" applyFill="1" applyBorder="1"/>
    <xf numFmtId="174" fontId="15" fillId="0" borderId="8" xfId="5" applyNumberFormat="1" applyFont="1" applyFill="1" applyBorder="1"/>
    <xf numFmtId="174" fontId="15" fillId="0" borderId="22" xfId="5" applyNumberFormat="1" applyFont="1" applyFill="1" applyBorder="1"/>
    <xf numFmtId="173" fontId="14" fillId="0" borderId="28" xfId="6" applyNumberFormat="1" applyFont="1" applyFill="1" applyBorder="1"/>
    <xf numFmtId="173" fontId="14" fillId="0" borderId="25" xfId="6" applyNumberFormat="1" applyFont="1" applyFill="1" applyBorder="1"/>
    <xf numFmtId="37" fontId="15" fillId="0" borderId="8" xfId="4" applyNumberFormat="1" applyFont="1" applyFill="1" applyBorder="1"/>
    <xf numFmtId="174" fontId="15" fillId="0" borderId="11" xfId="5" applyNumberFormat="1" applyFont="1" applyFill="1" applyBorder="1" applyAlignment="1">
      <alignment horizontal="right"/>
    </xf>
    <xf numFmtId="174" fontId="15" fillId="0" borderId="8" xfId="5" applyNumberFormat="1" applyFont="1" applyFill="1" applyBorder="1" applyAlignment="1">
      <alignment horizontal="right"/>
    </xf>
    <xf numFmtId="174" fontId="15" fillId="0" borderId="22" xfId="5" applyNumberFormat="1" applyFont="1" applyFill="1" applyBorder="1" applyAlignment="1">
      <alignment horizontal="right"/>
    </xf>
    <xf numFmtId="37" fontId="15" fillId="0" borderId="8" xfId="4" applyNumberFormat="1" applyFont="1" applyFill="1" applyBorder="1" applyAlignment="1">
      <alignment horizontal="right"/>
    </xf>
    <xf numFmtId="37" fontId="15" fillId="0" borderId="6" xfId="4" applyNumberFormat="1" applyFont="1" applyFill="1" applyBorder="1"/>
    <xf numFmtId="43" fontId="27" fillId="0" borderId="0" xfId="7" applyNumberFormat="1" applyFont="1"/>
    <xf numFmtId="44" fontId="2" fillId="0" borderId="0" xfId="0" applyNumberFormat="1" applyFont="1" applyProtection="1"/>
    <xf numFmtId="0" fontId="38" fillId="0" borderId="31" xfId="9" applyFont="1" applyFill="1" applyBorder="1" applyAlignment="1">
      <alignment horizontal="center" wrapText="1"/>
    </xf>
    <xf numFmtId="174" fontId="32" fillId="0" borderId="31" xfId="2" applyNumberFormat="1" applyFont="1" applyFill="1" applyBorder="1" applyAlignment="1">
      <alignment horizontal="right" wrapText="1"/>
    </xf>
    <xf numFmtId="178" fontId="29" fillId="10" borderId="0" xfId="4" applyNumberFormat="1" applyFont="1" applyFill="1" applyAlignment="1">
      <alignment horizontal="right"/>
    </xf>
    <xf numFmtId="0" fontId="33" fillId="8" borderId="31" xfId="9" applyFont="1" applyFill="1" applyBorder="1" applyAlignment="1">
      <alignment horizontal="center" wrapText="1"/>
    </xf>
    <xf numFmtId="174" fontId="31" fillId="8" borderId="30" xfId="2" applyNumberFormat="1" applyFont="1" applyFill="1" applyBorder="1" applyAlignment="1">
      <alignment horizontal="right" wrapText="1"/>
    </xf>
    <xf numFmtId="173" fontId="29" fillId="10" borderId="0" xfId="4" applyNumberFormat="1" applyFont="1" applyFill="1" applyAlignment="1">
      <alignment horizontal="left"/>
    </xf>
    <xf numFmtId="174" fontId="33" fillId="0" borderId="31" xfId="3" applyNumberFormat="1" applyFont="1" applyFill="1" applyBorder="1" applyAlignment="1">
      <alignment horizontal="right" wrapText="1"/>
    </xf>
    <xf numFmtId="173" fontId="29" fillId="0" borderId="0" xfId="7" applyNumberFormat="1" applyFont="1"/>
    <xf numFmtId="173" fontId="18" fillId="0" borderId="0" xfId="7" applyNumberFormat="1" applyFont="1"/>
    <xf numFmtId="43" fontId="19" fillId="0" borderId="0" xfId="7" applyNumberFormat="1"/>
    <xf numFmtId="14" fontId="31" fillId="0" borderId="31" xfId="15" applyNumberFormat="1" applyFont="1" applyFill="1" applyBorder="1" applyAlignment="1">
      <alignment horizontal="center" wrapText="1"/>
    </xf>
    <xf numFmtId="174" fontId="31" fillId="0" borderId="31" xfId="2" applyNumberFormat="1" applyFont="1" applyBorder="1" applyAlignment="1">
      <alignment horizontal="left" wrapText="1"/>
    </xf>
    <xf numFmtId="0" fontId="1" fillId="0" borderId="0" xfId="16"/>
    <xf numFmtId="0" fontId="31" fillId="5" borderId="32" xfId="15" applyFont="1" applyFill="1" applyBorder="1" applyAlignment="1">
      <alignment horizontal="center"/>
    </xf>
    <xf numFmtId="174" fontId="27" fillId="0" borderId="0" xfId="2" applyNumberFormat="1" applyFont="1"/>
    <xf numFmtId="174" fontId="18" fillId="0" borderId="0" xfId="2" applyNumberFormat="1" applyFont="1"/>
    <xf numFmtId="173" fontId="15" fillId="8" borderId="19" xfId="6" applyNumberFormat="1" applyFont="1" applyFill="1" applyBorder="1"/>
    <xf numFmtId="0" fontId="13" fillId="8" borderId="19" xfId="4" applyFill="1" applyBorder="1" applyAlignment="1">
      <alignment horizontal="center"/>
    </xf>
    <xf numFmtId="0" fontId="13" fillId="8" borderId="19" xfId="4" applyFill="1" applyBorder="1"/>
    <xf numFmtId="37" fontId="15" fillId="8" borderId="18" xfId="5" applyNumberFormat="1" applyFont="1" applyFill="1" applyBorder="1"/>
    <xf numFmtId="0" fontId="13" fillId="8" borderId="18" xfId="4" applyFill="1" applyBorder="1" applyAlignment="1">
      <alignment horizontal="center"/>
    </xf>
    <xf numFmtId="0" fontId="13" fillId="8" borderId="18" xfId="4" applyFill="1" applyBorder="1"/>
    <xf numFmtId="37" fontId="0" fillId="8" borderId="18" xfId="5" applyNumberFormat="1" applyFont="1" applyFill="1" applyBorder="1"/>
    <xf numFmtId="37" fontId="0" fillId="8" borderId="16" xfId="5" applyNumberFormat="1" applyFont="1" applyFill="1" applyBorder="1"/>
    <xf numFmtId="0" fontId="13" fillId="8" borderId="16" xfId="4" applyFill="1" applyBorder="1" applyAlignment="1">
      <alignment horizontal="center"/>
    </xf>
    <xf numFmtId="0" fontId="13" fillId="8" borderId="16" xfId="4" applyFill="1" applyBorder="1"/>
    <xf numFmtId="37" fontId="15" fillId="8" borderId="16" xfId="5" applyNumberFormat="1" applyFont="1" applyFill="1" applyBorder="1"/>
    <xf numFmtId="0" fontId="13" fillId="8" borderId="19" xfId="4" applyFill="1" applyBorder="1" applyAlignment="1">
      <alignment horizontal="left" indent="1"/>
    </xf>
    <xf numFmtId="37" fontId="14" fillId="8" borderId="12" xfId="5" applyNumberFormat="1" applyFont="1" applyFill="1" applyBorder="1"/>
    <xf numFmtId="0" fontId="13" fillId="8" borderId="22" xfId="4" applyFill="1" applyBorder="1" applyAlignment="1">
      <alignment horizontal="center"/>
    </xf>
    <xf numFmtId="0" fontId="14" fillId="8" borderId="17" xfId="4" applyFont="1" applyFill="1" applyBorder="1"/>
    <xf numFmtId="37" fontId="15" fillId="8" borderId="8" xfId="5" applyNumberFormat="1" applyFont="1" applyFill="1" applyBorder="1"/>
    <xf numFmtId="0" fontId="14" fillId="8" borderId="16" xfId="4" applyFont="1" applyFill="1" applyBorder="1" applyAlignment="1">
      <alignment horizontal="center"/>
    </xf>
    <xf numFmtId="0" fontId="13" fillId="8" borderId="8" xfId="4" applyFill="1" applyBorder="1" applyAlignment="1">
      <alignment horizontal="center"/>
    </xf>
    <xf numFmtId="37" fontId="15" fillId="8" borderId="19" xfId="5" applyNumberFormat="1" applyFont="1" applyFill="1" applyBorder="1"/>
    <xf numFmtId="37" fontId="14" fillId="8" borderId="20" xfId="5" applyNumberFormat="1" applyFont="1" applyFill="1" applyBorder="1"/>
    <xf numFmtId="0" fontId="13" fillId="8" borderId="11" xfId="4" applyFill="1" applyBorder="1" applyAlignment="1">
      <alignment horizontal="center"/>
    </xf>
    <xf numFmtId="174" fontId="15" fillId="8" borderId="19" xfId="5" applyNumberFormat="1" applyFont="1" applyFill="1" applyBorder="1"/>
    <xf numFmtId="174" fontId="0" fillId="8" borderId="16" xfId="5" applyNumberFormat="1" applyFont="1" applyFill="1" applyBorder="1"/>
    <xf numFmtId="0" fontId="14" fillId="8" borderId="9" xfId="4" applyFont="1" applyFill="1" applyBorder="1"/>
    <xf numFmtId="174" fontId="14" fillId="8" borderId="12" xfId="5" applyNumberFormat="1" applyFont="1" applyFill="1" applyBorder="1"/>
    <xf numFmtId="174" fontId="15" fillId="8" borderId="20" xfId="5" applyNumberFormat="1" applyFont="1" applyFill="1" applyBorder="1"/>
    <xf numFmtId="174" fontId="0" fillId="8" borderId="19" xfId="5" applyNumberFormat="1" applyFont="1" applyFill="1" applyBorder="1"/>
    <xf numFmtId="0" fontId="14" fillId="8" borderId="19" xfId="4" applyFont="1" applyFill="1" applyBorder="1" applyAlignment="1">
      <alignment horizontal="center"/>
    </xf>
    <xf numFmtId="174" fontId="15" fillId="8" borderId="18" xfId="5" applyNumberFormat="1" applyFont="1" applyFill="1" applyBorder="1"/>
    <xf numFmtId="174" fontId="15" fillId="8" borderId="16" xfId="5" applyNumberFormat="1" applyFont="1" applyFill="1" applyBorder="1"/>
    <xf numFmtId="0" fontId="13" fillId="8" borderId="19" xfId="4" quotePrefix="1" applyFill="1" applyBorder="1" applyAlignment="1">
      <alignment horizontal="left" indent="1"/>
    </xf>
    <xf numFmtId="174" fontId="14" fillId="8" borderId="16" xfId="5" applyNumberFormat="1" applyFont="1" applyFill="1" applyBorder="1"/>
    <xf numFmtId="173" fontId="14" fillId="8" borderId="12" xfId="6" applyNumberFormat="1" applyFont="1" applyFill="1" applyBorder="1"/>
    <xf numFmtId="0" fontId="13" fillId="8" borderId="14" xfId="4" applyFill="1" applyBorder="1" applyAlignment="1">
      <alignment horizontal="center"/>
    </xf>
    <xf numFmtId="0" fontId="14" fillId="8" borderId="13" xfId="4" applyFont="1" applyFill="1" applyBorder="1"/>
    <xf numFmtId="39" fontId="13" fillId="0" borderId="0" xfId="4" applyNumberFormat="1"/>
    <xf numFmtId="173" fontId="20" fillId="0" borderId="11" xfId="6" applyNumberFormat="1" applyFont="1" applyFill="1" applyBorder="1"/>
    <xf numFmtId="174" fontId="20" fillId="0" borderId="11" xfId="5" applyNumberFormat="1" applyFont="1" applyFill="1" applyBorder="1"/>
    <xf numFmtId="174" fontId="20" fillId="0" borderId="22" xfId="5" applyNumberFormat="1" applyFont="1" applyFill="1" applyBorder="1"/>
    <xf numFmtId="174" fontId="20" fillId="0" borderId="8" xfId="5" applyNumberFormat="1" applyFont="1" applyFill="1" applyBorder="1"/>
    <xf numFmtId="174" fontId="14" fillId="0" borderId="27" xfId="5" applyNumberFormat="1" applyFont="1" applyFill="1" applyBorder="1"/>
    <xf numFmtId="174" fontId="32" fillId="8" borderId="31" xfId="2" applyNumberFormat="1" applyFont="1" applyFill="1" applyBorder="1" applyAlignment="1">
      <alignment horizontal="right" wrapText="1"/>
    </xf>
    <xf numFmtId="174" fontId="15" fillId="0" borderId="18" xfId="5" applyNumberFormat="1" applyFont="1" applyFill="1" applyBorder="1"/>
    <xf numFmtId="0" fontId="2" fillId="0" borderId="0" xfId="0" applyNumberFormat="1" applyFont="1" applyFill="1" applyAlignment="1" applyProtection="1">
      <alignment vertical="top" wrapText="1"/>
    </xf>
    <xf numFmtId="0" fontId="2" fillId="0" borderId="0" xfId="0" applyNumberFormat="1" applyFont="1" applyAlignment="1" applyProtection="1">
      <alignment vertical="top" wrapText="1"/>
    </xf>
    <xf numFmtId="0" fontId="2" fillId="0" borderId="0" xfId="0" applyNumberFormat="1" applyFont="1" applyFill="1" applyBorder="1" applyAlignment="1" applyProtection="1">
      <alignment horizontal="center"/>
    </xf>
    <xf numFmtId="3" fontId="2" fillId="0" borderId="0" xfId="0" applyNumberFormat="1" applyFont="1" applyAlignment="1" applyProtection="1">
      <alignment horizontal="right"/>
    </xf>
    <xf numFmtId="0" fontId="17" fillId="0" borderId="0" xfId="4" applyFont="1" applyAlignment="1">
      <alignment horizontal="center"/>
    </xf>
    <xf numFmtId="0" fontId="18" fillId="0" borderId="0" xfId="4" applyFont="1" applyAlignment="1">
      <alignment horizontal="center"/>
    </xf>
    <xf numFmtId="14" fontId="17" fillId="0" borderId="0" xfId="4" applyNumberFormat="1" applyFont="1" applyAlignment="1">
      <alignment horizontal="center"/>
    </xf>
    <xf numFmtId="0" fontId="16" fillId="0" borderId="10" xfId="4" applyFont="1" applyBorder="1" applyAlignment="1">
      <alignment horizontal="center"/>
    </xf>
    <xf numFmtId="0" fontId="14" fillId="0" borderId="10" xfId="4" applyFont="1" applyBorder="1" applyAlignment="1">
      <alignment horizontal="center"/>
    </xf>
    <xf numFmtId="0" fontId="13" fillId="0" borderId="4" xfId="4" applyBorder="1" applyAlignment="1">
      <alignment horizontal="left"/>
    </xf>
    <xf numFmtId="0" fontId="13" fillId="0" borderId="5" xfId="4" applyBorder="1" applyAlignment="1">
      <alignment horizontal="left"/>
    </xf>
    <xf numFmtId="0" fontId="18" fillId="6" borderId="33" xfId="7" applyFont="1" applyFill="1" applyBorder="1" applyAlignment="1">
      <alignment horizontal="center"/>
    </xf>
    <xf numFmtId="0" fontId="18" fillId="6" borderId="34" xfId="7" applyFont="1" applyFill="1" applyBorder="1" applyAlignment="1">
      <alignment horizontal="center"/>
    </xf>
    <xf numFmtId="0" fontId="18" fillId="6" borderId="35" xfId="7" applyFont="1" applyFill="1" applyBorder="1" applyAlignment="1">
      <alignment horizontal="center"/>
    </xf>
    <xf numFmtId="0" fontId="18" fillId="7" borderId="33" xfId="7" applyFont="1" applyFill="1" applyBorder="1" applyAlignment="1">
      <alignment horizontal="center"/>
    </xf>
    <xf numFmtId="0" fontId="18" fillId="7" borderId="34" xfId="7" applyFont="1" applyFill="1" applyBorder="1" applyAlignment="1">
      <alignment horizontal="center"/>
    </xf>
    <xf numFmtId="0" fontId="18" fillId="7" borderId="35" xfId="7" applyFont="1" applyFill="1" applyBorder="1" applyAlignment="1">
      <alignment horizontal="center"/>
    </xf>
    <xf numFmtId="0" fontId="23" fillId="0" borderId="0" xfId="7" applyFont="1" applyBorder="1" applyAlignment="1">
      <alignment horizontal="center"/>
    </xf>
    <xf numFmtId="0" fontId="23" fillId="0" borderId="36" xfId="7" applyFont="1" applyBorder="1" applyAlignment="1">
      <alignment horizontal="center"/>
    </xf>
    <xf numFmtId="0" fontId="27" fillId="0" borderId="0" xfId="4" applyFont="1" applyAlignment="1">
      <alignment horizontal="left" vertical="center"/>
    </xf>
  </cellXfs>
  <cellStyles count="19">
    <cellStyle name="Comma" xfId="2" builtinId="3"/>
    <cellStyle name="Comma 2" xfId="5" xr:uid="{00000000-0005-0000-0000-000001000000}"/>
    <cellStyle name="Comma 2 2" xfId="12" xr:uid="{00000000-0005-0000-0000-000002000000}"/>
    <cellStyle name="Comma 2 2 2" xfId="18" xr:uid="{F3CDB232-E463-4511-A1EA-458255910C6C}"/>
    <cellStyle name="Comma 2 3" xfId="13" xr:uid="{00000000-0005-0000-0000-000003000000}"/>
    <cellStyle name="Currency" xfId="3" builtinId="4"/>
    <cellStyle name="Currency 2" xfId="6" xr:uid="{00000000-0005-0000-0000-000005000000}"/>
    <cellStyle name="Currency 2 2" xfId="8" xr:uid="{00000000-0005-0000-0000-000006000000}"/>
    <cellStyle name="Currency 3" xfId="11" xr:uid="{00000000-0005-0000-0000-000007000000}"/>
    <cellStyle name="Normal" xfId="0" builtinId="0"/>
    <cellStyle name="Normal 2" xfId="4" xr:uid="{00000000-0005-0000-0000-000009000000}"/>
    <cellStyle name="Normal 3" xfId="7" xr:uid="{00000000-0005-0000-0000-00000A000000}"/>
    <cellStyle name="Normal 3 2" xfId="17" xr:uid="{F33F58DC-3FF0-4F7E-851D-9B39DDBD6C81}"/>
    <cellStyle name="Normal 4" xfId="16" xr:uid="{00000000-0005-0000-0000-00003C000000}"/>
    <cellStyle name="Normal_Sheet1" xfId="15" xr:uid="{00000000-0005-0000-0000-00000B000000}"/>
    <cellStyle name="Normal_Sheet2" xfId="9" xr:uid="{00000000-0005-0000-0000-00000C000000}"/>
    <cellStyle name="Normal_Sheet2 2" xfId="10" xr:uid="{00000000-0005-0000-0000-00000D000000}"/>
    <cellStyle name="Percent" xfId="1" builtinId="5"/>
    <cellStyle name="Percent 2" xfId="14" xr:uid="{00000000-0005-0000-0000-00000F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628650</xdr:colOff>
          <xdr:row>0</xdr:row>
          <xdr:rowOff>228600</xdr:rowOff>
        </xdr:to>
        <xdr:sp macro="" textlink="">
          <xdr:nvSpPr>
            <xdr:cNvPr id="11265" name="FILTER" hidden="1">
              <a:extLst>
                <a:ext uri="{63B3BB69-23CF-44E3-9099-C40C66FF867C}">
                  <a14:compatExt spid="_x0000_s11265"/>
                </a:ext>
                <a:ext uri="{FF2B5EF4-FFF2-40B4-BE49-F238E27FC236}">
                  <a16:creationId xmlns:a16="http://schemas.microsoft.com/office/drawing/2014/main" id="{00000000-0008-0000-0C00-0000012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628650</xdr:colOff>
          <xdr:row>0</xdr:row>
          <xdr:rowOff>228600</xdr:rowOff>
        </xdr:to>
        <xdr:sp macro="" textlink="">
          <xdr:nvSpPr>
            <xdr:cNvPr id="11266" name="HEADER" hidden="1">
              <a:extLst>
                <a:ext uri="{63B3BB69-23CF-44E3-9099-C40C66FF867C}">
                  <a14:compatExt spid="_x0000_s11266"/>
                </a:ext>
                <a:ext uri="{FF2B5EF4-FFF2-40B4-BE49-F238E27FC236}">
                  <a16:creationId xmlns:a16="http://schemas.microsoft.com/office/drawing/2014/main" id="{00000000-0008-0000-0C00-0000022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3.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41"/>
  <sheetViews>
    <sheetView tabSelected="1" zoomScale="90" zoomScaleNormal="90" zoomScaleSheetLayoutView="85" workbookViewId="0"/>
  </sheetViews>
  <sheetFormatPr defaultColWidth="8.88671875" defaultRowHeight="15.75"/>
  <cols>
    <col min="1" max="1" width="6" style="6" customWidth="1"/>
    <col min="2" max="2" width="28.44140625" style="6" customWidth="1"/>
    <col min="3" max="3" width="32.5546875" style="6" customWidth="1"/>
    <col min="4" max="4" width="17.5546875" style="6" customWidth="1"/>
    <col min="5" max="5" width="5.6640625" style="6" customWidth="1"/>
    <col min="6" max="6" width="4.6640625" style="6" customWidth="1"/>
    <col min="7" max="7" width="9.33203125" style="6" customWidth="1"/>
    <col min="8" max="8" width="3.88671875" style="6" customWidth="1"/>
    <col min="9" max="9" width="15" style="6" customWidth="1"/>
    <col min="10" max="10" width="2.109375" style="6" customWidth="1"/>
    <col min="11" max="11" width="11.5546875" style="6" customWidth="1"/>
    <col min="12" max="13" width="8.88671875" style="6"/>
    <col min="14" max="14" width="16.77734375" style="6" customWidth="1"/>
    <col min="15" max="15" width="9.6640625" style="6" bestFit="1" customWidth="1"/>
    <col min="16" max="16384" width="8.88671875" style="6"/>
  </cols>
  <sheetData>
    <row r="1" spans="1:18">
      <c r="K1" s="7" t="s">
        <v>300</v>
      </c>
      <c r="N1" s="8"/>
      <c r="O1" s="8"/>
      <c r="P1" s="8"/>
      <c r="Q1" s="8"/>
      <c r="R1" s="8"/>
    </row>
    <row r="2" spans="1:18">
      <c r="B2" s="9"/>
      <c r="C2" s="9"/>
      <c r="D2" s="10"/>
      <c r="E2" s="9"/>
      <c r="F2" s="9"/>
      <c r="G2" s="9"/>
      <c r="H2" s="11"/>
      <c r="I2" s="11"/>
      <c r="K2" s="12" t="s">
        <v>184</v>
      </c>
      <c r="L2" s="11"/>
      <c r="N2" s="8"/>
      <c r="O2" s="8"/>
      <c r="P2" s="8"/>
      <c r="Q2" s="8"/>
      <c r="R2" s="8"/>
    </row>
    <row r="3" spans="1:18">
      <c r="B3" s="9"/>
      <c r="C3" s="9"/>
      <c r="D3" s="10"/>
      <c r="E3" s="9"/>
      <c r="F3" s="9"/>
      <c r="G3" s="9"/>
      <c r="H3" s="11"/>
      <c r="I3" s="11"/>
      <c r="J3" s="11"/>
      <c r="K3" s="13"/>
      <c r="L3" s="11"/>
      <c r="N3" s="8"/>
      <c r="O3" s="8"/>
      <c r="P3" s="8"/>
      <c r="Q3" s="8"/>
      <c r="R3" s="8"/>
    </row>
    <row r="4" spans="1:18">
      <c r="B4" s="9" t="s">
        <v>0</v>
      </c>
      <c r="C4" s="9"/>
      <c r="D4" s="10" t="s">
        <v>1</v>
      </c>
      <c r="E4" s="9"/>
      <c r="F4" s="9"/>
      <c r="G4" s="9"/>
      <c r="H4" s="14"/>
      <c r="I4" s="15"/>
      <c r="J4" s="14"/>
      <c r="K4" s="16" t="s">
        <v>665</v>
      </c>
      <c r="L4" s="11"/>
      <c r="N4" s="8"/>
      <c r="O4" s="8"/>
      <c r="P4" s="8"/>
      <c r="Q4" s="8"/>
      <c r="R4" s="8"/>
    </row>
    <row r="5" spans="1:18">
      <c r="B5" s="9"/>
      <c r="C5" s="17" t="s">
        <v>2</v>
      </c>
      <c r="D5" s="17" t="s">
        <v>3</v>
      </c>
      <c r="E5" s="17"/>
      <c r="F5" s="17"/>
      <c r="G5" s="17"/>
      <c r="H5" s="11"/>
      <c r="I5" s="11"/>
      <c r="J5" s="11"/>
      <c r="K5" s="11"/>
      <c r="L5" s="11"/>
      <c r="N5" s="18"/>
      <c r="O5" s="18"/>
      <c r="P5" s="18"/>
      <c r="Q5" s="19"/>
      <c r="R5" s="19"/>
    </row>
    <row r="6" spans="1:18">
      <c r="B6" s="11"/>
      <c r="C6" s="11"/>
      <c r="D6" s="11"/>
      <c r="E6" s="11"/>
      <c r="F6" s="11"/>
      <c r="G6" s="11"/>
      <c r="H6" s="11"/>
      <c r="I6" s="11"/>
      <c r="J6" s="11"/>
      <c r="K6" s="11"/>
      <c r="L6" s="11"/>
      <c r="N6" s="20"/>
      <c r="O6" s="20"/>
      <c r="P6" s="20"/>
      <c r="Q6" s="20"/>
      <c r="R6" s="20"/>
    </row>
    <row r="7" spans="1:18">
      <c r="A7" s="13"/>
      <c r="B7" s="11"/>
      <c r="C7" s="11"/>
      <c r="D7" s="21" t="s">
        <v>546</v>
      </c>
      <c r="E7" s="14"/>
      <c r="F7" s="11"/>
      <c r="G7" s="11"/>
      <c r="H7" s="11"/>
      <c r="I7" s="11"/>
      <c r="J7" s="11"/>
      <c r="K7" s="11"/>
      <c r="L7" s="11"/>
      <c r="N7" s="20"/>
      <c r="O7" s="20"/>
      <c r="P7" s="20"/>
      <c r="Q7" s="20"/>
      <c r="R7" s="20"/>
    </row>
    <row r="8" spans="1:18">
      <c r="A8" s="13"/>
      <c r="B8" s="11"/>
      <c r="C8" s="11"/>
      <c r="D8" s="22"/>
      <c r="E8" s="11"/>
      <c r="F8" s="11"/>
      <c r="G8" s="11"/>
      <c r="H8" s="11"/>
      <c r="I8" s="11"/>
      <c r="J8" s="11"/>
      <c r="K8" s="11"/>
      <c r="L8" s="11"/>
    </row>
    <row r="9" spans="1:18">
      <c r="A9" s="13" t="s">
        <v>4</v>
      </c>
      <c r="B9" s="11"/>
      <c r="C9" s="11"/>
      <c r="D9" s="22"/>
      <c r="E9" s="11"/>
      <c r="F9" s="11"/>
      <c r="G9" s="11"/>
      <c r="H9" s="11"/>
      <c r="I9" s="13" t="s">
        <v>5</v>
      </c>
      <c r="J9" s="11"/>
      <c r="K9" s="11"/>
      <c r="L9" s="11"/>
    </row>
    <row r="10" spans="1:18" ht="16.5" thickBot="1">
      <c r="A10" s="23" t="s">
        <v>6</v>
      </c>
      <c r="B10" s="11"/>
      <c r="C10" s="11"/>
      <c r="D10" s="11"/>
      <c r="E10" s="11"/>
      <c r="F10" s="11"/>
      <c r="G10" s="11"/>
      <c r="H10" s="11"/>
      <c r="I10" s="23" t="s">
        <v>7</v>
      </c>
      <c r="J10" s="11"/>
      <c r="K10" s="11"/>
      <c r="L10" s="11"/>
    </row>
    <row r="11" spans="1:18">
      <c r="A11" s="13">
        <v>1</v>
      </c>
      <c r="B11" s="11" t="s">
        <v>248</v>
      </c>
      <c r="C11" s="11"/>
      <c r="D11" s="24"/>
      <c r="E11" s="11"/>
      <c r="F11" s="11"/>
      <c r="G11" s="11"/>
      <c r="H11" s="11"/>
      <c r="I11" s="25">
        <f>+I201</f>
        <v>474694.18002898619</v>
      </c>
      <c r="J11" s="11"/>
      <c r="K11" s="11"/>
      <c r="L11" s="11"/>
      <c r="N11" s="11"/>
      <c r="O11" s="11"/>
      <c r="P11" s="11"/>
    </row>
    <row r="12" spans="1:18">
      <c r="A12" s="13"/>
      <c r="B12" s="11"/>
      <c r="C12" s="11"/>
      <c r="D12" s="11"/>
      <c r="E12" s="11"/>
      <c r="F12" s="11"/>
      <c r="G12" s="11"/>
      <c r="H12" s="11"/>
      <c r="I12" s="24"/>
      <c r="J12" s="11"/>
      <c r="K12" s="11"/>
      <c r="L12" s="11"/>
      <c r="N12" s="11"/>
      <c r="O12" s="11"/>
      <c r="P12" s="11"/>
    </row>
    <row r="13" spans="1:18" ht="16.5" thickBot="1">
      <c r="A13" s="13" t="s">
        <v>2</v>
      </c>
      <c r="B13" s="9" t="s">
        <v>8</v>
      </c>
      <c r="C13" s="17" t="s">
        <v>175</v>
      </c>
      <c r="D13" s="23" t="s">
        <v>9</v>
      </c>
      <c r="E13" s="17"/>
      <c r="F13" s="26" t="s">
        <v>10</v>
      </c>
      <c r="G13" s="26"/>
      <c r="H13" s="11"/>
      <c r="I13" s="24"/>
      <c r="J13" s="11"/>
      <c r="K13" s="11"/>
      <c r="L13" s="11"/>
      <c r="N13" s="11"/>
      <c r="O13" s="11"/>
      <c r="P13" s="11"/>
    </row>
    <row r="14" spans="1:18">
      <c r="A14" s="13">
        <v>2</v>
      </c>
      <c r="B14" s="9" t="s">
        <v>11</v>
      </c>
      <c r="C14" s="17" t="s">
        <v>168</v>
      </c>
      <c r="D14" s="17">
        <f>I261</f>
        <v>0</v>
      </c>
      <c r="E14" s="17"/>
      <c r="F14" s="17" t="s">
        <v>12</v>
      </c>
      <c r="G14" s="27">
        <f>I220</f>
        <v>1</v>
      </c>
      <c r="H14" s="17"/>
      <c r="I14" s="17">
        <f>+G14*D14</f>
        <v>0</v>
      </c>
      <c r="J14" s="11"/>
      <c r="K14" s="11"/>
      <c r="L14" s="11"/>
      <c r="N14" s="11"/>
      <c r="O14" s="11"/>
      <c r="P14" s="11"/>
    </row>
    <row r="15" spans="1:18">
      <c r="A15" s="13">
        <v>3</v>
      </c>
      <c r="B15" s="9" t="s">
        <v>192</v>
      </c>
      <c r="C15" s="17" t="s">
        <v>169</v>
      </c>
      <c r="D15" s="17">
        <f>I268</f>
        <v>21943</v>
      </c>
      <c r="E15" s="17"/>
      <c r="F15" s="17" t="str">
        <f>+F14</f>
        <v>TP</v>
      </c>
      <c r="G15" s="27">
        <f>+G14</f>
        <v>1</v>
      </c>
      <c r="H15" s="17"/>
      <c r="I15" s="17">
        <f>+G15*D15</f>
        <v>21943</v>
      </c>
      <c r="J15" s="11"/>
      <c r="K15" s="11"/>
      <c r="N15" s="11"/>
      <c r="O15" s="11"/>
      <c r="P15" s="11"/>
    </row>
    <row r="16" spans="1:18">
      <c r="A16" s="13">
        <v>4</v>
      </c>
      <c r="B16" s="9" t="s">
        <v>13</v>
      </c>
      <c r="C16" s="17"/>
      <c r="D16" s="28">
        <v>0</v>
      </c>
      <c r="E16" s="17"/>
      <c r="F16" s="17" t="s">
        <v>12</v>
      </c>
      <c r="G16" s="27">
        <f>+G14</f>
        <v>1</v>
      </c>
      <c r="H16" s="17"/>
      <c r="I16" s="17">
        <f>+G16*D16</f>
        <v>0</v>
      </c>
      <c r="J16" s="11"/>
      <c r="K16" s="11"/>
      <c r="L16" s="29"/>
      <c r="N16" s="11"/>
      <c r="O16" s="11"/>
      <c r="P16" s="11"/>
    </row>
    <row r="17" spans="1:16" ht="16.5" thickBot="1">
      <c r="A17" s="13">
        <v>5</v>
      </c>
      <c r="B17" s="9" t="s">
        <v>14</v>
      </c>
      <c r="C17" s="17"/>
      <c r="D17" s="28">
        <v>0</v>
      </c>
      <c r="E17" s="17"/>
      <c r="F17" s="17" t="s">
        <v>12</v>
      </c>
      <c r="G17" s="27">
        <f>+G14</f>
        <v>1</v>
      </c>
      <c r="H17" s="17"/>
      <c r="I17" s="30">
        <f>+G17*D17</f>
        <v>0</v>
      </c>
      <c r="J17" s="11"/>
      <c r="K17" s="11"/>
      <c r="L17" s="29"/>
      <c r="N17" s="11"/>
      <c r="O17" s="11"/>
      <c r="P17" s="11"/>
    </row>
    <row r="18" spans="1:16">
      <c r="A18" s="13">
        <v>6</v>
      </c>
      <c r="B18" s="9" t="s">
        <v>15</v>
      </c>
      <c r="C18" s="11"/>
      <c r="D18" s="31" t="s">
        <v>2</v>
      </c>
      <c r="E18" s="17"/>
      <c r="F18" s="17"/>
      <c r="G18" s="27"/>
      <c r="H18" s="17"/>
      <c r="I18" s="17">
        <f>SUM(I14:I17)</f>
        <v>21943</v>
      </c>
      <c r="J18" s="11"/>
      <c r="K18" s="11"/>
      <c r="L18" s="11"/>
      <c r="N18" s="11"/>
      <c r="O18" s="11"/>
      <c r="P18" s="11"/>
    </row>
    <row r="19" spans="1:16">
      <c r="A19" s="13"/>
      <c r="B19" s="9"/>
      <c r="C19" s="11"/>
      <c r="I19" s="17"/>
      <c r="J19" s="11"/>
      <c r="K19" s="11"/>
      <c r="L19" s="11"/>
      <c r="N19" s="11"/>
      <c r="O19" s="11"/>
      <c r="P19" s="11"/>
    </row>
    <row r="20" spans="1:16">
      <c r="A20" s="13" t="s">
        <v>302</v>
      </c>
      <c r="B20" s="9" t="s">
        <v>303</v>
      </c>
      <c r="I20" s="32">
        <v>0</v>
      </c>
      <c r="J20" s="11"/>
      <c r="K20" s="11"/>
      <c r="L20" s="11"/>
      <c r="N20" s="11"/>
      <c r="O20" s="11"/>
      <c r="P20" s="11"/>
    </row>
    <row r="21" spans="1:16">
      <c r="A21" s="13" t="s">
        <v>304</v>
      </c>
      <c r="B21" s="9" t="s">
        <v>305</v>
      </c>
      <c r="I21" s="32">
        <v>0</v>
      </c>
      <c r="J21" s="11"/>
      <c r="K21" s="11"/>
      <c r="L21" s="11"/>
      <c r="N21" s="11"/>
      <c r="O21" s="11"/>
      <c r="P21" s="11"/>
    </row>
    <row r="22" spans="1:16" ht="16.5" thickBot="1">
      <c r="A22" s="13" t="s">
        <v>306</v>
      </c>
      <c r="B22" s="9" t="s">
        <v>307</v>
      </c>
      <c r="I22" s="33">
        <f>I20+I21</f>
        <v>0</v>
      </c>
      <c r="J22" s="11"/>
      <c r="K22" s="11"/>
      <c r="L22" s="11"/>
      <c r="N22" s="11"/>
      <c r="O22" s="11"/>
      <c r="P22" s="11"/>
    </row>
    <row r="23" spans="1:16">
      <c r="A23" s="13"/>
      <c r="B23" s="9"/>
      <c r="C23" s="11"/>
      <c r="I23" s="17"/>
      <c r="J23" s="11"/>
      <c r="K23" s="11"/>
      <c r="L23" s="11"/>
      <c r="N23" s="11"/>
      <c r="O23" s="11"/>
      <c r="P23" s="11"/>
    </row>
    <row r="24" spans="1:16" ht="16.5" thickBot="1">
      <c r="A24" s="13">
        <v>7</v>
      </c>
      <c r="B24" s="9" t="s">
        <v>16</v>
      </c>
      <c r="C24" s="11" t="s">
        <v>314</v>
      </c>
      <c r="D24" s="31" t="s">
        <v>2</v>
      </c>
      <c r="E24" s="17"/>
      <c r="F24" s="17"/>
      <c r="G24" s="17"/>
      <c r="H24" s="17"/>
      <c r="I24" s="34">
        <f>+I11-I18+I22</f>
        <v>452751.18002898619</v>
      </c>
      <c r="J24" s="11"/>
      <c r="K24" s="11"/>
      <c r="L24" s="11"/>
      <c r="N24" s="11"/>
      <c r="O24" s="11"/>
      <c r="P24" s="11"/>
    </row>
    <row r="25" spans="1:16" ht="16.5" thickTop="1">
      <c r="A25" s="13"/>
      <c r="B25" s="9"/>
      <c r="C25" s="17"/>
      <c r="I25" s="17"/>
      <c r="J25" s="11"/>
      <c r="K25" s="11"/>
      <c r="L25" s="11"/>
      <c r="N25" s="11"/>
      <c r="O25" s="11"/>
      <c r="P25" s="11"/>
    </row>
    <row r="26" spans="1:16">
      <c r="A26" s="13" t="s">
        <v>2</v>
      </c>
      <c r="B26" s="9" t="s">
        <v>17</v>
      </c>
      <c r="C26" s="11"/>
      <c r="D26" s="24"/>
      <c r="E26" s="11"/>
      <c r="F26" s="11"/>
      <c r="G26" s="11"/>
      <c r="H26" s="11"/>
      <c r="I26" s="24"/>
      <c r="J26" s="11"/>
      <c r="K26" s="11"/>
      <c r="L26" s="11"/>
      <c r="N26" s="349"/>
      <c r="O26" s="11"/>
      <c r="P26" s="11"/>
    </row>
    <row r="27" spans="1:16">
      <c r="A27" s="13">
        <v>8</v>
      </c>
      <c r="B27" s="9" t="s">
        <v>18</v>
      </c>
      <c r="D27" s="24"/>
      <c r="E27" s="11"/>
      <c r="F27" s="11"/>
      <c r="G27" s="11" t="s">
        <v>19</v>
      </c>
      <c r="H27" s="11"/>
      <c r="I27" s="28">
        <f>AveragePeak*1000</f>
        <v>9140</v>
      </c>
      <c r="J27" s="11"/>
      <c r="K27" s="11"/>
      <c r="L27" s="35"/>
      <c r="O27" s="11"/>
      <c r="P27" s="11"/>
    </row>
    <row r="28" spans="1:16">
      <c r="A28" s="13">
        <v>9</v>
      </c>
      <c r="B28" s="9" t="s">
        <v>20</v>
      </c>
      <c r="C28" s="17"/>
      <c r="D28" s="17"/>
      <c r="E28" s="17"/>
      <c r="F28" s="17"/>
      <c r="G28" s="17" t="s">
        <v>21</v>
      </c>
      <c r="H28" s="17"/>
      <c r="I28" s="28">
        <v>0</v>
      </c>
      <c r="J28" s="11"/>
      <c r="K28" s="11"/>
      <c r="L28" s="11"/>
      <c r="O28" s="11"/>
      <c r="P28" s="11"/>
    </row>
    <row r="29" spans="1:16">
      <c r="A29" s="13">
        <v>10</v>
      </c>
      <c r="B29" s="9" t="s">
        <v>22</v>
      </c>
      <c r="C29" s="11"/>
      <c r="D29" s="11"/>
      <c r="E29" s="11"/>
      <c r="F29" s="11"/>
      <c r="G29" s="11" t="s">
        <v>23</v>
      </c>
      <c r="H29" s="11"/>
      <c r="I29" s="28">
        <v>0</v>
      </c>
      <c r="J29" s="11"/>
      <c r="K29" s="11"/>
      <c r="L29" s="11"/>
      <c r="O29" s="11"/>
      <c r="P29" s="11"/>
    </row>
    <row r="30" spans="1:16">
      <c r="A30" s="13">
        <v>11</v>
      </c>
      <c r="B30" s="36" t="s">
        <v>24</v>
      </c>
      <c r="C30" s="11"/>
      <c r="D30" s="11"/>
      <c r="E30" s="11"/>
      <c r="F30" s="11"/>
      <c r="G30" s="11" t="s">
        <v>25</v>
      </c>
      <c r="H30" s="11"/>
      <c r="I30" s="28">
        <v>0</v>
      </c>
      <c r="J30" s="11"/>
      <c r="K30" s="11"/>
      <c r="L30" s="11"/>
      <c r="O30" s="11"/>
      <c r="P30" s="11"/>
    </row>
    <row r="31" spans="1:16">
      <c r="A31" s="13">
        <v>12</v>
      </c>
      <c r="B31" s="36" t="s">
        <v>26</v>
      </c>
      <c r="C31" s="11"/>
      <c r="D31" s="11"/>
      <c r="E31" s="11"/>
      <c r="F31" s="11"/>
      <c r="G31" s="11"/>
      <c r="H31" s="11"/>
      <c r="I31" s="28">
        <v>0</v>
      </c>
      <c r="J31" s="11"/>
      <c r="K31" s="11"/>
      <c r="L31" s="11"/>
      <c r="O31" s="11"/>
      <c r="P31" s="11"/>
    </row>
    <row r="32" spans="1:16">
      <c r="A32" s="13">
        <v>13</v>
      </c>
      <c r="B32" s="36" t="s">
        <v>176</v>
      </c>
      <c r="C32" s="11"/>
      <c r="D32" s="11"/>
      <c r="E32" s="11"/>
      <c r="F32" s="11"/>
      <c r="G32" s="11"/>
      <c r="H32" s="11"/>
      <c r="I32" s="37">
        <v>0</v>
      </c>
      <c r="J32" s="11"/>
      <c r="K32" s="11"/>
      <c r="L32" s="11"/>
      <c r="O32" s="11"/>
      <c r="P32" s="11"/>
    </row>
    <row r="33" spans="1:16" ht="16.5" thickBot="1">
      <c r="A33" s="13">
        <v>14</v>
      </c>
      <c r="B33" s="9" t="s">
        <v>170</v>
      </c>
      <c r="C33" s="11"/>
      <c r="D33" s="11"/>
      <c r="E33" s="11"/>
      <c r="F33" s="11"/>
      <c r="G33" s="11"/>
      <c r="H33" s="11"/>
      <c r="I33" s="38">
        <v>0</v>
      </c>
      <c r="J33" s="11"/>
      <c r="K33" s="11"/>
      <c r="L33" s="11"/>
      <c r="O33" s="11"/>
      <c r="P33" s="11"/>
    </row>
    <row r="34" spans="1:16">
      <c r="A34" s="13">
        <v>15</v>
      </c>
      <c r="B34" s="9" t="s">
        <v>209</v>
      </c>
      <c r="C34" s="11"/>
      <c r="D34" s="11"/>
      <c r="E34" s="11"/>
      <c r="F34" s="11"/>
      <c r="G34" s="11"/>
      <c r="H34" s="11"/>
      <c r="I34" s="24">
        <f>SUM(I27:I33)</f>
        <v>9140</v>
      </c>
      <c r="J34" s="11"/>
      <c r="K34" s="11"/>
      <c r="L34" s="11"/>
      <c r="O34" s="11"/>
      <c r="P34" s="11"/>
    </row>
    <row r="35" spans="1:16">
      <c r="A35" s="13"/>
      <c r="B35" s="9"/>
      <c r="C35" s="11"/>
      <c r="D35" s="11"/>
      <c r="E35" s="11"/>
      <c r="F35" s="11"/>
      <c r="G35" s="11"/>
      <c r="H35" s="11"/>
      <c r="I35" s="24"/>
      <c r="J35" s="11"/>
      <c r="K35" s="11"/>
      <c r="L35" s="11"/>
      <c r="N35" s="11"/>
      <c r="O35" s="11"/>
      <c r="P35" s="11"/>
    </row>
    <row r="36" spans="1:16">
      <c r="A36" s="13">
        <v>16</v>
      </c>
      <c r="B36" s="9" t="s">
        <v>27</v>
      </c>
      <c r="C36" s="11" t="s">
        <v>208</v>
      </c>
      <c r="D36" s="39">
        <f>IF(I34&gt;0,I24/I34,0)</f>
        <v>49.535140046935034</v>
      </c>
      <c r="E36" s="11"/>
      <c r="F36" s="11"/>
      <c r="G36" s="11"/>
      <c r="H36" s="11"/>
      <c r="J36" s="11"/>
      <c r="K36" s="11"/>
      <c r="L36" s="11"/>
      <c r="N36" s="11"/>
      <c r="O36" s="11"/>
      <c r="P36" s="11"/>
    </row>
    <row r="37" spans="1:16">
      <c r="A37" s="13">
        <v>17</v>
      </c>
      <c r="B37" s="9" t="s">
        <v>301</v>
      </c>
      <c r="C37" s="11"/>
      <c r="D37" s="39">
        <f>+D36/12</f>
        <v>4.1279283372445859</v>
      </c>
      <c r="E37" s="11"/>
      <c r="F37" s="11"/>
      <c r="G37" s="11"/>
      <c r="H37" s="11"/>
      <c r="J37" s="11"/>
      <c r="K37" s="11"/>
      <c r="L37" s="11"/>
      <c r="N37" s="11"/>
      <c r="O37" s="11"/>
      <c r="P37" s="11"/>
    </row>
    <row r="38" spans="1:16">
      <c r="A38" s="13"/>
      <c r="B38" s="9"/>
      <c r="C38" s="11"/>
      <c r="D38" s="39"/>
      <c r="E38" s="11"/>
      <c r="F38" s="11"/>
      <c r="G38" s="11"/>
      <c r="H38" s="11"/>
      <c r="J38" s="11"/>
      <c r="K38" s="11"/>
      <c r="L38" s="11"/>
      <c r="N38" s="11"/>
      <c r="O38" s="11"/>
      <c r="P38" s="11"/>
    </row>
    <row r="39" spans="1:16">
      <c r="A39" s="13"/>
      <c r="B39" s="9"/>
      <c r="C39" s="11"/>
      <c r="D39" s="40" t="s">
        <v>28</v>
      </c>
      <c r="E39" s="11"/>
      <c r="F39" s="11"/>
      <c r="G39" s="11"/>
      <c r="H39" s="11"/>
      <c r="I39" s="41" t="s">
        <v>29</v>
      </c>
      <c r="J39" s="11"/>
      <c r="K39" s="11"/>
      <c r="L39" s="11"/>
      <c r="N39" s="11"/>
      <c r="O39" s="11"/>
      <c r="P39" s="11"/>
    </row>
    <row r="40" spans="1:16">
      <c r="A40" s="13">
        <v>18</v>
      </c>
      <c r="B40" s="9" t="s">
        <v>30</v>
      </c>
      <c r="C40" s="11" t="s">
        <v>210</v>
      </c>
      <c r="D40" s="39">
        <f>+D36/52</f>
        <v>0.95259884705644293</v>
      </c>
      <c r="E40" s="11"/>
      <c r="F40" s="11"/>
      <c r="G40" s="11"/>
      <c r="H40" s="11"/>
      <c r="I40" s="42">
        <f>+D36/52</f>
        <v>0.95259884705644293</v>
      </c>
      <c r="J40" s="11"/>
      <c r="K40" s="11"/>
      <c r="L40" s="11"/>
      <c r="N40" s="11"/>
      <c r="O40" s="11"/>
      <c r="P40" s="11"/>
    </row>
    <row r="41" spans="1:16">
      <c r="A41" s="13">
        <v>19</v>
      </c>
      <c r="B41" s="9" t="s">
        <v>31</v>
      </c>
      <c r="C41" s="11" t="s">
        <v>249</v>
      </c>
      <c r="D41" s="39">
        <f>+D36/260</f>
        <v>0.19051976941128859</v>
      </c>
      <c r="E41" s="11" t="s">
        <v>32</v>
      </c>
      <c r="G41" s="11"/>
      <c r="H41" s="11"/>
      <c r="I41" s="42">
        <f>+D36/365</f>
        <v>0.13571271245735625</v>
      </c>
      <c r="J41" s="11"/>
      <c r="K41" s="11"/>
      <c r="L41" s="11"/>
      <c r="N41" s="11"/>
      <c r="O41" s="11"/>
      <c r="P41" s="11"/>
    </row>
    <row r="42" spans="1:16">
      <c r="A42" s="13">
        <v>20</v>
      </c>
      <c r="B42" s="9" t="s">
        <v>33</v>
      </c>
      <c r="C42" s="11" t="s">
        <v>250</v>
      </c>
      <c r="D42" s="39">
        <f>+D36/4160*1000</f>
        <v>11.907485588205537</v>
      </c>
      <c r="E42" s="11" t="s">
        <v>34</v>
      </c>
      <c r="G42" s="11"/>
      <c r="H42" s="11"/>
      <c r="I42" s="42">
        <f>+D36/8760*1000</f>
        <v>5.6546963523898439</v>
      </c>
      <c r="J42" s="11"/>
      <c r="K42" s="11" t="s">
        <v>2</v>
      </c>
      <c r="L42" s="11"/>
      <c r="N42" s="11"/>
      <c r="O42" s="11"/>
      <c r="P42" s="11"/>
    </row>
    <row r="43" spans="1:16">
      <c r="A43" s="13"/>
      <c r="B43" s="9"/>
      <c r="C43" s="11" t="s">
        <v>35</v>
      </c>
      <c r="D43" s="11"/>
      <c r="E43" s="11" t="s">
        <v>36</v>
      </c>
      <c r="G43" s="11"/>
      <c r="H43" s="11"/>
      <c r="J43" s="11"/>
      <c r="K43" s="11" t="s">
        <v>2</v>
      </c>
      <c r="L43" s="11"/>
      <c r="N43" s="11"/>
      <c r="O43" s="11"/>
      <c r="P43" s="11"/>
    </row>
    <row r="44" spans="1:16">
      <c r="A44" s="13"/>
      <c r="B44" s="9"/>
      <c r="C44" s="11"/>
      <c r="D44" s="11"/>
      <c r="E44" s="11"/>
      <c r="G44" s="11"/>
      <c r="H44" s="11"/>
      <c r="J44" s="11"/>
      <c r="K44" s="11" t="s">
        <v>2</v>
      </c>
      <c r="L44" s="11"/>
      <c r="N44" s="11"/>
      <c r="O44" s="11"/>
      <c r="P44" s="11"/>
    </row>
    <row r="45" spans="1:16">
      <c r="A45" s="13">
        <v>21</v>
      </c>
      <c r="B45" s="9" t="s">
        <v>211</v>
      </c>
      <c r="C45" s="11" t="s">
        <v>203</v>
      </c>
      <c r="D45" s="43">
        <v>0</v>
      </c>
      <c r="E45" s="44" t="s">
        <v>37</v>
      </c>
      <c r="F45" s="44"/>
      <c r="G45" s="44"/>
      <c r="H45" s="44"/>
      <c r="I45" s="44">
        <f>D45</f>
        <v>0</v>
      </c>
      <c r="J45" s="44" t="s">
        <v>37</v>
      </c>
      <c r="K45" s="11"/>
      <c r="L45" s="11"/>
      <c r="N45" s="11"/>
      <c r="O45" s="11"/>
      <c r="P45" s="11"/>
    </row>
    <row r="46" spans="1:16">
      <c r="A46" s="13">
        <v>22</v>
      </c>
      <c r="B46" s="9"/>
      <c r="C46" s="11"/>
      <c r="D46" s="43">
        <v>0</v>
      </c>
      <c r="E46" s="44" t="s">
        <v>38</v>
      </c>
      <c r="F46" s="44"/>
      <c r="G46" s="44"/>
      <c r="H46" s="44"/>
      <c r="I46" s="44">
        <f>D46</f>
        <v>0</v>
      </c>
      <c r="J46" s="44" t="s">
        <v>38</v>
      </c>
      <c r="K46" s="11"/>
      <c r="L46" s="11"/>
      <c r="N46" s="11"/>
      <c r="O46" s="11"/>
      <c r="P46" s="11"/>
    </row>
    <row r="47" spans="1:16">
      <c r="J47" s="11"/>
      <c r="K47" s="11"/>
      <c r="L47" s="11"/>
      <c r="N47" s="11"/>
      <c r="O47" s="11"/>
      <c r="P47" s="11"/>
    </row>
    <row r="48" spans="1:16">
      <c r="J48" s="11"/>
      <c r="K48" s="11"/>
      <c r="L48" s="11"/>
      <c r="N48" s="11"/>
      <c r="O48" s="11"/>
      <c r="P48" s="11"/>
    </row>
    <row r="49" spans="10:16">
      <c r="J49" s="11"/>
      <c r="K49" s="11"/>
      <c r="L49" s="11"/>
      <c r="N49" s="11"/>
      <c r="O49" s="11"/>
      <c r="P49" s="11"/>
    </row>
    <row r="50" spans="10:16">
      <c r="J50" s="11"/>
      <c r="K50" s="11"/>
      <c r="L50" s="11"/>
      <c r="N50" s="11"/>
      <c r="O50" s="11"/>
      <c r="P50" s="11"/>
    </row>
    <row r="51" spans="10:16">
      <c r="J51" s="11"/>
      <c r="K51" s="11"/>
      <c r="L51" s="11"/>
      <c r="N51" s="11"/>
      <c r="O51" s="11"/>
      <c r="P51" s="11"/>
    </row>
    <row r="52" spans="10:16">
      <c r="J52" s="11"/>
      <c r="K52" s="11"/>
      <c r="L52" s="11"/>
      <c r="N52" s="11"/>
      <c r="O52" s="11"/>
      <c r="P52" s="11"/>
    </row>
    <row r="53" spans="10:16">
      <c r="J53" s="11"/>
      <c r="K53" s="11"/>
      <c r="L53" s="11"/>
      <c r="N53" s="11"/>
      <c r="O53" s="11"/>
      <c r="P53" s="11"/>
    </row>
    <row r="54" spans="10:16">
      <c r="J54" s="11"/>
      <c r="K54" s="11"/>
      <c r="L54" s="11"/>
      <c r="N54" s="11"/>
      <c r="O54" s="11"/>
      <c r="P54" s="11"/>
    </row>
    <row r="55" spans="10:16">
      <c r="J55" s="11"/>
      <c r="K55" s="11"/>
      <c r="L55" s="11"/>
      <c r="N55" s="11"/>
      <c r="O55" s="11"/>
      <c r="P55" s="11"/>
    </row>
    <row r="56" spans="10:16">
      <c r="J56" s="11"/>
      <c r="K56" s="11"/>
      <c r="L56" s="11"/>
      <c r="N56" s="11"/>
      <c r="O56" s="11"/>
      <c r="P56" s="11"/>
    </row>
    <row r="57" spans="10:16">
      <c r="J57" s="11"/>
      <c r="K57" s="11"/>
      <c r="L57" s="11"/>
      <c r="N57" s="11"/>
      <c r="O57" s="11"/>
      <c r="P57" s="11"/>
    </row>
    <row r="58" spans="10:16">
      <c r="J58" s="11"/>
      <c r="K58" s="11"/>
      <c r="L58" s="11"/>
      <c r="N58" s="11"/>
      <c r="O58" s="11"/>
      <c r="P58" s="11"/>
    </row>
    <row r="59" spans="10:16">
      <c r="J59" s="11"/>
      <c r="K59" s="11"/>
      <c r="L59" s="11"/>
      <c r="N59" s="11"/>
      <c r="O59" s="11"/>
      <c r="P59" s="11"/>
    </row>
    <row r="60" spans="10:16">
      <c r="J60" s="11"/>
      <c r="K60" s="11"/>
      <c r="L60" s="11"/>
      <c r="N60" s="11"/>
      <c r="O60" s="11"/>
      <c r="P60" s="11"/>
    </row>
    <row r="61" spans="10:16">
      <c r="J61" s="11"/>
      <c r="K61" s="11"/>
      <c r="L61" s="11"/>
      <c r="N61" s="11"/>
      <c r="O61" s="11"/>
      <c r="P61" s="11"/>
    </row>
    <row r="62" spans="10:16">
      <c r="J62" s="11"/>
      <c r="K62" s="11"/>
      <c r="L62" s="11"/>
      <c r="N62" s="11"/>
      <c r="O62" s="11"/>
      <c r="P62" s="11"/>
    </row>
    <row r="63" spans="10:16">
      <c r="J63" s="11"/>
      <c r="K63" s="11"/>
      <c r="L63" s="11"/>
      <c r="N63" s="11"/>
      <c r="O63" s="11"/>
      <c r="P63" s="11"/>
    </row>
    <row r="64" spans="10:16">
      <c r="J64" s="11"/>
      <c r="K64" s="11"/>
      <c r="L64" s="11"/>
      <c r="N64" s="11"/>
      <c r="O64" s="11"/>
      <c r="P64" s="11"/>
    </row>
    <row r="65" spans="1:16">
      <c r="J65" s="11"/>
      <c r="K65" s="11"/>
      <c r="L65" s="11"/>
      <c r="N65" s="11"/>
      <c r="O65" s="11"/>
      <c r="P65" s="11"/>
    </row>
    <row r="66" spans="1:16">
      <c r="J66" s="11"/>
      <c r="K66" s="11"/>
      <c r="L66" s="11"/>
      <c r="N66" s="11"/>
      <c r="O66" s="11"/>
      <c r="P66" s="11"/>
    </row>
    <row r="67" spans="1:16">
      <c r="J67" s="11"/>
      <c r="K67" s="11"/>
      <c r="L67" s="11"/>
      <c r="N67" s="11"/>
      <c r="O67" s="11"/>
      <c r="P67" s="11"/>
    </row>
    <row r="68" spans="1:16">
      <c r="J68" s="11"/>
      <c r="K68" s="11"/>
      <c r="L68" s="11"/>
      <c r="N68" s="11"/>
      <c r="O68" s="11"/>
      <c r="P68" s="11"/>
    </row>
    <row r="69" spans="1:16">
      <c r="J69" s="11"/>
      <c r="K69" s="11"/>
      <c r="L69" s="11"/>
      <c r="N69" s="11"/>
      <c r="O69" s="11"/>
      <c r="P69" s="11"/>
    </row>
    <row r="70" spans="1:16">
      <c r="J70" s="11"/>
      <c r="K70" s="11"/>
      <c r="L70" s="11"/>
      <c r="N70" s="11"/>
      <c r="O70" s="11"/>
      <c r="P70" s="11"/>
    </row>
    <row r="71" spans="1:16">
      <c r="J71" s="11"/>
      <c r="K71" s="11"/>
      <c r="L71" s="11"/>
      <c r="N71" s="11"/>
      <c r="O71" s="11"/>
      <c r="P71" s="11"/>
    </row>
    <row r="72" spans="1:16">
      <c r="J72" s="11"/>
      <c r="K72" s="7" t="s">
        <v>300</v>
      </c>
      <c r="L72" s="11"/>
      <c r="N72" s="11"/>
      <c r="O72" s="11"/>
      <c r="P72" s="11"/>
    </row>
    <row r="73" spans="1:16">
      <c r="B73" s="9"/>
      <c r="C73" s="9"/>
      <c r="D73" s="10"/>
      <c r="E73" s="9"/>
      <c r="F73" s="9"/>
      <c r="G73" s="9"/>
      <c r="H73" s="11"/>
      <c r="I73" s="11"/>
      <c r="K73" s="12" t="s">
        <v>185</v>
      </c>
      <c r="L73" s="12"/>
      <c r="N73" s="11"/>
      <c r="O73" s="11"/>
      <c r="P73" s="11"/>
    </row>
    <row r="74" spans="1:16">
      <c r="B74" s="11"/>
      <c r="C74" s="11"/>
      <c r="D74" s="11"/>
      <c r="E74" s="11"/>
      <c r="F74" s="11"/>
      <c r="G74" s="11"/>
      <c r="H74" s="11"/>
      <c r="I74" s="11"/>
      <c r="J74" s="11"/>
      <c r="K74" s="11"/>
      <c r="L74" s="11"/>
      <c r="N74" s="11"/>
      <c r="O74" s="11"/>
      <c r="P74" s="11"/>
    </row>
    <row r="75" spans="1:16">
      <c r="B75" s="9" t="str">
        <f>B4</f>
        <v xml:space="preserve">Formula Rate - Non-Levelized </v>
      </c>
      <c r="C75" s="9"/>
      <c r="D75" s="10" t="str">
        <f>D4</f>
        <v xml:space="preserve">   Rate Formula Template</v>
      </c>
      <c r="E75" s="9"/>
      <c r="F75" s="9"/>
      <c r="G75" s="9"/>
      <c r="H75" s="9"/>
      <c r="J75" s="9"/>
      <c r="K75" s="12" t="str">
        <f>K4</f>
        <v>For the 12 months ended 12/31/17</v>
      </c>
      <c r="L75" s="11"/>
      <c r="N75" s="9"/>
      <c r="O75" s="9"/>
      <c r="P75" s="9"/>
    </row>
    <row r="76" spans="1:16">
      <c r="B76" s="9"/>
      <c r="C76" s="17" t="s">
        <v>2</v>
      </c>
      <c r="D76" s="17" t="str">
        <f>D5</f>
        <v>Utilizing EIA Form 412 Data</v>
      </c>
      <c r="E76" s="17"/>
      <c r="F76" s="17"/>
      <c r="G76" s="17"/>
      <c r="H76" s="17"/>
      <c r="I76" s="17"/>
      <c r="J76" s="17"/>
      <c r="K76" s="17"/>
      <c r="L76" s="11"/>
      <c r="N76" s="11"/>
      <c r="O76" s="17"/>
      <c r="P76" s="9"/>
    </row>
    <row r="77" spans="1:16">
      <c r="B77" s="9"/>
      <c r="C77" s="17" t="s">
        <v>2</v>
      </c>
      <c r="D77" s="17" t="s">
        <v>2</v>
      </c>
      <c r="E77" s="17"/>
      <c r="F77" s="17"/>
      <c r="G77" s="17" t="s">
        <v>2</v>
      </c>
      <c r="H77" s="17"/>
      <c r="I77" s="17"/>
      <c r="J77" s="17"/>
      <c r="K77" s="17"/>
      <c r="L77" s="9"/>
      <c r="N77" s="17"/>
      <c r="O77" s="17"/>
      <c r="P77" s="9"/>
    </row>
    <row r="78" spans="1:16">
      <c r="B78" s="9"/>
      <c r="C78" s="11"/>
      <c r="D78" s="17" t="str">
        <f>D7</f>
        <v>Blue Earth, MN</v>
      </c>
      <c r="E78" s="17"/>
      <c r="F78" s="17"/>
      <c r="G78" s="17"/>
      <c r="H78" s="17"/>
      <c r="I78" s="17"/>
      <c r="J78" s="17"/>
      <c r="K78" s="17"/>
      <c r="L78" s="9"/>
      <c r="N78" s="17"/>
      <c r="O78" s="17"/>
      <c r="P78" s="9"/>
    </row>
    <row r="79" spans="1:16">
      <c r="B79" s="13" t="s">
        <v>39</v>
      </c>
      <c r="C79" s="13" t="s">
        <v>40</v>
      </c>
      <c r="D79" s="13" t="s">
        <v>41</v>
      </c>
      <c r="E79" s="17" t="s">
        <v>2</v>
      </c>
      <c r="F79" s="17"/>
      <c r="G79" s="45" t="s">
        <v>42</v>
      </c>
      <c r="H79" s="17"/>
      <c r="I79" s="46" t="s">
        <v>43</v>
      </c>
      <c r="J79" s="17"/>
      <c r="K79" s="13"/>
      <c r="L79" s="9"/>
      <c r="N79" s="13"/>
      <c r="O79" s="17"/>
      <c r="P79" s="9"/>
    </row>
    <row r="80" spans="1:16">
      <c r="A80" s="13" t="s">
        <v>4</v>
      </c>
      <c r="B80" s="9"/>
      <c r="C80" s="47" t="s">
        <v>44</v>
      </c>
      <c r="D80" s="17"/>
      <c r="E80" s="17"/>
      <c r="F80" s="17"/>
      <c r="G80" s="13"/>
      <c r="H80" s="17"/>
      <c r="I80" s="48" t="s">
        <v>45</v>
      </c>
      <c r="J80" s="17"/>
      <c r="K80" s="13"/>
      <c r="L80" s="9"/>
      <c r="N80" s="13"/>
      <c r="O80" s="13"/>
      <c r="P80" s="9"/>
    </row>
    <row r="81" spans="1:16" ht="16.5" thickBot="1">
      <c r="A81" s="23" t="s">
        <v>6</v>
      </c>
      <c r="B81" s="49" t="s">
        <v>50</v>
      </c>
      <c r="C81" s="50" t="s">
        <v>46</v>
      </c>
      <c r="D81" s="48" t="s">
        <v>47</v>
      </c>
      <c r="E81" s="51"/>
      <c r="F81" s="48" t="s">
        <v>48</v>
      </c>
      <c r="H81" s="51"/>
      <c r="I81" s="13" t="s">
        <v>49</v>
      </c>
      <c r="J81" s="17"/>
      <c r="K81" s="13"/>
      <c r="L81" s="9"/>
      <c r="N81" s="13"/>
      <c r="O81" s="13"/>
      <c r="P81" s="9"/>
    </row>
    <row r="82" spans="1:16">
      <c r="A82" s="13"/>
      <c r="B82" s="9" t="s">
        <v>281</v>
      </c>
      <c r="C82" s="17"/>
      <c r="D82" s="17"/>
      <c r="E82" s="17"/>
      <c r="F82" s="17"/>
      <c r="G82" s="17"/>
      <c r="H82" s="17"/>
      <c r="I82" s="17"/>
      <c r="J82" s="17"/>
      <c r="K82" s="17"/>
      <c r="L82" s="9"/>
      <c r="N82" s="17"/>
      <c r="O82" s="17"/>
      <c r="P82" s="9"/>
    </row>
    <row r="83" spans="1:16">
      <c r="A83" s="13">
        <v>1</v>
      </c>
      <c r="B83" s="9" t="s">
        <v>51</v>
      </c>
      <c r="C83" s="17" t="s">
        <v>251</v>
      </c>
      <c r="D83" s="52">
        <f>ProductionPlant</f>
        <v>5619930.4400000004</v>
      </c>
      <c r="E83" s="17"/>
      <c r="F83" s="17" t="s">
        <v>52</v>
      </c>
      <c r="G83" s="53" t="s">
        <v>2</v>
      </c>
      <c r="H83" s="17"/>
      <c r="I83" s="17" t="s">
        <v>2</v>
      </c>
      <c r="J83" s="17"/>
      <c r="K83" s="17"/>
      <c r="L83" s="9"/>
      <c r="O83" s="17"/>
      <c r="P83" s="9"/>
    </row>
    <row r="84" spans="1:16">
      <c r="A84" s="13">
        <v>2</v>
      </c>
      <c r="B84" s="9" t="s">
        <v>53</v>
      </c>
      <c r="C84" s="17" t="s">
        <v>252</v>
      </c>
      <c r="D84" s="52">
        <f>TransmissionPlant-S1_Plant!C19</f>
        <v>3298857.14</v>
      </c>
      <c r="E84" s="17"/>
      <c r="F84" s="17" t="s">
        <v>12</v>
      </c>
      <c r="G84" s="53">
        <f>I220</f>
        <v>1</v>
      </c>
      <c r="H84" s="17"/>
      <c r="I84" s="17">
        <f>+G84*D84</f>
        <v>3298857.14</v>
      </c>
      <c r="J84" s="17"/>
      <c r="K84" s="17"/>
      <c r="L84" s="9"/>
      <c r="O84" s="17"/>
      <c r="P84" s="9"/>
    </row>
    <row r="85" spans="1:16">
      <c r="A85" s="13">
        <v>3</v>
      </c>
      <c r="B85" s="9" t="s">
        <v>54</v>
      </c>
      <c r="C85" s="17" t="s">
        <v>253</v>
      </c>
      <c r="D85" s="52">
        <f>DistributionPlant</f>
        <v>9527500.0500000007</v>
      </c>
      <c r="E85" s="17"/>
      <c r="F85" s="17" t="s">
        <v>52</v>
      </c>
      <c r="G85" s="53" t="s">
        <v>2</v>
      </c>
      <c r="H85" s="17"/>
      <c r="I85" s="17" t="s">
        <v>2</v>
      </c>
      <c r="J85" s="17"/>
      <c r="K85" s="17"/>
      <c r="L85" s="9"/>
      <c r="O85" s="17"/>
      <c r="P85" s="9"/>
    </row>
    <row r="86" spans="1:16">
      <c r="A86" s="13">
        <v>4</v>
      </c>
      <c r="B86" s="9" t="s">
        <v>55</v>
      </c>
      <c r="C86" s="17" t="s">
        <v>282</v>
      </c>
      <c r="D86" s="52">
        <f>GeneralPlant</f>
        <v>1948405.6</v>
      </c>
      <c r="E86" s="17"/>
      <c r="F86" s="17" t="s">
        <v>56</v>
      </c>
      <c r="G86" s="53">
        <f>I236</f>
        <v>0.1903147192328139</v>
      </c>
      <c r="H86" s="17"/>
      <c r="I86" s="17">
        <f>+G86*D86</f>
        <v>370810.26471564232</v>
      </c>
      <c r="J86" s="17"/>
      <c r="K86" s="17"/>
      <c r="L86" s="9"/>
      <c r="O86" s="13"/>
      <c r="P86" s="9"/>
    </row>
    <row r="87" spans="1:16" ht="16.5" thickBot="1">
      <c r="A87" s="13">
        <v>5</v>
      </c>
      <c r="B87" s="9" t="s">
        <v>57</v>
      </c>
      <c r="C87" s="17"/>
      <c r="D87" s="54">
        <v>0</v>
      </c>
      <c r="E87" s="17"/>
      <c r="F87" s="17" t="s">
        <v>58</v>
      </c>
      <c r="G87" s="53">
        <f>K240</f>
        <v>0.1903147192328139</v>
      </c>
      <c r="H87" s="17"/>
      <c r="I87" s="30">
        <f>+G87*D87</f>
        <v>0</v>
      </c>
      <c r="J87" s="17"/>
      <c r="K87" s="17"/>
      <c r="L87" s="9"/>
      <c r="O87" s="13"/>
      <c r="P87" s="9"/>
    </row>
    <row r="88" spans="1:16">
      <c r="A88" s="13">
        <v>6</v>
      </c>
      <c r="B88" s="9" t="s">
        <v>212</v>
      </c>
      <c r="C88" s="17"/>
      <c r="D88" s="17">
        <f>SUM(D83:D87)</f>
        <v>20394693.230000004</v>
      </c>
      <c r="E88" s="17"/>
      <c r="F88" s="17" t="s">
        <v>59</v>
      </c>
      <c r="G88" s="55">
        <f>IF(I88&gt;0,I88/D88,0)</f>
        <v>0.17993246396654144</v>
      </c>
      <c r="H88" s="17"/>
      <c r="I88" s="17">
        <f>SUM(I83:I87)</f>
        <v>3669667.4047156423</v>
      </c>
      <c r="J88" s="17"/>
      <c r="K88" s="55"/>
      <c r="L88" s="9"/>
      <c r="N88" s="17"/>
      <c r="O88" s="17"/>
      <c r="P88" s="9"/>
    </row>
    <row r="89" spans="1:16">
      <c r="B89" s="9"/>
      <c r="C89" s="17"/>
      <c r="D89" s="17"/>
      <c r="E89" s="17"/>
      <c r="F89" s="17"/>
      <c r="G89" s="55"/>
      <c r="H89" s="17"/>
      <c r="I89" s="17"/>
      <c r="J89" s="17"/>
      <c r="K89" s="55"/>
      <c r="L89" s="9"/>
      <c r="N89" s="17"/>
      <c r="O89" s="17"/>
      <c r="P89" s="9"/>
    </row>
    <row r="90" spans="1:16">
      <c r="B90" s="9" t="s">
        <v>283</v>
      </c>
      <c r="C90" s="17"/>
      <c r="D90" s="17"/>
      <c r="E90" s="17"/>
      <c r="F90" s="17"/>
      <c r="G90" s="17"/>
      <c r="H90" s="17"/>
      <c r="I90" s="17"/>
      <c r="J90" s="17"/>
      <c r="K90" s="17"/>
      <c r="L90" s="9"/>
      <c r="N90" s="17"/>
      <c r="O90" s="17"/>
      <c r="P90" s="9"/>
    </row>
    <row r="91" spans="1:16">
      <c r="A91" s="13">
        <v>7</v>
      </c>
      <c r="B91" s="9" t="str">
        <f>+B83</f>
        <v xml:space="preserve">  Production</v>
      </c>
      <c r="D91" s="56">
        <f>ProductionPlantAD</f>
        <v>3021653.34</v>
      </c>
      <c r="E91" s="17"/>
      <c r="F91" s="17" t="str">
        <f t="shared" ref="F91:G95" si="0">+F83</f>
        <v>NA</v>
      </c>
      <c r="G91" s="53" t="str">
        <f t="shared" si="0"/>
        <v xml:space="preserve"> </v>
      </c>
      <c r="H91" s="17"/>
      <c r="I91" s="17" t="s">
        <v>2</v>
      </c>
      <c r="J91" s="17"/>
      <c r="K91" s="17"/>
      <c r="L91" s="9"/>
      <c r="N91" s="17"/>
      <c r="O91" s="17"/>
      <c r="P91" s="9"/>
    </row>
    <row r="92" spans="1:16">
      <c r="A92" s="13">
        <v>8</v>
      </c>
      <c r="B92" s="9" t="str">
        <f>+B84</f>
        <v xml:space="preserve">  Transmission</v>
      </c>
      <c r="D92" s="56">
        <f>TransmissionPlantAD</f>
        <v>2790769.8100000005</v>
      </c>
      <c r="E92" s="17"/>
      <c r="F92" s="17" t="str">
        <f t="shared" si="0"/>
        <v>TP</v>
      </c>
      <c r="G92" s="53">
        <f t="shared" si="0"/>
        <v>1</v>
      </c>
      <c r="H92" s="17"/>
      <c r="I92" s="17">
        <f>+G92*D92</f>
        <v>2790769.8100000005</v>
      </c>
      <c r="J92" s="17"/>
      <c r="K92" s="17"/>
      <c r="L92" s="9"/>
      <c r="N92" s="17"/>
      <c r="O92" s="17"/>
      <c r="P92" s="9"/>
    </row>
    <row r="93" spans="1:16">
      <c r="A93" s="13">
        <v>9</v>
      </c>
      <c r="B93" s="9" t="str">
        <f>+B85</f>
        <v xml:space="preserve">  Distribution</v>
      </c>
      <c r="D93" s="56">
        <f>DistributionPlantAD</f>
        <v>4502760.01</v>
      </c>
      <c r="E93" s="17"/>
      <c r="F93" s="17" t="str">
        <f t="shared" si="0"/>
        <v>NA</v>
      </c>
      <c r="G93" s="53" t="str">
        <f t="shared" si="0"/>
        <v xml:space="preserve"> </v>
      </c>
      <c r="H93" s="17"/>
      <c r="I93" s="17" t="s">
        <v>2</v>
      </c>
      <c r="J93" s="17"/>
      <c r="K93" s="17"/>
      <c r="L93" s="9"/>
      <c r="N93" s="17"/>
      <c r="O93" s="17"/>
      <c r="P93" s="9"/>
    </row>
    <row r="94" spans="1:16">
      <c r="A94" s="13">
        <v>10</v>
      </c>
      <c r="B94" s="9" t="str">
        <f>+B86</f>
        <v xml:space="preserve">  General &amp; Intangible</v>
      </c>
      <c r="D94" s="56">
        <f>GeneralPlantAD</f>
        <v>762197.62000000011</v>
      </c>
      <c r="E94" s="17"/>
      <c r="F94" s="17" t="str">
        <f t="shared" si="0"/>
        <v>W/S</v>
      </c>
      <c r="G94" s="53">
        <f t="shared" si="0"/>
        <v>0.1903147192328139</v>
      </c>
      <c r="H94" s="17"/>
      <c r="I94" s="17">
        <f>+G94*D94</f>
        <v>145057.42605021902</v>
      </c>
      <c r="J94" s="17"/>
      <c r="K94" s="17"/>
      <c r="L94" s="9"/>
      <c r="N94" s="17"/>
      <c r="O94" s="13"/>
      <c r="P94" s="9"/>
    </row>
    <row r="95" spans="1:16" ht="16.5" thickBot="1">
      <c r="A95" s="13">
        <v>11</v>
      </c>
      <c r="B95" s="9" t="str">
        <f>+B87</f>
        <v xml:space="preserve">  Common</v>
      </c>
      <c r="C95" s="17"/>
      <c r="D95" s="54">
        <v>0</v>
      </c>
      <c r="E95" s="17"/>
      <c r="F95" s="17" t="str">
        <f t="shared" si="0"/>
        <v>CE</v>
      </c>
      <c r="G95" s="53">
        <f t="shared" si="0"/>
        <v>0.1903147192328139</v>
      </c>
      <c r="H95" s="17"/>
      <c r="I95" s="30">
        <f>+G95*D95</f>
        <v>0</v>
      </c>
      <c r="J95" s="17"/>
      <c r="K95" s="17"/>
      <c r="L95" s="9"/>
      <c r="N95" s="17"/>
      <c r="O95" s="13"/>
      <c r="P95" s="9"/>
    </row>
    <row r="96" spans="1:16">
      <c r="A96" s="13">
        <v>12</v>
      </c>
      <c r="B96" s="9" t="s">
        <v>213</v>
      </c>
      <c r="C96" s="17"/>
      <c r="D96" s="17">
        <f>SUM(D91:D95)</f>
        <v>11077380.780000001</v>
      </c>
      <c r="E96" s="17"/>
      <c r="F96" s="17"/>
      <c r="G96" s="17"/>
      <c r="H96" s="17"/>
      <c r="I96" s="17">
        <f>SUM(I91:I95)</f>
        <v>2935827.2360502197</v>
      </c>
      <c r="J96" s="17"/>
      <c r="K96" s="17"/>
      <c r="L96" s="9"/>
      <c r="N96" s="57"/>
      <c r="O96" s="17"/>
      <c r="P96" s="9"/>
    </row>
    <row r="97" spans="1:16">
      <c r="A97" s="13"/>
      <c r="C97" s="17" t="s">
        <v>2</v>
      </c>
      <c r="E97" s="17"/>
      <c r="F97" s="17"/>
      <c r="G97" s="55"/>
      <c r="H97" s="17"/>
      <c r="J97" s="17"/>
      <c r="K97" s="55"/>
      <c r="L97" s="9"/>
      <c r="N97" s="17"/>
      <c r="O97" s="17"/>
      <c r="P97" s="9"/>
    </row>
    <row r="98" spans="1:16">
      <c r="A98" s="13"/>
      <c r="B98" s="9" t="s">
        <v>60</v>
      </c>
      <c r="C98" s="17"/>
      <c r="D98" s="17"/>
      <c r="E98" s="17"/>
      <c r="F98" s="17"/>
      <c r="G98" s="17"/>
      <c r="H98" s="17"/>
      <c r="I98" s="17"/>
      <c r="J98" s="17"/>
      <c r="K98" s="17"/>
      <c r="L98" s="9"/>
      <c r="N98" s="17"/>
      <c r="O98" s="17"/>
      <c r="P98" s="9"/>
    </row>
    <row r="99" spans="1:16">
      <c r="A99" s="13">
        <v>13</v>
      </c>
      <c r="B99" s="9" t="str">
        <f>+B91</f>
        <v xml:space="preserve">  Production</v>
      </c>
      <c r="C99" s="17" t="s">
        <v>214</v>
      </c>
      <c r="D99" s="17">
        <f>D83-D91</f>
        <v>2598277.1000000006</v>
      </c>
      <c r="E99" s="17"/>
      <c r="F99" s="17"/>
      <c r="G99" s="55"/>
      <c r="H99" s="17"/>
      <c r="I99" s="17" t="s">
        <v>2</v>
      </c>
      <c r="J99" s="17"/>
      <c r="K99" s="55"/>
      <c r="L99" s="9"/>
      <c r="N99" s="17"/>
      <c r="O99" s="17"/>
      <c r="P99" s="9"/>
    </row>
    <row r="100" spans="1:16">
      <c r="A100" s="13">
        <v>14</v>
      </c>
      <c r="B100" s="9" t="str">
        <f>+B92</f>
        <v xml:space="preserve">  Transmission</v>
      </c>
      <c r="C100" s="17" t="s">
        <v>215</v>
      </c>
      <c r="D100" s="17">
        <f>D84-D92</f>
        <v>508087.32999999961</v>
      </c>
      <c r="E100" s="17"/>
      <c r="F100" s="17"/>
      <c r="G100" s="53"/>
      <c r="H100" s="17"/>
      <c r="I100" s="17">
        <f>I84-I92</f>
        <v>508087.32999999961</v>
      </c>
      <c r="J100" s="17"/>
      <c r="K100" s="55"/>
      <c r="L100" s="9"/>
      <c r="N100" s="17"/>
      <c r="O100" s="17"/>
      <c r="P100" s="9"/>
    </row>
    <row r="101" spans="1:16">
      <c r="A101" s="13">
        <v>15</v>
      </c>
      <c r="B101" s="9" t="str">
        <f>+B93</f>
        <v xml:space="preserve">  Distribution</v>
      </c>
      <c r="C101" s="17" t="s">
        <v>216</v>
      </c>
      <c r="D101" s="17">
        <f>D85-D93</f>
        <v>5024740.040000001</v>
      </c>
      <c r="E101" s="17"/>
      <c r="F101" s="17"/>
      <c r="G101" s="55"/>
      <c r="H101" s="17"/>
      <c r="I101" s="17" t="s">
        <v>2</v>
      </c>
      <c r="J101" s="17"/>
      <c r="K101" s="55"/>
      <c r="L101" s="9"/>
      <c r="N101" s="17"/>
      <c r="O101" s="17"/>
      <c r="P101" s="9"/>
    </row>
    <row r="102" spans="1:16">
      <c r="A102" s="13">
        <v>16</v>
      </c>
      <c r="B102" s="9" t="str">
        <f>+B94</f>
        <v xml:space="preserve">  General &amp; Intangible</v>
      </c>
      <c r="C102" s="17" t="s">
        <v>217</v>
      </c>
      <c r="D102" s="17">
        <f>D86-D94</f>
        <v>1186207.98</v>
      </c>
      <c r="E102" s="17"/>
      <c r="F102" s="17"/>
      <c r="G102" s="55"/>
      <c r="H102" s="17"/>
      <c r="I102" s="17">
        <f>I86-I94</f>
        <v>225752.8386654233</v>
      </c>
      <c r="J102" s="17"/>
      <c r="K102" s="55"/>
      <c r="L102" s="9"/>
      <c r="N102" s="17"/>
      <c r="O102" s="13"/>
      <c r="P102" s="9"/>
    </row>
    <row r="103" spans="1:16" ht="16.5" thickBot="1">
      <c r="A103" s="13">
        <v>17</v>
      </c>
      <c r="B103" s="9" t="str">
        <f>+B95</f>
        <v xml:space="preserve">  Common</v>
      </c>
      <c r="C103" s="17" t="s">
        <v>218</v>
      </c>
      <c r="D103" s="30">
        <f>D87-D95</f>
        <v>0</v>
      </c>
      <c r="E103" s="17"/>
      <c r="F103" s="17"/>
      <c r="G103" s="55"/>
      <c r="H103" s="17"/>
      <c r="I103" s="30">
        <f>I87-I95</f>
        <v>0</v>
      </c>
      <c r="J103" s="17"/>
      <c r="K103" s="55"/>
      <c r="L103" s="9"/>
      <c r="N103" s="17"/>
      <c r="O103" s="13"/>
      <c r="P103" s="9"/>
    </row>
    <row r="104" spans="1:16">
      <c r="A104" s="13">
        <v>18</v>
      </c>
      <c r="B104" s="9" t="s">
        <v>219</v>
      </c>
      <c r="C104" s="17"/>
      <c r="D104" s="17">
        <f>SUM(D99:D103)</f>
        <v>9317312.4500000011</v>
      </c>
      <c r="E104" s="17"/>
      <c r="F104" s="17" t="s">
        <v>61</v>
      </c>
      <c r="G104" s="55">
        <f>IF(I104&gt;0,I104/D104,0)</f>
        <v>7.876092731712811E-2</v>
      </c>
      <c r="H104" s="17"/>
      <c r="I104" s="17">
        <f>SUM(I99:I103)</f>
        <v>733840.16866542294</v>
      </c>
      <c r="J104" s="17"/>
      <c r="K104" s="17"/>
      <c r="L104" s="9"/>
      <c r="N104" s="31"/>
      <c r="O104" s="17"/>
      <c r="P104" s="9"/>
    </row>
    <row r="105" spans="1:16">
      <c r="A105" s="13"/>
      <c r="C105" s="17"/>
      <c r="E105" s="17"/>
      <c r="H105" s="17"/>
      <c r="J105" s="17"/>
      <c r="K105" s="55"/>
      <c r="L105" s="9"/>
      <c r="N105" s="17"/>
      <c r="O105" s="17"/>
      <c r="P105" s="9"/>
    </row>
    <row r="106" spans="1:16">
      <c r="A106" s="13"/>
      <c r="B106" s="9" t="s">
        <v>220</v>
      </c>
      <c r="C106" s="17"/>
      <c r="D106" s="17"/>
      <c r="E106" s="17"/>
      <c r="F106" s="17"/>
      <c r="G106" s="17"/>
      <c r="H106" s="17"/>
      <c r="I106" s="17"/>
      <c r="J106" s="17"/>
      <c r="K106" s="17"/>
      <c r="L106" s="9"/>
      <c r="N106" s="17" t="s">
        <v>2</v>
      </c>
      <c r="O106" s="17"/>
      <c r="P106" s="9"/>
    </row>
    <row r="107" spans="1:16">
      <c r="A107" s="13">
        <v>19</v>
      </c>
      <c r="B107" s="9" t="s">
        <v>62</v>
      </c>
      <c r="C107" s="17"/>
      <c r="D107" s="56">
        <v>0</v>
      </c>
      <c r="E107" s="17"/>
      <c r="F107" s="17"/>
      <c r="G107" s="58" t="s">
        <v>177</v>
      </c>
      <c r="H107" s="17"/>
      <c r="I107" s="17">
        <v>0</v>
      </c>
      <c r="J107" s="17"/>
      <c r="K107" s="55"/>
      <c r="L107" s="9"/>
      <c r="N107" s="55"/>
      <c r="O107" s="13"/>
      <c r="P107" s="9"/>
    </row>
    <row r="108" spans="1:16">
      <c r="A108" s="13">
        <v>20</v>
      </c>
      <c r="B108" s="9" t="s">
        <v>64</v>
      </c>
      <c r="C108" s="17"/>
      <c r="D108" s="56">
        <v>0</v>
      </c>
      <c r="E108" s="17"/>
      <c r="F108" s="17" t="s">
        <v>63</v>
      </c>
      <c r="G108" s="53">
        <f>+G104</f>
        <v>7.876092731712811E-2</v>
      </c>
      <c r="H108" s="17"/>
      <c r="I108" s="17">
        <f>D108*G108</f>
        <v>0</v>
      </c>
      <c r="J108" s="17"/>
      <c r="K108" s="55"/>
      <c r="L108" s="9"/>
      <c r="N108" s="55"/>
      <c r="O108" s="13"/>
      <c r="P108" s="9"/>
    </row>
    <row r="109" spans="1:16">
      <c r="A109" s="13">
        <v>21</v>
      </c>
      <c r="B109" s="9" t="s">
        <v>65</v>
      </c>
      <c r="C109" s="17"/>
      <c r="D109" s="52">
        <v>0</v>
      </c>
      <c r="E109" s="17"/>
      <c r="F109" s="17" t="s">
        <v>63</v>
      </c>
      <c r="G109" s="53">
        <f>+G108</f>
        <v>7.876092731712811E-2</v>
      </c>
      <c r="H109" s="17"/>
      <c r="I109" s="17">
        <f>D109*G109</f>
        <v>0</v>
      </c>
      <c r="J109" s="17"/>
      <c r="K109" s="55"/>
      <c r="L109" s="9"/>
      <c r="N109" s="55"/>
      <c r="O109" s="13"/>
      <c r="P109" s="9"/>
    </row>
    <row r="110" spans="1:16">
      <c r="A110" s="13">
        <v>22</v>
      </c>
      <c r="B110" s="9" t="s">
        <v>66</v>
      </c>
      <c r="C110" s="17"/>
      <c r="D110" s="52">
        <v>0</v>
      </c>
      <c r="E110" s="17"/>
      <c r="F110" s="17" t="str">
        <f>+F109</f>
        <v>NP</v>
      </c>
      <c r="G110" s="53">
        <f>+G109</f>
        <v>7.876092731712811E-2</v>
      </c>
      <c r="H110" s="17"/>
      <c r="I110" s="17">
        <f>D110*G110</f>
        <v>0</v>
      </c>
      <c r="J110" s="17"/>
      <c r="K110" s="55"/>
      <c r="L110" s="9"/>
      <c r="N110" s="55"/>
      <c r="O110" s="13"/>
      <c r="P110" s="9"/>
    </row>
    <row r="111" spans="1:16" ht="16.5" thickBot="1">
      <c r="A111" s="13">
        <v>23</v>
      </c>
      <c r="B111" s="6" t="s">
        <v>67</v>
      </c>
      <c r="D111" s="54">
        <v>0</v>
      </c>
      <c r="E111" s="17"/>
      <c r="F111" s="17" t="s">
        <v>63</v>
      </c>
      <c r="G111" s="53">
        <f>+G109</f>
        <v>7.876092731712811E-2</v>
      </c>
      <c r="H111" s="17"/>
      <c r="I111" s="30">
        <f>D111*G111</f>
        <v>0</v>
      </c>
      <c r="J111" s="17"/>
      <c r="K111" s="17"/>
      <c r="L111" s="9"/>
      <c r="N111" s="57"/>
      <c r="O111" s="17"/>
      <c r="P111" s="9"/>
    </row>
    <row r="112" spans="1:16">
      <c r="A112" s="13">
        <v>24</v>
      </c>
      <c r="B112" s="9" t="s">
        <v>68</v>
      </c>
      <c r="C112" s="17"/>
      <c r="D112" s="17">
        <f>SUM(D107:D111)</f>
        <v>0</v>
      </c>
      <c r="E112" s="17"/>
      <c r="F112" s="17"/>
      <c r="G112" s="17"/>
      <c r="H112" s="17"/>
      <c r="I112" s="17">
        <f>SUM(I107:I111)</f>
        <v>0</v>
      </c>
      <c r="J112" s="17"/>
      <c r="K112" s="55"/>
      <c r="L112" s="9"/>
      <c r="N112" s="17"/>
      <c r="O112" s="17"/>
      <c r="P112" s="9"/>
    </row>
    <row r="113" spans="1:16">
      <c r="A113" s="13"/>
      <c r="B113" s="9"/>
      <c r="C113" s="17"/>
      <c r="D113" s="17"/>
      <c r="E113" s="17"/>
      <c r="F113" s="17"/>
      <c r="G113" s="17"/>
      <c r="H113" s="17"/>
      <c r="I113" s="17"/>
      <c r="J113" s="17"/>
      <c r="K113" s="55"/>
      <c r="L113" s="9"/>
      <c r="N113" s="17"/>
      <c r="O113" s="17"/>
      <c r="P113" s="9"/>
    </row>
    <row r="114" spans="1:16">
      <c r="A114" s="13">
        <v>25</v>
      </c>
      <c r="B114" s="9" t="s">
        <v>69</v>
      </c>
      <c r="C114" s="17" t="s">
        <v>254</v>
      </c>
      <c r="D114" s="56">
        <f>S1_Plant!C19</f>
        <v>100000</v>
      </c>
      <c r="E114" s="17"/>
      <c r="F114" s="17" t="str">
        <f>+F92</f>
        <v>TP</v>
      </c>
      <c r="G114" s="53">
        <f>+G92</f>
        <v>1</v>
      </c>
      <c r="H114" s="17"/>
      <c r="I114" s="17">
        <f>+G114*D114</f>
        <v>100000</v>
      </c>
      <c r="J114" s="17"/>
      <c r="K114" s="17"/>
      <c r="L114" s="9"/>
      <c r="N114" s="17"/>
      <c r="O114" s="17"/>
      <c r="P114" s="9"/>
    </row>
    <row r="115" spans="1:16">
      <c r="A115" s="13"/>
      <c r="B115" s="9"/>
      <c r="C115" s="17"/>
      <c r="D115" s="17"/>
      <c r="E115" s="17"/>
      <c r="F115" s="17"/>
      <c r="G115" s="17"/>
      <c r="H115" s="17"/>
      <c r="I115" s="17"/>
      <c r="J115" s="17"/>
      <c r="K115" s="17"/>
      <c r="L115" s="9"/>
      <c r="N115" s="17"/>
      <c r="O115" s="17"/>
      <c r="P115" s="9"/>
    </row>
    <row r="116" spans="1:16">
      <c r="A116" s="13"/>
      <c r="B116" s="9" t="s">
        <v>70</v>
      </c>
      <c r="C116" s="17" t="s">
        <v>72</v>
      </c>
      <c r="D116" s="17"/>
      <c r="E116" s="17"/>
      <c r="F116" s="17"/>
      <c r="G116" s="17"/>
      <c r="H116" s="17"/>
      <c r="I116" s="17"/>
      <c r="J116" s="17"/>
      <c r="K116" s="17"/>
      <c r="L116" s="9"/>
      <c r="N116" s="17"/>
      <c r="O116" s="17"/>
      <c r="P116" s="9"/>
    </row>
    <row r="117" spans="1:16">
      <c r="A117" s="13">
        <v>26</v>
      </c>
      <c r="B117" s="9" t="s">
        <v>71</v>
      </c>
      <c r="D117" s="17">
        <f>D158/8</f>
        <v>103586.30125000002</v>
      </c>
      <c r="E117" s="17"/>
      <c r="F117" s="17"/>
      <c r="G117" s="55"/>
      <c r="H117" s="17"/>
      <c r="I117" s="17">
        <f>I158/8</f>
        <v>35884.035341239731</v>
      </c>
      <c r="J117" s="11"/>
      <c r="K117" s="55"/>
      <c r="L117" s="9"/>
      <c r="N117" s="59"/>
      <c r="O117" s="10"/>
      <c r="P117" s="9"/>
    </row>
    <row r="118" spans="1:16">
      <c r="A118" s="13">
        <v>27</v>
      </c>
      <c r="B118" s="9" t="s">
        <v>73</v>
      </c>
      <c r="C118" s="6" t="s">
        <v>221</v>
      </c>
      <c r="D118" s="56">
        <v>0</v>
      </c>
      <c r="E118" s="17"/>
      <c r="F118" s="17" t="s">
        <v>74</v>
      </c>
      <c r="G118" s="53">
        <f>I229</f>
        <v>1</v>
      </c>
      <c r="H118" s="17"/>
      <c r="I118" s="17">
        <f>G118*D118</f>
        <v>0</v>
      </c>
      <c r="J118" s="17" t="s">
        <v>2</v>
      </c>
      <c r="K118" s="55"/>
      <c r="L118" s="9"/>
      <c r="N118" s="59"/>
      <c r="O118" s="13"/>
      <c r="P118" s="9"/>
    </row>
    <row r="119" spans="1:16" ht="16.5" thickBot="1">
      <c r="A119" s="13">
        <v>28</v>
      </c>
      <c r="B119" s="9" t="s">
        <v>75</v>
      </c>
      <c r="C119" s="6" t="s">
        <v>255</v>
      </c>
      <c r="D119" s="54">
        <f>Prepayments</f>
        <v>105077</v>
      </c>
      <c r="E119" s="17"/>
      <c r="F119" s="17" t="s">
        <v>76</v>
      </c>
      <c r="G119" s="53">
        <f>+G88</f>
        <v>0.17993246396654144</v>
      </c>
      <c r="H119" s="17"/>
      <c r="I119" s="30">
        <f>+G119*D119</f>
        <v>18906.763516212275</v>
      </c>
      <c r="J119" s="17"/>
      <c r="K119" s="55"/>
      <c r="L119" s="9"/>
      <c r="N119" s="59"/>
      <c r="O119" s="13"/>
      <c r="P119" s="9"/>
    </row>
    <row r="120" spans="1:16">
      <c r="A120" s="13">
        <v>29</v>
      </c>
      <c r="B120" s="9" t="s">
        <v>222</v>
      </c>
      <c r="C120" s="11"/>
      <c r="D120" s="17">
        <f>D117+D118+D119</f>
        <v>208663.30125000002</v>
      </c>
      <c r="E120" s="11"/>
      <c r="F120" s="11"/>
      <c r="G120" s="11"/>
      <c r="H120" s="11"/>
      <c r="I120" s="17">
        <f>I117+I118+I119</f>
        <v>54790.798857452006</v>
      </c>
      <c r="J120" s="11"/>
      <c r="K120" s="11"/>
      <c r="L120" s="9"/>
      <c r="N120" s="57"/>
      <c r="O120" s="17"/>
      <c r="P120" s="9"/>
    </row>
    <row r="121" spans="1:16" ht="16.5" thickBot="1">
      <c r="C121" s="17"/>
      <c r="D121" s="60"/>
      <c r="E121" s="17"/>
      <c r="F121" s="17"/>
      <c r="G121" s="17"/>
      <c r="H121" s="17"/>
      <c r="I121" s="60"/>
      <c r="J121" s="17"/>
      <c r="K121" s="17"/>
      <c r="L121" s="9"/>
      <c r="N121" s="17"/>
      <c r="O121" s="17"/>
      <c r="P121" s="9"/>
    </row>
    <row r="122" spans="1:16" ht="16.5" thickBot="1">
      <c r="A122" s="13">
        <v>30</v>
      </c>
      <c r="B122" s="9" t="s">
        <v>77</v>
      </c>
      <c r="C122" s="17"/>
      <c r="D122" s="61">
        <f>+D120+D114+D112+D104</f>
        <v>9625975.7512500007</v>
      </c>
      <c r="E122" s="17"/>
      <c r="F122" s="17"/>
      <c r="G122" s="55"/>
      <c r="H122" s="17"/>
      <c r="I122" s="61">
        <f>+I120+I114+I112+I104</f>
        <v>888630.96752287494</v>
      </c>
      <c r="J122" s="17"/>
      <c r="K122" s="55"/>
      <c r="L122" s="9"/>
      <c r="N122" s="17"/>
      <c r="O122" s="17"/>
      <c r="P122" s="9"/>
    </row>
    <row r="123" spans="1:16" ht="16.5" thickTop="1">
      <c r="A123" s="13"/>
      <c r="B123" s="9"/>
      <c r="C123" s="17"/>
      <c r="D123" s="17"/>
      <c r="E123" s="17"/>
      <c r="F123" s="17"/>
      <c r="G123" s="17"/>
      <c r="H123" s="17"/>
      <c r="I123" s="17"/>
      <c r="J123" s="17"/>
      <c r="K123" s="17"/>
      <c r="L123" s="11"/>
      <c r="N123" s="17"/>
      <c r="O123" s="17"/>
      <c r="P123" s="9"/>
    </row>
    <row r="124" spans="1:16">
      <c r="A124" s="13"/>
      <c r="B124" s="9"/>
      <c r="C124" s="17"/>
      <c r="D124" s="17"/>
      <c r="E124" s="17"/>
      <c r="F124" s="17"/>
      <c r="G124" s="17"/>
      <c r="H124" s="17"/>
      <c r="I124" s="17"/>
      <c r="J124" s="17"/>
      <c r="K124" s="17"/>
      <c r="L124" s="11"/>
      <c r="N124" s="17"/>
      <c r="O124" s="17"/>
      <c r="P124" s="9"/>
    </row>
    <row r="125" spans="1:16">
      <c r="A125" s="13"/>
      <c r="B125" s="9"/>
      <c r="C125" s="17"/>
      <c r="D125" s="17"/>
      <c r="E125" s="17"/>
      <c r="F125" s="17"/>
      <c r="G125" s="17"/>
      <c r="H125" s="17"/>
      <c r="I125" s="17"/>
      <c r="J125" s="17"/>
      <c r="K125" s="17"/>
      <c r="L125" s="11"/>
      <c r="N125" s="17"/>
      <c r="O125" s="17"/>
      <c r="P125" s="9"/>
    </row>
    <row r="126" spans="1:16">
      <c r="A126" s="13"/>
      <c r="B126" s="9"/>
      <c r="C126" s="17"/>
      <c r="D126" s="17"/>
      <c r="E126" s="17"/>
      <c r="F126" s="17"/>
      <c r="G126" s="17"/>
      <c r="H126" s="17"/>
      <c r="I126" s="17"/>
      <c r="J126" s="17"/>
      <c r="K126" s="17"/>
      <c r="L126" s="11"/>
      <c r="N126" s="17"/>
      <c r="O126" s="17"/>
      <c r="P126" s="9"/>
    </row>
    <row r="127" spans="1:16">
      <c r="A127" s="13"/>
      <c r="B127" s="9"/>
      <c r="C127" s="17"/>
      <c r="D127" s="17"/>
      <c r="E127" s="17"/>
      <c r="F127" s="17"/>
      <c r="G127" s="17"/>
      <c r="H127" s="17"/>
      <c r="I127" s="17"/>
      <c r="J127" s="17"/>
      <c r="K127" s="17"/>
      <c r="L127" s="11"/>
      <c r="N127" s="17"/>
      <c r="O127" s="17"/>
      <c r="P127" s="9"/>
    </row>
    <row r="128" spans="1:16">
      <c r="A128" s="13"/>
      <c r="B128" s="9"/>
      <c r="C128" s="17"/>
      <c r="D128" s="17"/>
      <c r="E128" s="17"/>
      <c r="F128" s="17"/>
      <c r="G128" s="17"/>
      <c r="H128" s="17"/>
      <c r="I128" s="17"/>
      <c r="J128" s="17"/>
      <c r="K128" s="17"/>
      <c r="L128" s="11"/>
      <c r="N128" s="17"/>
      <c r="O128" s="17"/>
      <c r="P128" s="9"/>
    </row>
    <row r="129" spans="1:16">
      <c r="A129" s="13"/>
      <c r="B129" s="9"/>
      <c r="C129" s="17"/>
      <c r="D129" s="17"/>
      <c r="E129" s="17"/>
      <c r="F129" s="17"/>
      <c r="G129" s="17"/>
      <c r="H129" s="17"/>
      <c r="I129" s="17"/>
      <c r="J129" s="17"/>
      <c r="K129" s="17"/>
      <c r="L129" s="11"/>
      <c r="N129" s="17"/>
      <c r="O129" s="17"/>
      <c r="P129" s="9"/>
    </row>
    <row r="130" spans="1:16">
      <c r="A130" s="13"/>
      <c r="B130" s="9"/>
      <c r="C130" s="17"/>
      <c r="D130" s="17"/>
      <c r="E130" s="17"/>
      <c r="F130" s="17"/>
      <c r="G130" s="17"/>
      <c r="H130" s="17"/>
      <c r="I130" s="17"/>
      <c r="J130" s="17"/>
      <c r="K130" s="17"/>
      <c r="L130" s="11"/>
      <c r="N130" s="17"/>
      <c r="O130" s="17"/>
      <c r="P130" s="9"/>
    </row>
    <row r="131" spans="1:16">
      <c r="A131" s="13"/>
      <c r="B131" s="9"/>
      <c r="C131" s="17"/>
      <c r="D131" s="17"/>
      <c r="E131" s="17"/>
      <c r="F131" s="17"/>
      <c r="G131" s="17"/>
      <c r="H131" s="17"/>
      <c r="I131" s="17"/>
      <c r="J131" s="17"/>
      <c r="K131" s="17"/>
      <c r="L131" s="11"/>
      <c r="N131" s="17"/>
      <c r="O131" s="17"/>
      <c r="P131" s="9"/>
    </row>
    <row r="132" spans="1:16">
      <c r="A132" s="13"/>
      <c r="B132" s="9"/>
      <c r="C132" s="17"/>
      <c r="D132" s="17"/>
      <c r="E132" s="17"/>
      <c r="F132" s="17"/>
      <c r="G132" s="17"/>
      <c r="H132" s="17"/>
      <c r="I132" s="17"/>
      <c r="J132" s="17"/>
      <c r="K132" s="17"/>
      <c r="L132" s="11"/>
      <c r="N132" s="17"/>
      <c r="O132" s="17"/>
      <c r="P132" s="9"/>
    </row>
    <row r="133" spans="1:16">
      <c r="A133" s="13"/>
      <c r="B133" s="9"/>
      <c r="C133" s="17"/>
      <c r="D133" s="17"/>
      <c r="E133" s="17"/>
      <c r="F133" s="17"/>
      <c r="G133" s="17"/>
      <c r="H133" s="17"/>
      <c r="I133" s="17"/>
      <c r="J133" s="17"/>
      <c r="K133" s="17"/>
      <c r="L133" s="11"/>
      <c r="N133" s="17"/>
      <c r="O133" s="17"/>
      <c r="P133" s="9"/>
    </row>
    <row r="134" spans="1:16">
      <c r="A134" s="13"/>
      <c r="B134" s="9"/>
      <c r="C134" s="17"/>
      <c r="D134" s="17"/>
      <c r="E134" s="17"/>
      <c r="F134" s="17"/>
      <c r="G134" s="17"/>
      <c r="H134" s="17"/>
      <c r="I134" s="17"/>
      <c r="J134" s="17"/>
      <c r="K134" s="17"/>
      <c r="L134" s="11"/>
      <c r="N134" s="17"/>
      <c r="O134" s="17"/>
      <c r="P134" s="9"/>
    </row>
    <row r="135" spans="1:16">
      <c r="A135" s="13"/>
      <c r="B135" s="9"/>
      <c r="C135" s="17"/>
      <c r="D135" s="17"/>
      <c r="E135" s="17"/>
      <c r="F135" s="17"/>
      <c r="G135" s="17"/>
      <c r="H135" s="17"/>
      <c r="I135" s="17"/>
      <c r="J135" s="17"/>
      <c r="K135" s="17"/>
      <c r="L135" s="11"/>
      <c r="N135" s="17"/>
      <c r="O135" s="17"/>
      <c r="P135" s="9"/>
    </row>
    <row r="136" spans="1:16">
      <c r="A136" s="13"/>
      <c r="B136" s="9"/>
      <c r="C136" s="17"/>
      <c r="D136" s="17"/>
      <c r="E136" s="17"/>
      <c r="F136" s="17"/>
      <c r="G136" s="17"/>
      <c r="H136" s="17"/>
      <c r="I136" s="17"/>
      <c r="J136" s="17"/>
      <c r="K136" s="17"/>
      <c r="L136" s="11"/>
      <c r="N136" s="17"/>
      <c r="O136" s="17"/>
      <c r="P136" s="9"/>
    </row>
    <row r="137" spans="1:16">
      <c r="A137" s="13"/>
      <c r="B137" s="9"/>
      <c r="C137" s="17"/>
      <c r="D137" s="17"/>
      <c r="E137" s="17"/>
      <c r="F137" s="17"/>
      <c r="G137" s="17"/>
      <c r="H137" s="17"/>
      <c r="I137" s="17"/>
      <c r="J137" s="17"/>
      <c r="K137" s="17"/>
      <c r="L137" s="11"/>
      <c r="N137" s="17"/>
      <c r="O137" s="17"/>
      <c r="P137" s="9"/>
    </row>
    <row r="138" spans="1:16">
      <c r="A138" s="13"/>
      <c r="B138" s="9"/>
      <c r="C138" s="17"/>
      <c r="D138" s="17"/>
      <c r="E138" s="17"/>
      <c r="F138" s="17"/>
      <c r="G138" s="17"/>
      <c r="H138" s="17"/>
      <c r="I138" s="17"/>
      <c r="J138" s="17"/>
      <c r="K138" s="7" t="s">
        <v>300</v>
      </c>
      <c r="L138" s="11"/>
      <c r="N138" s="17"/>
      <c r="O138" s="17"/>
      <c r="P138" s="9"/>
    </row>
    <row r="139" spans="1:16">
      <c r="B139" s="9"/>
      <c r="C139" s="9"/>
      <c r="D139" s="10"/>
      <c r="E139" s="9"/>
      <c r="F139" s="9"/>
      <c r="G139" s="9"/>
      <c r="H139" s="11"/>
      <c r="I139" s="11"/>
      <c r="K139" s="12" t="s">
        <v>186</v>
      </c>
      <c r="L139" s="11"/>
      <c r="N139" s="11"/>
      <c r="O139" s="11"/>
      <c r="P139" s="11"/>
    </row>
    <row r="140" spans="1:16">
      <c r="A140" s="13"/>
      <c r="B140" s="9"/>
      <c r="C140" s="17"/>
      <c r="D140" s="17"/>
      <c r="E140" s="17"/>
      <c r="F140" s="17"/>
      <c r="G140" s="17"/>
      <c r="H140" s="17"/>
      <c r="I140" s="17"/>
      <c r="J140" s="17"/>
      <c r="K140" s="17"/>
      <c r="L140" s="11"/>
      <c r="N140" s="17"/>
      <c r="O140" s="17"/>
      <c r="P140" s="9"/>
    </row>
    <row r="141" spans="1:16">
      <c r="A141" s="13"/>
      <c r="B141" s="9" t="str">
        <f>B4</f>
        <v xml:space="preserve">Formula Rate - Non-Levelized </v>
      </c>
      <c r="C141" s="17"/>
      <c r="D141" s="17" t="str">
        <f>D4</f>
        <v xml:space="preserve">   Rate Formula Template</v>
      </c>
      <c r="E141" s="17"/>
      <c r="F141" s="17"/>
      <c r="G141" s="17"/>
      <c r="H141" s="17"/>
      <c r="J141" s="17"/>
      <c r="K141" s="62" t="str">
        <f>K4</f>
        <v>For the 12 months ended 12/31/17</v>
      </c>
      <c r="L141" s="9"/>
      <c r="N141" s="17"/>
      <c r="O141" s="17"/>
      <c r="P141" s="9"/>
    </row>
    <row r="142" spans="1:16">
      <c r="A142" s="13"/>
      <c r="B142" s="9"/>
      <c r="C142" s="17"/>
      <c r="D142" s="17" t="str">
        <f>D5</f>
        <v>Utilizing EIA Form 412 Data</v>
      </c>
      <c r="E142" s="17"/>
      <c r="F142" s="17"/>
      <c r="G142" s="17"/>
      <c r="H142" s="17"/>
      <c r="I142" s="17"/>
      <c r="J142" s="17"/>
      <c r="K142" s="17"/>
      <c r="L142" s="9"/>
      <c r="N142" s="17"/>
      <c r="O142" s="17"/>
      <c r="P142" s="9"/>
    </row>
    <row r="143" spans="1:16">
      <c r="A143" s="13"/>
      <c r="C143" s="17"/>
      <c r="D143" s="17"/>
      <c r="E143" s="17"/>
      <c r="F143" s="17"/>
      <c r="G143" s="17"/>
      <c r="H143" s="17"/>
      <c r="I143" s="17"/>
      <c r="J143" s="17"/>
      <c r="K143" s="17"/>
      <c r="L143" s="9"/>
      <c r="N143" s="17"/>
      <c r="O143" s="17"/>
      <c r="P143" s="9"/>
    </row>
    <row r="144" spans="1:16">
      <c r="A144" s="13"/>
      <c r="D144" s="6" t="str">
        <f>D7</f>
        <v>Blue Earth, MN</v>
      </c>
      <c r="J144" s="17"/>
      <c r="K144" s="17"/>
      <c r="L144" s="9"/>
      <c r="N144" s="17"/>
      <c r="O144" s="17"/>
      <c r="P144" s="9"/>
    </row>
    <row r="145" spans="1:16">
      <c r="A145" s="13"/>
      <c r="B145" s="13" t="s">
        <v>39</v>
      </c>
      <c r="C145" s="13" t="s">
        <v>40</v>
      </c>
      <c r="D145" s="13" t="s">
        <v>41</v>
      </c>
      <c r="E145" s="17" t="s">
        <v>2</v>
      </c>
      <c r="F145" s="17"/>
      <c r="G145" s="45" t="s">
        <v>42</v>
      </c>
      <c r="H145" s="17"/>
      <c r="I145" s="46" t="s">
        <v>43</v>
      </c>
      <c r="J145" s="17"/>
      <c r="K145" s="17"/>
      <c r="L145" s="9"/>
      <c r="N145" s="11"/>
      <c r="O145" s="17"/>
      <c r="P145" s="9"/>
    </row>
    <row r="146" spans="1:16">
      <c r="A146" s="13" t="s">
        <v>4</v>
      </c>
      <c r="B146" s="9"/>
      <c r="C146" s="47" t="s">
        <v>44</v>
      </c>
      <c r="D146" s="17"/>
      <c r="E146" s="17"/>
      <c r="F146" s="17"/>
      <c r="G146" s="13"/>
      <c r="H146" s="17"/>
      <c r="I146" s="48" t="s">
        <v>45</v>
      </c>
      <c r="J146" s="17"/>
      <c r="K146" s="48"/>
      <c r="L146" s="9"/>
      <c r="N146" s="13"/>
      <c r="O146" s="17"/>
      <c r="P146" s="9"/>
    </row>
    <row r="147" spans="1:16" ht="16.5" thickBot="1">
      <c r="A147" s="23" t="s">
        <v>6</v>
      </c>
      <c r="B147" s="9"/>
      <c r="C147" s="50" t="s">
        <v>46</v>
      </c>
      <c r="D147" s="48" t="s">
        <v>47</v>
      </c>
      <c r="E147" s="51"/>
      <c r="F147" s="48" t="s">
        <v>48</v>
      </c>
      <c r="H147" s="51"/>
      <c r="I147" s="13" t="s">
        <v>49</v>
      </c>
      <c r="J147" s="17"/>
      <c r="K147" s="48"/>
      <c r="L147" s="17" t="s">
        <v>2</v>
      </c>
      <c r="N147" s="48"/>
      <c r="O147" s="17"/>
      <c r="P147" s="9"/>
    </row>
    <row r="148" spans="1:16">
      <c r="A148" s="13"/>
      <c r="B148" s="9" t="s">
        <v>284</v>
      </c>
      <c r="C148" s="17"/>
      <c r="D148" s="17"/>
      <c r="E148" s="17"/>
      <c r="F148" s="17"/>
      <c r="G148" s="17"/>
      <c r="H148" s="17"/>
      <c r="I148" s="17"/>
      <c r="J148" s="17"/>
      <c r="K148" s="17"/>
      <c r="L148" s="9"/>
      <c r="N148" s="17"/>
      <c r="O148" s="17"/>
      <c r="P148" s="9"/>
    </row>
    <row r="149" spans="1:16">
      <c r="A149" s="13">
        <v>1</v>
      </c>
      <c r="B149" s="9" t="s">
        <v>78</v>
      </c>
      <c r="C149" s="6" t="s">
        <v>256</v>
      </c>
      <c r="D149" s="56">
        <f>TransmissionOM</f>
        <v>906376.15</v>
      </c>
      <c r="E149" s="17"/>
      <c r="F149" s="17" t="s">
        <v>74</v>
      </c>
      <c r="G149" s="53">
        <f>I229</f>
        <v>1</v>
      </c>
      <c r="H149" s="17"/>
      <c r="I149" s="17">
        <f t="shared" ref="I149:I157" si="1">+G149*D149</f>
        <v>906376.15</v>
      </c>
      <c r="J149" s="11"/>
      <c r="K149" s="17"/>
      <c r="L149" s="9"/>
      <c r="N149" s="17"/>
      <c r="O149" s="13"/>
      <c r="P149" s="17" t="s">
        <v>2</v>
      </c>
    </row>
    <row r="150" spans="1:16">
      <c r="A150" s="63" t="s">
        <v>190</v>
      </c>
      <c r="B150" s="64" t="s">
        <v>223</v>
      </c>
      <c r="C150" s="1"/>
      <c r="D150" s="56">
        <v>0</v>
      </c>
      <c r="E150" s="17"/>
      <c r="F150" s="65"/>
      <c r="G150" s="53">
        <v>1</v>
      </c>
      <c r="H150" s="17"/>
      <c r="I150" s="17">
        <f>+G150*D150</f>
        <v>0</v>
      </c>
      <c r="J150" s="11"/>
      <c r="K150" s="17"/>
      <c r="L150" s="9"/>
      <c r="N150" s="17"/>
      <c r="O150" s="13"/>
      <c r="P150" s="17"/>
    </row>
    <row r="151" spans="1:16">
      <c r="A151" s="13">
        <v>2</v>
      </c>
      <c r="B151" s="9" t="s">
        <v>79</v>
      </c>
      <c r="C151" s="6" t="s">
        <v>2</v>
      </c>
      <c r="D151" s="56">
        <f>+S4_TransOM!C22</f>
        <v>746610</v>
      </c>
      <c r="E151" s="17"/>
      <c r="F151" s="17" t="s">
        <v>74</v>
      </c>
      <c r="G151" s="53">
        <f>+G149</f>
        <v>1</v>
      </c>
      <c r="H151" s="17"/>
      <c r="I151" s="17">
        <f t="shared" si="1"/>
        <v>746610</v>
      </c>
      <c r="J151" s="11"/>
      <c r="K151" s="17"/>
      <c r="L151" s="9"/>
      <c r="N151" s="17"/>
      <c r="O151" s="13"/>
      <c r="P151" s="17"/>
    </row>
    <row r="152" spans="1:16">
      <c r="A152" s="13">
        <v>3</v>
      </c>
      <c r="B152" s="9" t="s">
        <v>80</v>
      </c>
      <c r="C152" s="6" t="s">
        <v>257</v>
      </c>
      <c r="D152" s="56">
        <f>AdminGeneralTotal</f>
        <v>668924.26000000013</v>
      </c>
      <c r="E152" s="17"/>
      <c r="F152" s="17" t="s">
        <v>56</v>
      </c>
      <c r="G152" s="53">
        <f>I236</f>
        <v>0.1903147192328139</v>
      </c>
      <c r="H152" s="17"/>
      <c r="I152" s="17">
        <f t="shared" si="1"/>
        <v>127306.13272991782</v>
      </c>
      <c r="J152" s="17"/>
      <c r="K152" s="17" t="s">
        <v>2</v>
      </c>
      <c r="L152" s="9"/>
      <c r="N152" s="17"/>
      <c r="O152" s="13"/>
      <c r="P152" s="9"/>
    </row>
    <row r="153" spans="1:16">
      <c r="A153" s="13">
        <v>4</v>
      </c>
      <c r="B153" s="9" t="s">
        <v>81</v>
      </c>
      <c r="C153" s="17"/>
      <c r="D153" s="56">
        <v>0</v>
      </c>
      <c r="E153" s="17"/>
      <c r="F153" s="17" t="str">
        <f>+F152</f>
        <v>W/S</v>
      </c>
      <c r="G153" s="53">
        <f>I236</f>
        <v>0.1903147192328139</v>
      </c>
      <c r="H153" s="17"/>
      <c r="I153" s="17">
        <f t="shared" si="1"/>
        <v>0</v>
      </c>
      <c r="J153" s="17"/>
      <c r="K153" s="17"/>
      <c r="L153" s="9"/>
      <c r="N153" s="17"/>
      <c r="O153" s="13"/>
      <c r="P153" s="9"/>
    </row>
    <row r="154" spans="1:16">
      <c r="A154" s="13">
        <v>5</v>
      </c>
      <c r="B154" s="9" t="s">
        <v>224</v>
      </c>
      <c r="C154" s="17"/>
      <c r="D154" s="56">
        <v>0</v>
      </c>
      <c r="E154" s="17"/>
      <c r="F154" s="17" t="str">
        <f>+F153</f>
        <v>W/S</v>
      </c>
      <c r="G154" s="53">
        <f>I236</f>
        <v>0.1903147192328139</v>
      </c>
      <c r="H154" s="17"/>
      <c r="I154" s="17">
        <f t="shared" si="1"/>
        <v>0</v>
      </c>
      <c r="J154" s="17"/>
      <c r="K154" s="17"/>
      <c r="L154" s="9"/>
      <c r="N154" s="17"/>
      <c r="O154" s="13"/>
      <c r="P154" s="9"/>
    </row>
    <row r="155" spans="1:16">
      <c r="A155" s="13" t="s">
        <v>178</v>
      </c>
      <c r="B155" s="9" t="s">
        <v>225</v>
      </c>
      <c r="C155" s="17"/>
      <c r="D155" s="56">
        <v>0</v>
      </c>
      <c r="E155" s="17"/>
      <c r="F155" s="17" t="str">
        <f>+F149</f>
        <v>TE</v>
      </c>
      <c r="G155" s="53">
        <f>+G149</f>
        <v>1</v>
      </c>
      <c r="H155" s="17"/>
      <c r="I155" s="17">
        <f t="shared" si="1"/>
        <v>0</v>
      </c>
      <c r="J155" s="17"/>
      <c r="K155" s="17"/>
      <c r="L155" s="9"/>
      <c r="N155" s="17"/>
      <c r="O155" s="13"/>
      <c r="P155" s="9"/>
    </row>
    <row r="156" spans="1:16">
      <c r="A156" s="13">
        <v>6</v>
      </c>
      <c r="B156" s="9" t="s">
        <v>57</v>
      </c>
      <c r="C156" s="17"/>
      <c r="D156" s="56">
        <v>0</v>
      </c>
      <c r="E156" s="17"/>
      <c r="F156" s="17" t="s">
        <v>58</v>
      </c>
      <c r="G156" s="53">
        <f>K240</f>
        <v>0.1903147192328139</v>
      </c>
      <c r="H156" s="17"/>
      <c r="I156" s="17">
        <f t="shared" si="1"/>
        <v>0</v>
      </c>
      <c r="J156" s="17"/>
      <c r="K156" s="17"/>
      <c r="L156" s="9"/>
      <c r="N156" s="17"/>
      <c r="O156" s="13"/>
      <c r="P156" s="9"/>
    </row>
    <row r="157" spans="1:16" ht="16.5" thickBot="1">
      <c r="A157" s="13">
        <v>7</v>
      </c>
      <c r="B157" s="9" t="s">
        <v>82</v>
      </c>
      <c r="C157" s="17"/>
      <c r="D157" s="54">
        <v>0</v>
      </c>
      <c r="E157" s="17"/>
      <c r="F157" s="17" t="s">
        <v>52</v>
      </c>
      <c r="G157" s="53">
        <v>1</v>
      </c>
      <c r="H157" s="17"/>
      <c r="I157" s="30">
        <f t="shared" si="1"/>
        <v>0</v>
      </c>
      <c r="J157" s="17"/>
      <c r="K157" s="17"/>
      <c r="L157" s="9"/>
      <c r="N157" s="17"/>
      <c r="O157" s="10"/>
      <c r="P157" s="9"/>
    </row>
    <row r="158" spans="1:16">
      <c r="A158" s="63">
        <v>8</v>
      </c>
      <c r="B158" s="64" t="s">
        <v>258</v>
      </c>
      <c r="C158" s="5"/>
      <c r="D158" s="5">
        <f>+D149-D151+D152-D153-D154+D155+D156+D157-D150</f>
        <v>828690.41000000015</v>
      </c>
      <c r="E158" s="5"/>
      <c r="F158" s="5"/>
      <c r="G158" s="5"/>
      <c r="H158" s="5"/>
      <c r="I158" s="5">
        <f>+I149-I151+I152-I153-I154+I155+I156+I157-I150</f>
        <v>287072.28272991785</v>
      </c>
      <c r="J158" s="5"/>
      <c r="K158" s="5"/>
      <c r="L158" s="5"/>
      <c r="M158" s="1"/>
      <c r="N158" s="66"/>
      <c r="O158" s="67"/>
      <c r="P158" s="9"/>
    </row>
    <row r="159" spans="1:16">
      <c r="A159" s="13"/>
      <c r="C159" s="17"/>
      <c r="E159" s="17"/>
      <c r="F159" s="17"/>
      <c r="G159" s="17"/>
      <c r="H159" s="17"/>
      <c r="J159" s="17"/>
      <c r="K159" s="17"/>
      <c r="L159" s="17" t="s">
        <v>2</v>
      </c>
      <c r="N159" s="17"/>
      <c r="O159" s="17"/>
      <c r="P159" s="9"/>
    </row>
    <row r="160" spans="1:16">
      <c r="A160" s="13"/>
      <c r="B160" s="9" t="s">
        <v>285</v>
      </c>
      <c r="C160" s="17"/>
      <c r="D160" s="17"/>
      <c r="E160" s="17"/>
      <c r="F160" s="17"/>
      <c r="G160" s="17"/>
      <c r="H160" s="17"/>
      <c r="I160" s="17"/>
      <c r="J160" s="17"/>
      <c r="K160" s="17"/>
      <c r="L160" s="17" t="s">
        <v>2</v>
      </c>
      <c r="N160" s="17"/>
      <c r="O160" s="17"/>
      <c r="P160" s="9"/>
    </row>
    <row r="161" spans="1:16">
      <c r="A161" s="13">
        <v>9</v>
      </c>
      <c r="B161" s="9" t="str">
        <f>+B149</f>
        <v xml:space="preserve">  Transmission </v>
      </c>
      <c r="C161" s="6" t="s">
        <v>2</v>
      </c>
      <c r="D161" s="56">
        <f>TransmissionDepreciation</f>
        <v>32948.450000000004</v>
      </c>
      <c r="E161" s="17"/>
      <c r="F161" s="17" t="s">
        <v>12</v>
      </c>
      <c r="G161" s="53">
        <f>+G114</f>
        <v>1</v>
      </c>
      <c r="H161" s="17"/>
      <c r="I161" s="17">
        <f>+G161*D161</f>
        <v>32948.450000000004</v>
      </c>
      <c r="J161" s="17"/>
      <c r="K161" s="55"/>
      <c r="L161" s="9"/>
      <c r="N161" s="17"/>
      <c r="O161" s="13"/>
      <c r="P161" s="17" t="s">
        <v>2</v>
      </c>
    </row>
    <row r="162" spans="1:16">
      <c r="A162" s="13">
        <v>10</v>
      </c>
      <c r="B162" s="9" t="s">
        <v>286</v>
      </c>
      <c r="C162" s="6" t="s">
        <v>2</v>
      </c>
      <c r="D162" s="56">
        <f>GeneralDepreciation</f>
        <v>100293.39</v>
      </c>
      <c r="E162" s="17"/>
      <c r="F162" s="17" t="s">
        <v>56</v>
      </c>
      <c r="G162" s="53">
        <f>+G152</f>
        <v>0.1903147192328139</v>
      </c>
      <c r="H162" s="17"/>
      <c r="I162" s="17">
        <f>+G162*D162</f>
        <v>19087.308358757105</v>
      </c>
      <c r="J162" s="17"/>
      <c r="K162" s="55"/>
      <c r="L162" s="9"/>
      <c r="N162" s="17"/>
      <c r="O162" s="13"/>
      <c r="P162" s="17" t="s">
        <v>2</v>
      </c>
    </row>
    <row r="163" spans="1:16" ht="16.5" thickBot="1">
      <c r="A163" s="13">
        <v>11</v>
      </c>
      <c r="B163" s="9" t="str">
        <f>+B156</f>
        <v xml:space="preserve">  Common</v>
      </c>
      <c r="C163" s="17"/>
      <c r="D163" s="54">
        <v>0</v>
      </c>
      <c r="E163" s="17"/>
      <c r="F163" s="17" t="s">
        <v>58</v>
      </c>
      <c r="G163" s="53">
        <f>+G156</f>
        <v>0.1903147192328139</v>
      </c>
      <c r="H163" s="17"/>
      <c r="I163" s="30">
        <f>+G163*D163</f>
        <v>0</v>
      </c>
      <c r="J163" s="17"/>
      <c r="K163" s="55"/>
      <c r="L163" s="9"/>
      <c r="N163" s="17"/>
      <c r="O163" s="13"/>
      <c r="P163" s="17" t="s">
        <v>2</v>
      </c>
    </row>
    <row r="164" spans="1:16">
      <c r="A164" s="13">
        <v>12</v>
      </c>
      <c r="B164" s="9" t="s">
        <v>226</v>
      </c>
      <c r="C164" s="17"/>
      <c r="D164" s="17">
        <f>SUM(D161:D163)</f>
        <v>133241.84</v>
      </c>
      <c r="E164" s="17"/>
      <c r="F164" s="17"/>
      <c r="G164" s="17"/>
      <c r="H164" s="17"/>
      <c r="I164" s="17">
        <f>SUM(I161:I163)</f>
        <v>52035.758358757113</v>
      </c>
      <c r="J164" s="17"/>
      <c r="K164" s="17"/>
      <c r="L164" s="9"/>
      <c r="N164" s="57"/>
      <c r="O164" s="17"/>
      <c r="P164" s="9"/>
    </row>
    <row r="165" spans="1:16">
      <c r="A165" s="13"/>
      <c r="B165" s="9"/>
      <c r="C165" s="17"/>
      <c r="D165" s="17"/>
      <c r="E165" s="17"/>
      <c r="F165" s="17"/>
      <c r="G165" s="17"/>
      <c r="H165" s="17"/>
      <c r="I165" s="17"/>
      <c r="J165" s="17"/>
      <c r="K165" s="17"/>
      <c r="L165" s="9"/>
      <c r="N165" s="17"/>
      <c r="O165" s="17"/>
      <c r="P165" s="9"/>
    </row>
    <row r="166" spans="1:16">
      <c r="A166" s="13" t="s">
        <v>2</v>
      </c>
      <c r="B166" s="9" t="s">
        <v>227</v>
      </c>
      <c r="D166" s="17"/>
      <c r="E166" s="17"/>
      <c r="F166" s="17"/>
      <c r="G166" s="17"/>
      <c r="H166" s="17"/>
      <c r="I166" s="17"/>
      <c r="J166" s="17"/>
      <c r="K166" s="17"/>
      <c r="L166" s="9"/>
      <c r="N166" s="17"/>
      <c r="O166" s="17"/>
      <c r="P166" s="9"/>
    </row>
    <row r="167" spans="1:16">
      <c r="A167" s="13"/>
      <c r="B167" s="9" t="s">
        <v>83</v>
      </c>
      <c r="E167" s="17"/>
      <c r="F167" s="17"/>
      <c r="H167" s="17"/>
      <c r="J167" s="17"/>
      <c r="K167" s="55"/>
      <c r="L167" s="9"/>
      <c r="N167" s="59"/>
      <c r="O167" s="13"/>
      <c r="P167" s="9"/>
    </row>
    <row r="168" spans="1:16">
      <c r="A168" s="13">
        <v>13</v>
      </c>
      <c r="B168" s="9" t="s">
        <v>84</v>
      </c>
      <c r="C168" s="17"/>
      <c r="D168" s="56">
        <f>PayrollTaxes</f>
        <v>47168</v>
      </c>
      <c r="E168" s="17"/>
      <c r="F168" s="17" t="s">
        <v>56</v>
      </c>
      <c r="G168" s="27">
        <f>+G162</f>
        <v>0.1903147192328139</v>
      </c>
      <c r="H168" s="17"/>
      <c r="I168" s="17">
        <f>+G168*D168</f>
        <v>8976.7646767733659</v>
      </c>
      <c r="J168" s="17"/>
      <c r="K168" s="55"/>
      <c r="L168" s="9"/>
      <c r="N168" s="59"/>
      <c r="O168" s="13"/>
      <c r="P168" s="9"/>
    </row>
    <row r="169" spans="1:16">
      <c r="A169" s="13">
        <v>14</v>
      </c>
      <c r="B169" s="9" t="s">
        <v>85</v>
      </c>
      <c r="C169" s="17"/>
      <c r="D169" s="56">
        <v>0</v>
      </c>
      <c r="E169" s="17"/>
      <c r="F169" s="17" t="str">
        <f>+F168</f>
        <v>W/S</v>
      </c>
      <c r="G169" s="27">
        <f>+G168</f>
        <v>0.1903147192328139</v>
      </c>
      <c r="H169" s="17"/>
      <c r="I169" s="17">
        <f>+G169*D169</f>
        <v>0</v>
      </c>
      <c r="J169" s="17"/>
      <c r="K169" s="55"/>
      <c r="L169" s="9"/>
      <c r="N169" s="59"/>
      <c r="O169" s="13"/>
      <c r="P169" s="9"/>
    </row>
    <row r="170" spans="1:16">
      <c r="A170" s="13">
        <v>15</v>
      </c>
      <c r="B170" s="9" t="s">
        <v>86</v>
      </c>
      <c r="C170" s="17"/>
      <c r="E170" s="17"/>
      <c r="F170" s="17"/>
      <c r="H170" s="17"/>
      <c r="J170" s="17"/>
      <c r="K170" s="55"/>
      <c r="L170" s="9"/>
      <c r="N170" s="59"/>
      <c r="O170" s="13"/>
      <c r="P170" s="9"/>
    </row>
    <row r="171" spans="1:16">
      <c r="A171" s="13">
        <v>16</v>
      </c>
      <c r="B171" s="9" t="s">
        <v>87</v>
      </c>
      <c r="C171" s="17"/>
      <c r="D171" s="56">
        <v>0</v>
      </c>
      <c r="E171" s="17"/>
      <c r="F171" s="17" t="s">
        <v>76</v>
      </c>
      <c r="G171" s="27">
        <f>+G88</f>
        <v>0.17993246396654144</v>
      </c>
      <c r="H171" s="17"/>
      <c r="I171" s="17">
        <f>+G171*D171</f>
        <v>0</v>
      </c>
      <c r="J171" s="17"/>
      <c r="K171" s="55"/>
      <c r="L171" s="9"/>
      <c r="N171" s="59"/>
      <c r="O171" s="13"/>
      <c r="P171" s="9"/>
    </row>
    <row r="172" spans="1:16">
      <c r="A172" s="13">
        <v>17</v>
      </c>
      <c r="B172" s="9" t="s">
        <v>88</v>
      </c>
      <c r="C172" s="17"/>
      <c r="D172" s="56">
        <v>0</v>
      </c>
      <c r="E172" s="17"/>
      <c r="F172" s="17" t="s">
        <v>52</v>
      </c>
      <c r="G172" s="68" t="s">
        <v>177</v>
      </c>
      <c r="H172" s="17"/>
      <c r="I172" s="17">
        <v>0</v>
      </c>
      <c r="J172" s="17"/>
      <c r="K172" s="55"/>
      <c r="L172" s="9"/>
      <c r="N172" s="59"/>
      <c r="O172" s="13"/>
      <c r="P172" s="9"/>
    </row>
    <row r="173" spans="1:16">
      <c r="A173" s="13">
        <v>18</v>
      </c>
      <c r="B173" s="9" t="s">
        <v>89</v>
      </c>
      <c r="C173" s="17"/>
      <c r="D173" s="56">
        <v>0</v>
      </c>
      <c r="E173" s="17"/>
      <c r="F173" s="17" t="str">
        <f>+F171</f>
        <v>GP</v>
      </c>
      <c r="G173" s="27">
        <f>+G171</f>
        <v>0.17993246396654144</v>
      </c>
      <c r="H173" s="17"/>
      <c r="I173" s="17">
        <f>+G173*D173</f>
        <v>0</v>
      </c>
      <c r="J173" s="17"/>
      <c r="K173" s="55"/>
      <c r="L173" s="9"/>
      <c r="N173" s="59"/>
      <c r="O173" s="13"/>
      <c r="P173" s="9"/>
    </row>
    <row r="174" spans="1:16" ht="16.5" thickBot="1">
      <c r="A174" s="13">
        <v>19</v>
      </c>
      <c r="B174" s="9" t="s">
        <v>90</v>
      </c>
      <c r="C174" s="17"/>
      <c r="D174" s="54">
        <f>PILOT</f>
        <v>195185</v>
      </c>
      <c r="E174" s="17"/>
      <c r="F174" s="17" t="s">
        <v>76</v>
      </c>
      <c r="G174" s="27">
        <f>+G173</f>
        <v>0.17993246396654144</v>
      </c>
      <c r="H174" s="17"/>
      <c r="I174" s="30">
        <f>+G174*D174</f>
        <v>35120.117979309391</v>
      </c>
      <c r="J174" s="17"/>
      <c r="K174" s="55"/>
      <c r="L174" s="9"/>
      <c r="N174" s="59"/>
      <c r="O174" s="13"/>
      <c r="P174" s="9"/>
    </row>
    <row r="175" spans="1:16">
      <c r="A175" s="13">
        <v>20</v>
      </c>
      <c r="B175" s="9" t="s">
        <v>91</v>
      </c>
      <c r="C175" s="17"/>
      <c r="D175" s="17">
        <f>SUM(D168:D174)</f>
        <v>242353</v>
      </c>
      <c r="E175" s="17"/>
      <c r="F175" s="17"/>
      <c r="G175" s="27"/>
      <c r="H175" s="17"/>
      <c r="I175" s="17">
        <f>SUM(I168:I174)</f>
        <v>44096.882656082758</v>
      </c>
      <c r="J175" s="17"/>
      <c r="K175" s="17"/>
      <c r="L175" s="17" t="s">
        <v>2</v>
      </c>
      <c r="N175" s="57"/>
      <c r="O175" s="17"/>
      <c r="P175" s="9"/>
    </row>
    <row r="176" spans="1:16">
      <c r="A176" s="13" t="s">
        <v>92</v>
      </c>
      <c r="B176" s="9"/>
      <c r="C176" s="17"/>
      <c r="D176" s="17"/>
      <c r="E176" s="17"/>
      <c r="F176" s="17"/>
      <c r="G176" s="27"/>
      <c r="H176" s="17"/>
      <c r="I176" s="17"/>
      <c r="J176" s="17"/>
      <c r="K176" s="17"/>
      <c r="L176" s="17"/>
      <c r="N176" s="17"/>
      <c r="O176" s="17"/>
      <c r="P176" s="9"/>
    </row>
    <row r="177" spans="1:16">
      <c r="A177" s="13" t="s">
        <v>2</v>
      </c>
      <c r="B177" s="9" t="s">
        <v>93</v>
      </c>
      <c r="C177" s="69" t="s">
        <v>204</v>
      </c>
      <c r="D177" s="17"/>
      <c r="E177" s="17"/>
      <c r="F177" s="17" t="s">
        <v>52</v>
      </c>
      <c r="G177" s="70"/>
      <c r="H177" s="17"/>
      <c r="I177" s="17"/>
      <c r="J177" s="17"/>
      <c r="L177" s="17"/>
      <c r="N177" s="17"/>
      <c r="O177" s="10"/>
      <c r="P177" s="17" t="s">
        <v>2</v>
      </c>
    </row>
    <row r="178" spans="1:16">
      <c r="A178" s="13">
        <v>21</v>
      </c>
      <c r="B178" s="71" t="s">
        <v>94</v>
      </c>
      <c r="C178" s="17"/>
      <c r="D178" s="72">
        <f>IF(D293&gt;0,1-(((1-D294)*(1-D293))/(1-D294*D293*D295)),0)</f>
        <v>0</v>
      </c>
      <c r="E178" s="17"/>
      <c r="G178" s="70"/>
      <c r="H178" s="17"/>
      <c r="J178" s="17"/>
      <c r="L178" s="17"/>
      <c r="N178" s="17"/>
      <c r="O178" s="10"/>
      <c r="P178" s="17"/>
    </row>
    <row r="179" spans="1:16">
      <c r="A179" s="13">
        <v>22</v>
      </c>
      <c r="B179" s="6" t="s">
        <v>95</v>
      </c>
      <c r="C179" s="17"/>
      <c r="D179" s="72">
        <f>IF(I250&gt;0,(D178/(1-D178))*(1-I248/I250),0)</f>
        <v>0</v>
      </c>
      <c r="E179" s="17"/>
      <c r="G179" s="70"/>
      <c r="H179" s="17"/>
      <c r="J179" s="17"/>
      <c r="L179" s="17"/>
      <c r="N179" s="17"/>
      <c r="O179" s="13"/>
      <c r="P179" s="17"/>
    </row>
    <row r="180" spans="1:16">
      <c r="A180" s="13"/>
      <c r="B180" s="9" t="s">
        <v>287</v>
      </c>
      <c r="C180" s="17"/>
      <c r="D180" s="17"/>
      <c r="E180" s="17"/>
      <c r="G180" s="70"/>
      <c r="H180" s="17"/>
      <c r="J180" s="17"/>
      <c r="L180" s="17"/>
      <c r="N180" s="17"/>
      <c r="O180" s="13"/>
      <c r="P180" s="17"/>
    </row>
    <row r="181" spans="1:16">
      <c r="A181" s="13"/>
      <c r="B181" s="9" t="s">
        <v>96</v>
      </c>
      <c r="C181" s="17"/>
      <c r="D181" s="17"/>
      <c r="E181" s="17"/>
      <c r="G181" s="70"/>
      <c r="H181" s="17"/>
      <c r="J181" s="17"/>
      <c r="L181" s="17"/>
      <c r="N181" s="17"/>
      <c r="O181" s="13"/>
      <c r="P181" s="17"/>
    </row>
    <row r="182" spans="1:16">
      <c r="A182" s="13">
        <v>23</v>
      </c>
      <c r="B182" s="71" t="s">
        <v>97</v>
      </c>
      <c r="C182" s="17"/>
      <c r="D182" s="73">
        <f>IF(D178&gt;0,1/(1-D178),0)</f>
        <v>0</v>
      </c>
      <c r="E182" s="17"/>
      <c r="G182" s="70"/>
      <c r="H182" s="17"/>
      <c r="J182" s="17"/>
      <c r="L182" s="9"/>
      <c r="N182" s="17"/>
      <c r="O182" s="13"/>
      <c r="P182" s="17"/>
    </row>
    <row r="183" spans="1:16">
      <c r="A183" s="13">
        <v>24</v>
      </c>
      <c r="B183" s="64" t="s">
        <v>290</v>
      </c>
      <c r="C183" s="17"/>
      <c r="D183" s="56">
        <v>0</v>
      </c>
      <c r="E183" s="17"/>
      <c r="G183" s="70"/>
      <c r="H183" s="17"/>
      <c r="J183" s="17"/>
      <c r="L183" s="9"/>
      <c r="N183" s="17"/>
      <c r="O183" s="13"/>
      <c r="P183" s="17"/>
    </row>
    <row r="184" spans="1:16">
      <c r="A184" s="13"/>
      <c r="B184" s="9"/>
      <c r="C184" s="17"/>
      <c r="D184" s="17"/>
      <c r="E184" s="17"/>
      <c r="G184" s="70"/>
      <c r="H184" s="17"/>
      <c r="J184" s="17"/>
      <c r="L184" s="9"/>
      <c r="N184" s="17"/>
      <c r="O184" s="13"/>
      <c r="P184" s="17"/>
    </row>
    <row r="185" spans="1:16">
      <c r="A185" s="13">
        <v>25</v>
      </c>
      <c r="B185" s="71" t="s">
        <v>98</v>
      </c>
      <c r="C185" s="69"/>
      <c r="D185" s="17">
        <f>D179*D189</f>
        <v>0</v>
      </c>
      <c r="E185" s="17"/>
      <c r="F185" s="17" t="s">
        <v>52</v>
      </c>
      <c r="G185" s="27"/>
      <c r="H185" s="17"/>
      <c r="I185" s="17">
        <f>D179*I189</f>
        <v>0</v>
      </c>
      <c r="J185" s="17"/>
      <c r="L185" s="9"/>
      <c r="N185" s="17"/>
      <c r="O185" s="13"/>
      <c r="P185" s="17"/>
    </row>
    <row r="186" spans="1:16" ht="16.5" thickBot="1">
      <c r="A186" s="13">
        <v>26</v>
      </c>
      <c r="B186" s="6" t="s">
        <v>99</v>
      </c>
      <c r="C186" s="69"/>
      <c r="D186" s="30">
        <f>D182*D183</f>
        <v>0</v>
      </c>
      <c r="E186" s="17"/>
      <c r="F186" s="6" t="s">
        <v>63</v>
      </c>
      <c r="G186" s="27">
        <f>G104</f>
        <v>7.876092731712811E-2</v>
      </c>
      <c r="H186" s="17"/>
      <c r="I186" s="30">
        <f>G186*D186</f>
        <v>0</v>
      </c>
      <c r="J186" s="17"/>
      <c r="L186" s="17" t="s">
        <v>2</v>
      </c>
      <c r="N186" s="17"/>
      <c r="O186" s="13"/>
      <c r="P186" s="17"/>
    </row>
    <row r="187" spans="1:16">
      <c r="A187" s="13">
        <v>27</v>
      </c>
      <c r="B187" s="71" t="s">
        <v>100</v>
      </c>
      <c r="C187" s="6" t="s">
        <v>101</v>
      </c>
      <c r="D187" s="74">
        <f>+D185+D186</f>
        <v>0</v>
      </c>
      <c r="E187" s="17"/>
      <c r="F187" s="17" t="s">
        <v>2</v>
      </c>
      <c r="G187" s="27" t="s">
        <v>2</v>
      </c>
      <c r="H187" s="17"/>
      <c r="I187" s="74">
        <f>+I185+I186</f>
        <v>0</v>
      </c>
      <c r="J187" s="17"/>
      <c r="L187" s="17"/>
      <c r="N187" s="17"/>
      <c r="O187" s="13"/>
      <c r="P187" s="17"/>
    </row>
    <row r="188" spans="1:16">
      <c r="A188" s="13" t="s">
        <v>2</v>
      </c>
      <c r="C188" s="75"/>
      <c r="D188" s="17"/>
      <c r="E188" s="17"/>
      <c r="F188" s="17"/>
      <c r="G188" s="27"/>
      <c r="H188" s="17"/>
      <c r="I188" s="17"/>
      <c r="J188" s="17"/>
      <c r="K188" s="17"/>
      <c r="L188" s="17"/>
      <c r="N188" s="17"/>
      <c r="O188" s="17"/>
      <c r="P188" s="9"/>
    </row>
    <row r="189" spans="1:16">
      <c r="A189" s="13">
        <v>28</v>
      </c>
      <c r="B189" s="9" t="s">
        <v>102</v>
      </c>
      <c r="C189" s="55"/>
      <c r="D189" s="17">
        <f>+$I250*D122</f>
        <v>991045.09597141633</v>
      </c>
      <c r="E189" s="17"/>
      <c r="F189" s="17" t="s">
        <v>52</v>
      </c>
      <c r="G189" s="70"/>
      <c r="H189" s="17"/>
      <c r="I189" s="17">
        <f>+$I250*I122</f>
        <v>91489.256284228482</v>
      </c>
      <c r="J189" s="17"/>
      <c r="L189" s="9"/>
      <c r="N189" s="17"/>
      <c r="O189" s="13"/>
      <c r="P189" s="17" t="s">
        <v>2</v>
      </c>
    </row>
    <row r="190" spans="1:16">
      <c r="A190" s="13"/>
      <c r="B190" s="71" t="s">
        <v>103</v>
      </c>
      <c r="D190" s="17"/>
      <c r="E190" s="17"/>
      <c r="F190" s="17"/>
      <c r="G190" s="70"/>
      <c r="H190" s="17"/>
      <c r="I190" s="17"/>
      <c r="J190" s="17"/>
      <c r="K190" s="55"/>
      <c r="L190" s="11"/>
      <c r="N190" s="17"/>
      <c r="O190" s="13"/>
      <c r="P190" s="17"/>
    </row>
    <row r="191" spans="1:16">
      <c r="A191" s="13"/>
      <c r="B191" s="9"/>
      <c r="D191" s="76"/>
      <c r="E191" s="17"/>
      <c r="F191" s="17"/>
      <c r="G191" s="70"/>
      <c r="H191" s="17"/>
      <c r="I191" s="76"/>
      <c r="J191" s="17"/>
      <c r="K191" s="55"/>
      <c r="L191" s="11"/>
      <c r="N191" s="17"/>
      <c r="O191" s="13"/>
      <c r="P191" s="17"/>
    </row>
    <row r="192" spans="1:16">
      <c r="A192" s="13">
        <v>29</v>
      </c>
      <c r="B192" s="9" t="s">
        <v>228</v>
      </c>
      <c r="C192" s="17"/>
      <c r="D192" s="76">
        <f>+D189+D187+D175+D164+D158</f>
        <v>2195330.3459714167</v>
      </c>
      <c r="E192" s="17"/>
      <c r="F192" s="17"/>
      <c r="G192" s="17"/>
      <c r="H192" s="17"/>
      <c r="I192" s="76">
        <f>+I189+I187+I175+I164+I158</f>
        <v>474694.18002898619</v>
      </c>
      <c r="J192" s="11"/>
      <c r="K192" s="11"/>
      <c r="L192" s="11"/>
      <c r="N192" s="11"/>
      <c r="O192" s="10"/>
      <c r="P192" s="9"/>
    </row>
    <row r="193" spans="1:16">
      <c r="A193" s="13"/>
      <c r="B193" s="9"/>
      <c r="C193" s="17"/>
      <c r="D193" s="76"/>
      <c r="E193" s="17"/>
      <c r="F193" s="17"/>
      <c r="G193" s="17"/>
      <c r="H193" s="17"/>
      <c r="I193" s="76"/>
      <c r="J193" s="11"/>
      <c r="K193" s="11"/>
      <c r="L193" s="11"/>
      <c r="N193" s="11"/>
      <c r="O193" s="10"/>
      <c r="P193" s="9"/>
    </row>
    <row r="194" spans="1:16">
      <c r="A194" s="13">
        <v>30</v>
      </c>
      <c r="B194" s="6" t="s">
        <v>264</v>
      </c>
      <c r="J194" s="11"/>
      <c r="K194" s="11"/>
      <c r="L194" s="11"/>
      <c r="N194" s="11"/>
      <c r="O194" s="10"/>
      <c r="P194" s="9"/>
    </row>
    <row r="195" spans="1:16">
      <c r="A195" s="13"/>
      <c r="B195" s="6" t="s">
        <v>199</v>
      </c>
      <c r="J195" s="11"/>
      <c r="K195" s="11"/>
      <c r="L195" s="11"/>
      <c r="N195" s="11"/>
      <c r="O195" s="10"/>
      <c r="P195" s="9"/>
    </row>
    <row r="196" spans="1:16">
      <c r="A196" s="13"/>
      <c r="B196" s="6" t="s">
        <v>200</v>
      </c>
      <c r="D196" s="77">
        <v>0</v>
      </c>
      <c r="E196" s="9"/>
      <c r="F196" s="9"/>
      <c r="G196" s="9"/>
      <c r="H196" s="9"/>
      <c r="I196" s="77">
        <v>0</v>
      </c>
      <c r="J196" s="11"/>
      <c r="K196" s="11"/>
      <c r="L196" s="11"/>
      <c r="N196" s="11"/>
      <c r="O196" s="10"/>
      <c r="P196" s="9"/>
    </row>
    <row r="197" spans="1:16">
      <c r="A197" s="13"/>
      <c r="B197" s="9"/>
      <c r="C197" s="17"/>
      <c r="D197" s="76"/>
      <c r="E197" s="17"/>
      <c r="F197" s="17"/>
      <c r="G197" s="17"/>
      <c r="H197" s="17"/>
      <c r="I197" s="76"/>
      <c r="J197" s="11"/>
      <c r="K197" s="11"/>
      <c r="L197" s="11"/>
      <c r="N197" s="11"/>
      <c r="O197" s="10"/>
      <c r="P197" s="9"/>
    </row>
    <row r="198" spans="1:16">
      <c r="A198" s="13" t="s">
        <v>268</v>
      </c>
      <c r="B198" s="1" t="s">
        <v>291</v>
      </c>
      <c r="C198" s="1"/>
      <c r="D198" s="1"/>
      <c r="J198" s="17"/>
      <c r="K198" s="17"/>
      <c r="L198" s="11"/>
      <c r="N198" s="17"/>
      <c r="O198" s="13"/>
      <c r="P198" s="17" t="s">
        <v>2</v>
      </c>
    </row>
    <row r="199" spans="1:16">
      <c r="A199" s="13"/>
      <c r="B199" s="6" t="s">
        <v>199</v>
      </c>
      <c r="J199" s="17"/>
      <c r="K199" s="17"/>
      <c r="L199" s="11"/>
      <c r="N199" s="17"/>
      <c r="O199" s="13"/>
      <c r="P199" s="17"/>
    </row>
    <row r="200" spans="1:16" ht="16.5" thickBot="1">
      <c r="A200" s="13"/>
      <c r="B200" s="6" t="s">
        <v>269</v>
      </c>
      <c r="D200" s="78">
        <v>0</v>
      </c>
      <c r="E200" s="9"/>
      <c r="F200" s="9"/>
      <c r="G200" s="9"/>
      <c r="H200" s="9"/>
      <c r="I200" s="78">
        <v>0</v>
      </c>
      <c r="J200" s="17"/>
      <c r="K200" s="17"/>
      <c r="L200" s="11"/>
      <c r="N200" s="17"/>
      <c r="O200" s="13"/>
      <c r="P200" s="17"/>
    </row>
    <row r="201" spans="1:16" ht="16.5" thickBot="1">
      <c r="A201" s="63">
        <v>31</v>
      </c>
      <c r="B201" s="1" t="s">
        <v>198</v>
      </c>
      <c r="C201" s="1"/>
      <c r="D201" s="79">
        <f>+D192-D196-D200</f>
        <v>2195330.3459714167</v>
      </c>
      <c r="E201" s="1"/>
      <c r="F201" s="1"/>
      <c r="G201" s="1"/>
      <c r="H201" s="1"/>
      <c r="I201" s="79">
        <f>+I192-I196-I200</f>
        <v>474694.18002898619</v>
      </c>
      <c r="J201" s="5"/>
      <c r="K201" s="5"/>
      <c r="L201" s="80"/>
      <c r="M201" s="1"/>
      <c r="N201" s="5"/>
      <c r="O201" s="13"/>
      <c r="P201" s="17"/>
    </row>
    <row r="202" spans="1:16" ht="16.5" thickTop="1">
      <c r="A202" s="13"/>
      <c r="B202" s="6" t="s">
        <v>270</v>
      </c>
      <c r="J202" s="17"/>
      <c r="K202" s="17"/>
      <c r="L202" s="11"/>
      <c r="N202" s="17"/>
      <c r="O202" s="13"/>
      <c r="P202" s="17"/>
    </row>
    <row r="203" spans="1:16" s="82" customFormat="1">
      <c r="A203" s="81"/>
      <c r="J203" s="83"/>
      <c r="K203" s="83"/>
      <c r="L203" s="84"/>
      <c r="N203" s="83"/>
      <c r="O203" s="81"/>
      <c r="P203" s="83"/>
    </row>
    <row r="204" spans="1:16" s="82" customFormat="1">
      <c r="A204" s="81"/>
      <c r="J204" s="83"/>
      <c r="K204" s="83"/>
      <c r="L204" s="84"/>
      <c r="N204" s="83"/>
      <c r="O204" s="81"/>
      <c r="P204" s="83"/>
    </row>
    <row r="205" spans="1:16" s="82" customFormat="1">
      <c r="A205" s="81"/>
      <c r="J205" s="83"/>
      <c r="K205" s="7" t="s">
        <v>300</v>
      </c>
      <c r="L205" s="84"/>
      <c r="N205" s="83"/>
      <c r="O205" s="81"/>
      <c r="P205" s="83"/>
    </row>
    <row r="206" spans="1:16">
      <c r="B206" s="9"/>
      <c r="C206" s="9"/>
      <c r="D206" s="10"/>
      <c r="E206" s="9"/>
      <c r="F206" s="9"/>
      <c r="G206" s="9"/>
      <c r="H206" s="11"/>
      <c r="I206" s="11"/>
      <c r="J206" s="11"/>
      <c r="K206" s="12" t="s">
        <v>187</v>
      </c>
      <c r="L206" s="9"/>
      <c r="N206" s="11"/>
      <c r="O206" s="11"/>
      <c r="P206" s="11"/>
    </row>
    <row r="207" spans="1:16">
      <c r="A207" s="13"/>
      <c r="J207" s="17"/>
      <c r="K207" s="17"/>
      <c r="L207" s="9"/>
      <c r="N207" s="17"/>
      <c r="O207" s="13"/>
      <c r="P207" s="17"/>
    </row>
    <row r="208" spans="1:16">
      <c r="A208" s="13"/>
      <c r="B208" s="9" t="str">
        <f>B4</f>
        <v xml:space="preserve">Formula Rate - Non-Levelized </v>
      </c>
      <c r="D208" s="6" t="str">
        <f>D4</f>
        <v xml:space="preserve">   Rate Formula Template</v>
      </c>
      <c r="J208" s="17"/>
      <c r="K208" s="7" t="str">
        <f>K4</f>
        <v>For the 12 months ended 12/31/17</v>
      </c>
      <c r="L208" s="9"/>
      <c r="N208" s="17"/>
      <c r="O208" s="17"/>
      <c r="P208" s="9"/>
    </row>
    <row r="209" spans="1:17">
      <c r="A209" s="13"/>
      <c r="B209" s="9"/>
      <c r="D209" s="6" t="str">
        <f>D5</f>
        <v>Utilizing EIA Form 412 Data</v>
      </c>
      <c r="J209" s="17"/>
      <c r="K209" s="17"/>
      <c r="L209" s="9"/>
      <c r="N209" s="17"/>
      <c r="O209" s="17"/>
      <c r="P209" s="9"/>
    </row>
    <row r="210" spans="1:17" ht="9" customHeight="1">
      <c r="A210" s="13"/>
      <c r="J210" s="17"/>
      <c r="K210" s="17"/>
      <c r="L210" s="9"/>
      <c r="N210" s="17"/>
      <c r="O210" s="17"/>
      <c r="P210" s="9"/>
    </row>
    <row r="211" spans="1:17">
      <c r="A211" s="13"/>
      <c r="D211" s="6" t="str">
        <f>D7</f>
        <v>Blue Earth, MN</v>
      </c>
      <c r="J211" s="17"/>
      <c r="K211" s="17"/>
      <c r="L211" s="9"/>
      <c r="N211" s="17"/>
      <c r="O211" s="17"/>
      <c r="P211" s="9"/>
    </row>
    <row r="212" spans="1:17">
      <c r="A212" s="13" t="s">
        <v>4</v>
      </c>
      <c r="C212" s="9"/>
      <c r="D212" s="9"/>
      <c r="E212" s="9"/>
      <c r="F212" s="9"/>
      <c r="G212" s="9"/>
      <c r="H212" s="9"/>
      <c r="I212" s="9"/>
      <c r="J212" s="9"/>
      <c r="K212" s="9"/>
      <c r="L212" s="85"/>
      <c r="N212" s="9"/>
      <c r="O212" s="9"/>
      <c r="P212" s="9"/>
    </row>
    <row r="213" spans="1:17" ht="16.5" thickBot="1">
      <c r="A213" s="23" t="s">
        <v>6</v>
      </c>
      <c r="C213" s="49" t="s">
        <v>104</v>
      </c>
      <c r="E213" s="11"/>
      <c r="F213" s="11"/>
      <c r="G213" s="11"/>
      <c r="H213" s="11"/>
      <c r="I213" s="11"/>
      <c r="J213" s="17"/>
      <c r="K213" s="17"/>
      <c r="L213" s="85"/>
      <c r="N213" s="11"/>
      <c r="O213" s="17"/>
      <c r="P213" s="9"/>
    </row>
    <row r="214" spans="1:17">
      <c r="A214" s="13"/>
      <c r="B214" s="9" t="s">
        <v>107</v>
      </c>
      <c r="C214" s="11"/>
      <c r="D214" s="11"/>
      <c r="E214" s="11"/>
      <c r="F214" s="11"/>
      <c r="G214" s="11"/>
      <c r="H214" s="11"/>
      <c r="I214" s="11"/>
      <c r="J214" s="17"/>
      <c r="K214" s="17"/>
      <c r="L214" s="9"/>
      <c r="N214" s="11"/>
      <c r="O214" s="17"/>
      <c r="P214" s="9"/>
    </row>
    <row r="215" spans="1:17">
      <c r="A215" s="13">
        <v>1</v>
      </c>
      <c r="B215" s="11" t="s">
        <v>229</v>
      </c>
      <c r="C215" s="11"/>
      <c r="D215" s="17"/>
      <c r="E215" s="17"/>
      <c r="F215" s="17"/>
      <c r="G215" s="17"/>
      <c r="H215" s="17"/>
      <c r="I215" s="17">
        <f>D84</f>
        <v>3298857.14</v>
      </c>
      <c r="J215" s="17"/>
      <c r="K215" s="17"/>
      <c r="L215" s="9"/>
      <c r="N215" s="11"/>
      <c r="O215" s="17"/>
      <c r="P215" s="9"/>
    </row>
    <row r="216" spans="1:17">
      <c r="A216" s="13">
        <v>2</v>
      </c>
      <c r="B216" s="11" t="s">
        <v>230</v>
      </c>
      <c r="I216" s="56">
        <v>0</v>
      </c>
      <c r="J216" s="17"/>
      <c r="K216" s="17"/>
      <c r="L216" s="9"/>
      <c r="N216" s="11"/>
      <c r="O216" s="17"/>
      <c r="P216" s="9"/>
    </row>
    <row r="217" spans="1:17" ht="16.5" thickBot="1">
      <c r="A217" s="13">
        <v>3</v>
      </c>
      <c r="B217" s="86" t="s">
        <v>231</v>
      </c>
      <c r="C217" s="86"/>
      <c r="D217" s="76"/>
      <c r="E217" s="17"/>
      <c r="F217" s="17"/>
      <c r="G217" s="59"/>
      <c r="H217" s="17"/>
      <c r="I217" s="54">
        <v>0</v>
      </c>
      <c r="J217" s="17"/>
      <c r="K217" s="17"/>
      <c r="L217" s="9"/>
      <c r="N217" s="11"/>
      <c r="O217" s="17"/>
      <c r="P217" s="9"/>
    </row>
    <row r="218" spans="1:17">
      <c r="A218" s="13">
        <v>4</v>
      </c>
      <c r="B218" s="11" t="s">
        <v>179</v>
      </c>
      <c r="C218" s="11"/>
      <c r="D218" s="17"/>
      <c r="E218" s="17"/>
      <c r="F218" s="17"/>
      <c r="G218" s="59"/>
      <c r="H218" s="17"/>
      <c r="I218" s="17">
        <f>I215-I216-I217</f>
        <v>3298857.14</v>
      </c>
      <c r="J218" s="17"/>
      <c r="K218" s="17"/>
      <c r="L218" s="9"/>
      <c r="N218" s="11"/>
      <c r="O218" s="17"/>
      <c r="P218" s="9"/>
    </row>
    <row r="219" spans="1:17">
      <c r="A219" s="13"/>
      <c r="C219" s="11"/>
      <c r="D219" s="17"/>
      <c r="E219" s="17"/>
      <c r="F219" s="17"/>
      <c r="G219" s="59"/>
      <c r="H219" s="17"/>
      <c r="J219" s="17"/>
      <c r="K219" s="17"/>
    </row>
    <row r="220" spans="1:17">
      <c r="A220" s="13">
        <v>5</v>
      </c>
      <c r="B220" s="11" t="s">
        <v>232</v>
      </c>
      <c r="C220" s="22"/>
      <c r="D220" s="87"/>
      <c r="E220" s="87"/>
      <c r="F220" s="87"/>
      <c r="G220" s="46"/>
      <c r="H220" s="17" t="s">
        <v>108</v>
      </c>
      <c r="I220" s="58">
        <f>IF(I215&gt;0,I218/I215,0)</f>
        <v>1</v>
      </c>
      <c r="J220" s="17"/>
      <c r="K220" s="17"/>
      <c r="L220" s="88"/>
      <c r="M220" s="88"/>
      <c r="N220" s="88"/>
      <c r="O220" s="88"/>
      <c r="P220" s="88"/>
      <c r="Q220" s="88"/>
    </row>
    <row r="221" spans="1:17">
      <c r="J221" s="17"/>
      <c r="K221" s="17"/>
      <c r="L221" s="88"/>
      <c r="M221" s="89"/>
      <c r="N221" s="88"/>
      <c r="O221" s="88"/>
      <c r="P221" s="88"/>
      <c r="Q221" s="88"/>
    </row>
    <row r="222" spans="1:17">
      <c r="B222" s="9" t="s">
        <v>105</v>
      </c>
      <c r="J222" s="17"/>
      <c r="K222" s="17"/>
      <c r="L222" s="88"/>
      <c r="M222" s="88"/>
      <c r="N222" s="88"/>
      <c r="O222" s="88"/>
      <c r="P222" s="88"/>
      <c r="Q222" s="88"/>
    </row>
    <row r="223" spans="1:17">
      <c r="A223" s="13">
        <v>6</v>
      </c>
      <c r="B223" s="6" t="s">
        <v>233</v>
      </c>
      <c r="D223" s="11"/>
      <c r="E223" s="11"/>
      <c r="F223" s="11"/>
      <c r="G223" s="13"/>
      <c r="H223" s="11"/>
      <c r="I223" s="17">
        <f>D149</f>
        <v>906376.15</v>
      </c>
      <c r="J223" s="17"/>
      <c r="K223" s="17"/>
      <c r="L223" s="411"/>
      <c r="M223" s="411"/>
      <c r="N223" s="411"/>
      <c r="O223" s="411"/>
      <c r="P223" s="411"/>
      <c r="Q223" s="411"/>
    </row>
    <row r="224" spans="1:17" ht="16.5" thickBot="1">
      <c r="A224" s="13">
        <v>7</v>
      </c>
      <c r="B224" s="86" t="s">
        <v>234</v>
      </c>
      <c r="C224" s="86"/>
      <c r="D224" s="76"/>
      <c r="E224" s="76"/>
      <c r="F224" s="17"/>
      <c r="G224" s="17"/>
      <c r="H224" s="17"/>
      <c r="I224" s="54">
        <v>0</v>
      </c>
      <c r="J224" s="17"/>
      <c r="K224" s="17"/>
      <c r="L224" s="4"/>
      <c r="M224" s="90"/>
      <c r="N224" s="91"/>
      <c r="O224" s="92"/>
      <c r="P224" s="93"/>
      <c r="Q224" s="88"/>
    </row>
    <row r="225" spans="1:17">
      <c r="A225" s="13">
        <v>8</v>
      </c>
      <c r="B225" s="11" t="s">
        <v>259</v>
      </c>
      <c r="C225" s="22"/>
      <c r="D225" s="87"/>
      <c r="E225" s="87"/>
      <c r="F225" s="87"/>
      <c r="G225" s="46"/>
      <c r="H225" s="87"/>
      <c r="I225" s="17">
        <f>+I223-I224</f>
        <v>906376.15</v>
      </c>
      <c r="J225" s="17"/>
      <c r="K225" s="17"/>
      <c r="L225" s="4"/>
      <c r="M225" s="94"/>
      <c r="N225" s="88"/>
      <c r="O225" s="88"/>
      <c r="P225" s="88"/>
      <c r="Q225" s="88"/>
    </row>
    <row r="226" spans="1:17">
      <c r="A226" s="13"/>
      <c r="B226" s="11"/>
      <c r="C226" s="11"/>
      <c r="D226" s="17"/>
      <c r="E226" s="17"/>
      <c r="F226" s="17"/>
      <c r="G226" s="17"/>
      <c r="J226" s="17"/>
      <c r="K226" s="17"/>
      <c r="L226" s="4"/>
      <c r="M226" s="94"/>
      <c r="N226" s="88"/>
      <c r="O226" s="88"/>
      <c r="P226" s="88"/>
      <c r="Q226" s="88"/>
    </row>
    <row r="227" spans="1:17">
      <c r="A227" s="13">
        <v>9</v>
      </c>
      <c r="B227" s="11" t="s">
        <v>235</v>
      </c>
      <c r="C227" s="11"/>
      <c r="D227" s="17"/>
      <c r="E227" s="17"/>
      <c r="F227" s="17"/>
      <c r="G227" s="17"/>
      <c r="H227" s="17"/>
      <c r="I227" s="53">
        <f>IF(I223&gt;0,I225/I223,0)</f>
        <v>1</v>
      </c>
      <c r="J227" s="17"/>
      <c r="K227" s="17"/>
      <c r="L227" s="95"/>
      <c r="M227" s="96"/>
      <c r="N227" s="95"/>
      <c r="O227" s="95"/>
      <c r="P227" s="95"/>
      <c r="Q227" s="95"/>
    </row>
    <row r="228" spans="1:17">
      <c r="A228" s="13">
        <v>10</v>
      </c>
      <c r="B228" s="11" t="s">
        <v>236</v>
      </c>
      <c r="C228" s="11"/>
      <c r="D228" s="17"/>
      <c r="E228" s="17"/>
      <c r="F228" s="17"/>
      <c r="G228" s="17"/>
      <c r="H228" s="11" t="s">
        <v>12</v>
      </c>
      <c r="I228" s="97">
        <f>I220</f>
        <v>1</v>
      </c>
      <c r="J228" s="17"/>
      <c r="K228" s="17"/>
      <c r="L228" s="4"/>
      <c r="M228" s="98"/>
      <c r="N228" s="92"/>
      <c r="O228" s="93"/>
      <c r="P228" s="88"/>
      <c r="Q228" s="88"/>
    </row>
    <row r="229" spans="1:17">
      <c r="A229" s="13">
        <v>11</v>
      </c>
      <c r="B229" s="11" t="s">
        <v>237</v>
      </c>
      <c r="C229" s="11"/>
      <c r="D229" s="11"/>
      <c r="E229" s="11"/>
      <c r="F229" s="11"/>
      <c r="G229" s="11"/>
      <c r="H229" s="11" t="s">
        <v>106</v>
      </c>
      <c r="I229" s="99">
        <f>+I228*I227</f>
        <v>1</v>
      </c>
      <c r="J229" s="17"/>
      <c r="K229" s="17"/>
      <c r="L229" s="4"/>
      <c r="M229" s="98"/>
      <c r="N229" s="92"/>
      <c r="O229" s="93"/>
      <c r="P229" s="88"/>
      <c r="Q229" s="88"/>
    </row>
    <row r="230" spans="1:17">
      <c r="A230" s="13"/>
      <c r="C230" s="11"/>
      <c r="D230" s="17"/>
      <c r="E230" s="17"/>
      <c r="F230" s="17"/>
      <c r="G230" s="59"/>
      <c r="H230" s="17"/>
      <c r="L230" s="4"/>
      <c r="M230" s="98"/>
      <c r="N230" s="92"/>
      <c r="O230" s="93"/>
      <c r="P230" s="88"/>
      <c r="Q230" s="88"/>
    </row>
    <row r="231" spans="1:17" ht="16.5" thickBot="1">
      <c r="A231" s="13" t="s">
        <v>2</v>
      </c>
      <c r="B231" s="9" t="s">
        <v>109</v>
      </c>
      <c r="C231" s="17"/>
      <c r="D231" s="100" t="s">
        <v>110</v>
      </c>
      <c r="E231" s="100" t="s">
        <v>12</v>
      </c>
      <c r="F231" s="17"/>
      <c r="G231" s="100" t="s">
        <v>111</v>
      </c>
      <c r="H231" s="17"/>
      <c r="I231" s="17"/>
      <c r="L231" s="4"/>
      <c r="M231" s="94"/>
      <c r="N231" s="88"/>
      <c r="O231" s="88"/>
      <c r="P231" s="88"/>
      <c r="Q231" s="88"/>
    </row>
    <row r="232" spans="1:17">
      <c r="A232" s="13">
        <v>12</v>
      </c>
      <c r="B232" s="9" t="s">
        <v>51</v>
      </c>
      <c r="C232" s="17"/>
      <c r="D232" s="56">
        <f>ProductionLabor</f>
        <v>21989.1</v>
      </c>
      <c r="E232" s="101">
        <v>0</v>
      </c>
      <c r="F232" s="101"/>
      <c r="G232" s="17">
        <f>D232*E232</f>
        <v>0</v>
      </c>
      <c r="H232" s="17"/>
      <c r="I232" s="17"/>
      <c r="J232" s="17"/>
      <c r="K232" s="17"/>
      <c r="L232" s="4"/>
      <c r="M232" s="94"/>
      <c r="N232" s="88"/>
      <c r="O232" s="88"/>
      <c r="P232" s="88"/>
      <c r="Q232" s="88"/>
    </row>
    <row r="233" spans="1:17">
      <c r="A233" s="13">
        <v>13</v>
      </c>
      <c r="B233" s="9" t="s">
        <v>53</v>
      </c>
      <c r="C233" s="17"/>
      <c r="D233" s="56">
        <f>TransmissionLabor</f>
        <v>82821.149999999994</v>
      </c>
      <c r="E233" s="101">
        <f>+I220</f>
        <v>1</v>
      </c>
      <c r="F233" s="101"/>
      <c r="G233" s="17">
        <f>D233*E233</f>
        <v>82821.149999999994</v>
      </c>
      <c r="H233" s="17"/>
      <c r="I233" s="17"/>
      <c r="J233" s="17"/>
      <c r="K233" s="17"/>
      <c r="L233" s="4"/>
      <c r="M233" s="94"/>
      <c r="N233" s="92"/>
      <c r="O233" s="93"/>
      <c r="P233" s="88"/>
      <c r="Q233" s="88"/>
    </row>
    <row r="234" spans="1:17">
      <c r="A234" s="13">
        <v>14</v>
      </c>
      <c r="B234" s="9" t="s">
        <v>54</v>
      </c>
      <c r="C234" s="17"/>
      <c r="D234" s="56">
        <f>DistributionLabor</f>
        <v>268108</v>
      </c>
      <c r="E234" s="101">
        <v>0</v>
      </c>
      <c r="F234" s="101"/>
      <c r="G234" s="17">
        <f>D234*E234</f>
        <v>0</v>
      </c>
      <c r="H234" s="17"/>
      <c r="I234" s="102" t="s">
        <v>112</v>
      </c>
      <c r="J234" s="17"/>
      <c r="K234" s="17"/>
      <c r="L234" s="93"/>
      <c r="M234" s="88"/>
      <c r="N234" s="92"/>
      <c r="O234" s="92"/>
      <c r="P234" s="93"/>
      <c r="Q234" s="88"/>
    </row>
    <row r="235" spans="1:17" ht="16.5" thickBot="1">
      <c r="A235" s="13">
        <v>15</v>
      </c>
      <c r="B235" s="9" t="s">
        <v>113</v>
      </c>
      <c r="C235" s="17"/>
      <c r="D235" s="54">
        <f>OtherLabor</f>
        <v>62261.7</v>
      </c>
      <c r="E235" s="101">
        <v>0</v>
      </c>
      <c r="F235" s="101"/>
      <c r="G235" s="30">
        <f>D235*E235</f>
        <v>0</v>
      </c>
      <c r="H235" s="17"/>
      <c r="I235" s="23" t="s">
        <v>114</v>
      </c>
      <c r="J235" s="17"/>
      <c r="K235" s="17"/>
      <c r="L235" s="9"/>
      <c r="N235" s="17"/>
      <c r="O235" s="17"/>
      <c r="P235" s="9"/>
    </row>
    <row r="236" spans="1:17">
      <c r="A236" s="13">
        <v>16</v>
      </c>
      <c r="B236" s="9" t="s">
        <v>239</v>
      </c>
      <c r="C236" s="17"/>
      <c r="D236" s="17">
        <f>SUM(D232:D235)</f>
        <v>435179.95</v>
      </c>
      <c r="E236" s="17"/>
      <c r="F236" s="17"/>
      <c r="G236" s="17">
        <f>SUM(G232:G235)</f>
        <v>82821.149999999994</v>
      </c>
      <c r="H236" s="13" t="s">
        <v>115</v>
      </c>
      <c r="I236" s="53">
        <f>IF(G236&gt;0,G233/D236,0)</f>
        <v>0.1903147192328139</v>
      </c>
      <c r="J236" s="17" t="s">
        <v>115</v>
      </c>
      <c r="K236" s="17" t="s">
        <v>56</v>
      </c>
      <c r="L236" s="9"/>
      <c r="N236" s="17"/>
      <c r="O236" s="17"/>
      <c r="P236" s="9"/>
    </row>
    <row r="237" spans="1:17">
      <c r="A237" s="13" t="s">
        <v>2</v>
      </c>
      <c r="B237" s="9" t="s">
        <v>2</v>
      </c>
      <c r="C237" s="17" t="s">
        <v>2</v>
      </c>
      <c r="E237" s="17"/>
      <c r="F237" s="17"/>
      <c r="L237" s="9"/>
      <c r="N237" s="17"/>
      <c r="O237" s="17"/>
      <c r="P237" s="9"/>
    </row>
    <row r="238" spans="1:17">
      <c r="A238" s="13"/>
      <c r="B238" s="9" t="s">
        <v>238</v>
      </c>
      <c r="C238" s="17"/>
      <c r="D238" s="47" t="s">
        <v>110</v>
      </c>
      <c r="E238" s="17"/>
      <c r="F238" s="17"/>
      <c r="G238" s="59" t="s">
        <v>116</v>
      </c>
      <c r="H238" s="70" t="s">
        <v>2</v>
      </c>
      <c r="I238" s="55" t="s">
        <v>117</v>
      </c>
      <c r="J238" s="17"/>
      <c r="K238" s="17"/>
      <c r="L238" s="9"/>
      <c r="N238" s="17"/>
      <c r="O238" s="17"/>
      <c r="P238" s="9"/>
    </row>
    <row r="239" spans="1:17">
      <c r="A239" s="13">
        <v>17</v>
      </c>
      <c r="B239" s="9" t="s">
        <v>118</v>
      </c>
      <c r="C239" s="17"/>
      <c r="D239" s="56">
        <f>D88</f>
        <v>20394693.230000004</v>
      </c>
      <c r="E239" s="17"/>
      <c r="G239" s="13" t="s">
        <v>119</v>
      </c>
      <c r="H239" s="70"/>
      <c r="I239" s="13" t="s">
        <v>120</v>
      </c>
      <c r="J239" s="17"/>
      <c r="K239" s="13" t="s">
        <v>58</v>
      </c>
      <c r="L239" s="9"/>
      <c r="N239" s="17"/>
      <c r="O239" s="17"/>
      <c r="P239" s="9"/>
    </row>
    <row r="240" spans="1:17">
      <c r="A240" s="13">
        <v>18</v>
      </c>
      <c r="B240" s="9" t="s">
        <v>121</v>
      </c>
      <c r="C240" s="17"/>
      <c r="D240" s="56">
        <v>0</v>
      </c>
      <c r="E240" s="17"/>
      <c r="G240" s="27">
        <f>IF(D242&gt;0,D239/D242,0)</f>
        <v>1</v>
      </c>
      <c r="H240" s="59" t="s">
        <v>122</v>
      </c>
      <c r="I240" s="27">
        <f>I236</f>
        <v>0.1903147192328139</v>
      </c>
      <c r="J240" s="70" t="s">
        <v>115</v>
      </c>
      <c r="K240" s="27">
        <f>I240*G240</f>
        <v>0.1903147192328139</v>
      </c>
      <c r="L240" s="9"/>
      <c r="N240" s="17"/>
      <c r="O240" s="17"/>
      <c r="P240" s="9"/>
    </row>
    <row r="241" spans="1:18" ht="16.5" thickBot="1">
      <c r="A241" s="13">
        <v>19</v>
      </c>
      <c r="B241" s="103" t="s">
        <v>123</v>
      </c>
      <c r="C241" s="30"/>
      <c r="D241" s="54">
        <v>0</v>
      </c>
      <c r="E241" s="17"/>
      <c r="F241" s="17"/>
      <c r="G241" s="17" t="s">
        <v>2</v>
      </c>
      <c r="H241" s="17"/>
      <c r="I241" s="17"/>
      <c r="L241" s="9"/>
      <c r="N241" s="17"/>
      <c r="O241" s="17"/>
      <c r="P241" s="9"/>
    </row>
    <row r="242" spans="1:18">
      <c r="A242" s="13">
        <v>20</v>
      </c>
      <c r="B242" s="9" t="s">
        <v>171</v>
      </c>
      <c r="C242" s="17"/>
      <c r="D242" s="17">
        <f>D239+D240+D241</f>
        <v>20394693.230000004</v>
      </c>
      <c r="E242" s="17"/>
      <c r="F242" s="17"/>
      <c r="G242" s="17"/>
      <c r="H242" s="17"/>
      <c r="I242" s="17"/>
      <c r="J242" s="17"/>
      <c r="K242" s="17"/>
      <c r="L242" s="9"/>
      <c r="N242" s="17"/>
      <c r="O242" s="17"/>
      <c r="P242" s="9"/>
    </row>
    <row r="243" spans="1:18">
      <c r="A243" s="13"/>
      <c r="B243" s="9" t="s">
        <v>2</v>
      </c>
      <c r="C243" s="17"/>
      <c r="E243" s="17"/>
      <c r="F243" s="17"/>
      <c r="G243" s="17"/>
      <c r="H243" s="17"/>
      <c r="I243" s="17" t="s">
        <v>2</v>
      </c>
      <c r="J243" s="17"/>
      <c r="K243" s="17"/>
      <c r="L243" s="9"/>
      <c r="N243" s="17"/>
      <c r="O243" s="17"/>
      <c r="P243" s="9"/>
    </row>
    <row r="244" spans="1:18" ht="16.5" thickBot="1">
      <c r="A244" s="13"/>
      <c r="B244" s="9" t="s">
        <v>124</v>
      </c>
      <c r="C244" s="17"/>
      <c r="D244" s="100" t="s">
        <v>110</v>
      </c>
      <c r="E244" s="17"/>
      <c r="F244" s="17"/>
      <c r="G244" s="17"/>
      <c r="H244" s="17"/>
      <c r="J244" s="17" t="s">
        <v>2</v>
      </c>
      <c r="K244" s="17"/>
      <c r="L244" s="9"/>
      <c r="N244" s="17"/>
      <c r="O244" s="17"/>
      <c r="P244" s="9"/>
    </row>
    <row r="245" spans="1:18">
      <c r="A245" s="13">
        <v>21</v>
      </c>
      <c r="B245" s="17" t="s">
        <v>125</v>
      </c>
      <c r="C245" s="11" t="s">
        <v>261</v>
      </c>
      <c r="D245" s="104">
        <f>InterestExpense</f>
        <v>15808</v>
      </c>
      <c r="E245" s="17"/>
      <c r="F245" s="17"/>
      <c r="G245" s="17"/>
      <c r="H245" s="17"/>
      <c r="I245" s="17"/>
      <c r="J245" s="17"/>
      <c r="K245" s="17"/>
      <c r="L245" s="9"/>
      <c r="N245" s="17"/>
      <c r="O245" s="17"/>
      <c r="P245" s="9"/>
    </row>
    <row r="246" spans="1:18">
      <c r="A246" s="13"/>
      <c r="B246" s="9"/>
      <c r="D246" s="17"/>
      <c r="E246" s="17"/>
      <c r="F246" s="17"/>
      <c r="G246" s="59" t="s">
        <v>126</v>
      </c>
      <c r="H246" s="17"/>
      <c r="I246" s="17"/>
      <c r="J246" s="17"/>
      <c r="K246" s="17"/>
      <c r="L246" s="9"/>
      <c r="N246" s="17"/>
      <c r="O246" s="17"/>
      <c r="P246" s="9"/>
    </row>
    <row r="247" spans="1:18" ht="16.5" thickBot="1">
      <c r="A247" s="13"/>
      <c r="B247" s="9"/>
      <c r="C247" s="11"/>
      <c r="D247" s="23" t="s">
        <v>110</v>
      </c>
      <c r="E247" s="23" t="s">
        <v>127</v>
      </c>
      <c r="F247" s="17"/>
      <c r="G247" s="23" t="s">
        <v>128</v>
      </c>
      <c r="H247" s="17"/>
      <c r="I247" s="23" t="s">
        <v>129</v>
      </c>
      <c r="J247" s="17"/>
      <c r="K247" s="17"/>
      <c r="L247" s="9"/>
      <c r="N247" s="17"/>
      <c r="O247" s="17"/>
      <c r="P247" s="9"/>
    </row>
    <row r="248" spans="1:18">
      <c r="A248" s="13">
        <v>22</v>
      </c>
      <c r="B248" s="9" t="s">
        <v>130</v>
      </c>
      <c r="C248" s="11" t="s">
        <v>279</v>
      </c>
      <c r="D248" s="56">
        <f>Debt</f>
        <v>695179</v>
      </c>
      <c r="E248" s="105">
        <f>IF($D$250&gt;0,D248/$D$250,0)</f>
        <v>6.1370001310066646E-2</v>
      </c>
      <c r="F248" s="106"/>
      <c r="G248" s="107">
        <f>IF(D248&gt;0,D245/D248,0)</f>
        <v>2.273946710127895E-2</v>
      </c>
      <c r="I248" s="106">
        <f>G248*E248</f>
        <v>1.3955211257957066E-3</v>
      </c>
      <c r="J248" s="108" t="s">
        <v>131</v>
      </c>
      <c r="K248" s="17"/>
      <c r="L248" s="9"/>
      <c r="N248" s="17"/>
      <c r="O248" s="17"/>
      <c r="P248" s="9"/>
    </row>
    <row r="249" spans="1:18" ht="16.5" thickBot="1">
      <c r="A249" s="13">
        <v>23</v>
      </c>
      <c r="B249" s="9" t="s">
        <v>132</v>
      </c>
      <c r="C249" s="11" t="s">
        <v>260</v>
      </c>
      <c r="D249" s="54">
        <f>Equity</f>
        <v>10632489</v>
      </c>
      <c r="E249" s="109">
        <f>IF($D$250&gt;0,D249/$D$250,0)</f>
        <v>0.93862999868993335</v>
      </c>
      <c r="F249" s="106"/>
      <c r="G249" s="106">
        <f>I252</f>
        <v>0.1082</v>
      </c>
      <c r="I249" s="110">
        <f>G249*E249</f>
        <v>0.10155976585825079</v>
      </c>
      <c r="L249" s="9"/>
      <c r="N249" s="17"/>
      <c r="O249" s="17"/>
      <c r="P249" s="9"/>
    </row>
    <row r="250" spans="1:18">
      <c r="A250" s="13">
        <v>24</v>
      </c>
      <c r="B250" s="9" t="s">
        <v>172</v>
      </c>
      <c r="C250" s="11"/>
      <c r="D250" s="17">
        <f>SUM(D248:D249)</f>
        <v>11327668</v>
      </c>
      <c r="E250" s="111">
        <f>SUM(E248+E249)</f>
        <v>1</v>
      </c>
      <c r="F250" s="106"/>
      <c r="G250" s="106"/>
      <c r="I250" s="106">
        <f>SUM(I248:I249)</f>
        <v>0.10295528698404649</v>
      </c>
      <c r="J250" s="108" t="s">
        <v>133</v>
      </c>
      <c r="L250" s="9"/>
      <c r="N250" s="17"/>
      <c r="O250" s="17"/>
      <c r="P250" s="9"/>
    </row>
    <row r="251" spans="1:18">
      <c r="A251" s="13" t="s">
        <v>2</v>
      </c>
      <c r="B251" s="9"/>
      <c r="D251" s="17"/>
      <c r="E251" s="17" t="s">
        <v>2</v>
      </c>
      <c r="F251" s="17"/>
      <c r="G251" s="17"/>
      <c r="H251" s="17"/>
      <c r="I251" s="106"/>
      <c r="L251" s="9"/>
      <c r="N251" s="112"/>
      <c r="O251" s="113"/>
      <c r="P251" s="113"/>
      <c r="Q251" s="113"/>
      <c r="R251" s="114"/>
    </row>
    <row r="252" spans="1:18">
      <c r="A252" s="13">
        <v>25</v>
      </c>
      <c r="E252" s="17"/>
      <c r="F252" s="17"/>
      <c r="G252" s="17"/>
      <c r="H252" s="62" t="s">
        <v>201</v>
      </c>
      <c r="I252" s="115">
        <f>R253+R254</f>
        <v>0.1082</v>
      </c>
      <c r="L252" s="9"/>
      <c r="N252" s="116" t="s">
        <v>316</v>
      </c>
      <c r="O252" s="19"/>
      <c r="P252" s="19"/>
      <c r="Q252" s="19"/>
      <c r="R252" s="117"/>
    </row>
    <row r="253" spans="1:18">
      <c r="A253" s="13">
        <v>26</v>
      </c>
      <c r="H253" s="7" t="s">
        <v>202</v>
      </c>
      <c r="I253" s="101">
        <f>IF(G248&gt;0,I250/G248,0)</f>
        <v>4.5276033306099732</v>
      </c>
      <c r="L253" s="9"/>
      <c r="N253" s="116" t="s">
        <v>317</v>
      </c>
      <c r="O253" s="19"/>
      <c r="P253" s="19"/>
      <c r="Q253" s="19"/>
      <c r="R253" s="118">
        <v>0.1032</v>
      </c>
    </row>
    <row r="254" spans="1:18">
      <c r="A254" s="13"/>
      <c r="B254" s="9" t="s">
        <v>134</v>
      </c>
      <c r="C254" s="11"/>
      <c r="D254" s="11"/>
      <c r="E254" s="11"/>
      <c r="F254" s="11"/>
      <c r="G254" s="11"/>
      <c r="H254" s="11"/>
      <c r="I254" s="11"/>
      <c r="K254" s="17"/>
      <c r="L254" s="9"/>
      <c r="N254" s="116" t="s">
        <v>318</v>
      </c>
      <c r="O254" s="19"/>
      <c r="P254" s="19"/>
      <c r="Q254" s="19"/>
      <c r="R254" s="118">
        <v>5.0000000000000001E-3</v>
      </c>
    </row>
    <row r="255" spans="1:18" ht="16.5" thickBot="1">
      <c r="A255" s="13"/>
      <c r="B255" s="9"/>
      <c r="C255" s="9"/>
      <c r="D255" s="9"/>
      <c r="E255" s="9"/>
      <c r="F255" s="9"/>
      <c r="G255" s="9"/>
      <c r="H255" s="9"/>
      <c r="I255" s="23" t="s">
        <v>135</v>
      </c>
      <c r="J255" s="11"/>
      <c r="K255" s="11"/>
      <c r="L255" s="9"/>
      <c r="N255" s="119"/>
      <c r="O255" s="120"/>
      <c r="P255" s="120"/>
      <c r="Q255" s="120"/>
      <c r="R255" s="121"/>
    </row>
    <row r="256" spans="1:18">
      <c r="A256" s="13"/>
      <c r="B256" s="9" t="s">
        <v>136</v>
      </c>
      <c r="C256" s="11"/>
      <c r="D256" s="11"/>
      <c r="E256" s="11"/>
      <c r="F256" s="11"/>
      <c r="G256" s="84" t="s">
        <v>2</v>
      </c>
      <c r="H256" s="82"/>
      <c r="I256" s="1"/>
      <c r="J256" s="9"/>
      <c r="K256" s="9"/>
      <c r="L256" s="9"/>
      <c r="N256" s="17"/>
      <c r="O256" s="17"/>
      <c r="P256" s="9"/>
    </row>
    <row r="257" spans="1:17">
      <c r="A257" s="13">
        <v>27</v>
      </c>
      <c r="B257" s="6" t="s">
        <v>137</v>
      </c>
      <c r="C257" s="11"/>
      <c r="D257" s="11"/>
      <c r="E257" s="11" t="s">
        <v>138</v>
      </c>
      <c r="F257" s="11"/>
      <c r="H257" s="82"/>
      <c r="I257" s="56">
        <v>0</v>
      </c>
      <c r="J257" s="9"/>
      <c r="K257" s="9"/>
      <c r="L257" s="9"/>
      <c r="N257" s="59"/>
      <c r="O257" s="17"/>
      <c r="P257" s="9"/>
    </row>
    <row r="258" spans="1:17" ht="16.5" thickBot="1">
      <c r="A258" s="13">
        <v>28</v>
      </c>
      <c r="B258" s="60" t="s">
        <v>173</v>
      </c>
      <c r="C258" s="86"/>
      <c r="D258" s="19"/>
      <c r="E258" s="18"/>
      <c r="F258" s="18"/>
      <c r="G258" s="18"/>
      <c r="H258" s="11"/>
      <c r="I258" s="54">
        <v>0</v>
      </c>
      <c r="J258" s="9"/>
      <c r="K258" s="9"/>
      <c r="L258" s="9"/>
      <c r="N258" s="9"/>
      <c r="O258" s="17"/>
      <c r="P258" s="9"/>
    </row>
    <row r="259" spans="1:17">
      <c r="A259" s="13">
        <v>29</v>
      </c>
      <c r="B259" s="6" t="s">
        <v>139</v>
      </c>
      <c r="C259" s="11"/>
      <c r="D259" s="19"/>
      <c r="E259" s="18"/>
      <c r="F259" s="18"/>
      <c r="G259" s="18"/>
      <c r="H259" s="11"/>
      <c r="I259" s="56">
        <f>+I257-I258</f>
        <v>0</v>
      </c>
      <c r="J259" s="9"/>
      <c r="K259" s="9"/>
      <c r="L259" s="9"/>
      <c r="N259" s="9"/>
      <c r="O259" s="17"/>
      <c r="P259" s="9"/>
    </row>
    <row r="260" spans="1:17">
      <c r="A260" s="13"/>
      <c r="B260" s="6" t="s">
        <v>2</v>
      </c>
      <c r="C260" s="11"/>
      <c r="D260" s="19"/>
      <c r="E260" s="18"/>
      <c r="F260" s="18"/>
      <c r="G260" s="122"/>
      <c r="H260" s="11"/>
      <c r="I260" s="2" t="s">
        <v>2</v>
      </c>
      <c r="J260" s="9"/>
      <c r="K260" s="9"/>
      <c r="L260" s="9"/>
      <c r="N260" s="9"/>
      <c r="O260" s="17"/>
      <c r="P260" s="9"/>
    </row>
    <row r="261" spans="1:17">
      <c r="A261" s="13">
        <v>30</v>
      </c>
      <c r="B261" s="9" t="s">
        <v>240</v>
      </c>
      <c r="C261" s="11"/>
      <c r="D261" s="19"/>
      <c r="E261" s="18"/>
      <c r="F261" s="18"/>
      <c r="G261" s="122"/>
      <c r="H261" s="11"/>
      <c r="I261" s="3">
        <f>TransmissionRent</f>
        <v>0</v>
      </c>
      <c r="J261" s="9"/>
      <c r="K261" s="9"/>
      <c r="N261" s="9"/>
      <c r="O261" s="17"/>
      <c r="P261" s="9"/>
    </row>
    <row r="262" spans="1:17">
      <c r="A262" s="13"/>
      <c r="C262" s="11"/>
      <c r="D262" s="18"/>
      <c r="E262" s="18"/>
      <c r="F262" s="18"/>
      <c r="G262" s="18"/>
      <c r="H262" s="11"/>
      <c r="I262" s="2"/>
      <c r="J262" s="9"/>
      <c r="K262" s="9"/>
      <c r="N262" s="9"/>
      <c r="O262" s="17"/>
      <c r="P262" s="9"/>
    </row>
    <row r="263" spans="1:17">
      <c r="B263" s="9" t="s">
        <v>193</v>
      </c>
      <c r="C263" s="11"/>
      <c r="D263" s="18"/>
      <c r="E263" s="18"/>
      <c r="F263" s="18"/>
      <c r="G263" s="18"/>
      <c r="H263" s="11"/>
      <c r="J263" s="9"/>
      <c r="K263" s="9"/>
      <c r="N263" s="9"/>
      <c r="O263" s="17"/>
      <c r="P263" s="9"/>
    </row>
    <row r="264" spans="1:17">
      <c r="A264" s="13">
        <v>31</v>
      </c>
      <c r="B264" s="9" t="s">
        <v>140</v>
      </c>
      <c r="C264" s="17"/>
      <c r="D264" s="76"/>
      <c r="E264" s="76"/>
      <c r="F264" s="76"/>
      <c r="G264" s="76"/>
      <c r="H264" s="17"/>
      <c r="I264" s="123">
        <f>NetworkRevenue+NonNetworkRevenue</f>
        <v>216154.72000000003</v>
      </c>
      <c r="J264" s="9"/>
      <c r="K264" s="9"/>
      <c r="L264" s="124"/>
      <c r="N264" s="9"/>
      <c r="O264" s="17"/>
      <c r="P264" s="9"/>
    </row>
    <row r="265" spans="1:17">
      <c r="A265" s="13">
        <v>32</v>
      </c>
      <c r="B265" s="125" t="s">
        <v>174</v>
      </c>
      <c r="C265" s="18"/>
      <c r="D265" s="18"/>
      <c r="E265" s="18"/>
      <c r="F265" s="18"/>
      <c r="G265" s="18"/>
      <c r="H265" s="11"/>
      <c r="I265" s="123">
        <f>NetworkRevenue</f>
        <v>194211.72000000003</v>
      </c>
      <c r="J265" s="9"/>
      <c r="K265" s="9"/>
      <c r="L265" s="59"/>
      <c r="N265" s="9"/>
      <c r="O265" s="17"/>
      <c r="P265" s="9"/>
    </row>
    <row r="266" spans="1:17">
      <c r="A266" s="13" t="s">
        <v>195</v>
      </c>
      <c r="B266" s="93" t="s">
        <v>292</v>
      </c>
      <c r="C266" s="91"/>
      <c r="D266" s="18"/>
      <c r="E266" s="18"/>
      <c r="F266" s="18"/>
      <c r="G266" s="18"/>
      <c r="H266" s="11"/>
      <c r="I266" s="123">
        <v>0</v>
      </c>
      <c r="J266" s="9"/>
      <c r="K266" s="9"/>
      <c r="L266" s="59"/>
      <c r="N266" s="9"/>
      <c r="O266" s="17"/>
      <c r="P266" s="9"/>
    </row>
    <row r="267" spans="1:17" ht="16.5" thickBot="1">
      <c r="A267" s="13" t="s">
        <v>271</v>
      </c>
      <c r="B267" s="126" t="s">
        <v>293</v>
      </c>
      <c r="C267" s="127"/>
      <c r="D267" s="18"/>
      <c r="E267" s="18"/>
      <c r="F267" s="18"/>
      <c r="G267" s="18"/>
      <c r="H267" s="11"/>
      <c r="I267" s="128">
        <v>0</v>
      </c>
      <c r="J267" s="9"/>
      <c r="K267" s="9"/>
      <c r="L267" s="59"/>
      <c r="N267" s="9"/>
      <c r="O267" s="17"/>
      <c r="P267" s="9"/>
    </row>
    <row r="268" spans="1:17" s="82" customFormat="1">
      <c r="A268" s="13">
        <v>33</v>
      </c>
      <c r="B268" s="6" t="s">
        <v>272</v>
      </c>
      <c r="C268" s="13"/>
      <c r="D268" s="76"/>
      <c r="E268" s="76"/>
      <c r="F268" s="76"/>
      <c r="G268" s="76"/>
      <c r="H268" s="11"/>
      <c r="I268" s="4">
        <f>+I264-I265-I266-I267</f>
        <v>21943</v>
      </c>
      <c r="J268" s="9"/>
      <c r="K268" s="9"/>
      <c r="L268" s="124"/>
      <c r="M268" s="6"/>
      <c r="N268" s="9"/>
      <c r="O268" s="11"/>
      <c r="P268" s="9"/>
      <c r="Q268" s="6"/>
    </row>
    <row r="269" spans="1:17">
      <c r="A269" s="13"/>
      <c r="B269" s="129"/>
      <c r="C269" s="13"/>
      <c r="D269" s="76"/>
      <c r="E269" s="76"/>
      <c r="F269" s="76"/>
      <c r="G269" s="76"/>
      <c r="H269" s="11"/>
      <c r="I269" s="4"/>
      <c r="J269" s="9"/>
      <c r="K269" s="9"/>
      <c r="L269" s="124"/>
      <c r="M269" s="82"/>
      <c r="N269" s="130"/>
      <c r="O269" s="84"/>
      <c r="P269" s="130"/>
      <c r="Q269" s="82"/>
    </row>
    <row r="270" spans="1:17">
      <c r="A270" s="13"/>
      <c r="B270" s="129"/>
      <c r="C270" s="13"/>
      <c r="D270" s="76"/>
      <c r="E270" s="76"/>
      <c r="F270" s="76"/>
      <c r="G270" s="76"/>
      <c r="H270" s="11"/>
      <c r="I270" s="4"/>
      <c r="J270" s="9"/>
      <c r="K270" s="9"/>
      <c r="L270" s="124"/>
      <c r="N270" s="9"/>
      <c r="O270" s="11"/>
      <c r="P270" s="9"/>
    </row>
    <row r="271" spans="1:17">
      <c r="A271" s="13"/>
      <c r="B271" s="129"/>
      <c r="C271" s="13"/>
      <c r="D271" s="76"/>
      <c r="E271" s="76"/>
      <c r="F271" s="76"/>
      <c r="G271" s="76"/>
      <c r="H271" s="11"/>
      <c r="I271" s="4"/>
      <c r="J271" s="9"/>
      <c r="K271" s="9"/>
      <c r="L271" s="124"/>
      <c r="N271" s="9"/>
      <c r="O271" s="11"/>
      <c r="P271" s="9"/>
    </row>
    <row r="272" spans="1:17">
      <c r="A272" s="13"/>
      <c r="B272" s="129"/>
      <c r="C272" s="13"/>
      <c r="D272" s="76"/>
      <c r="E272" s="76"/>
      <c r="F272" s="76"/>
      <c r="G272" s="76"/>
      <c r="H272" s="11"/>
      <c r="I272" s="4"/>
      <c r="J272" s="9"/>
      <c r="K272" s="7" t="s">
        <v>300</v>
      </c>
      <c r="L272" s="124"/>
      <c r="N272" s="9"/>
      <c r="O272" s="11"/>
      <c r="P272" s="9"/>
    </row>
    <row r="273" spans="1:16">
      <c r="B273" s="9"/>
      <c r="C273" s="9"/>
      <c r="E273" s="9"/>
      <c r="F273" s="9"/>
      <c r="G273" s="9"/>
      <c r="H273" s="11"/>
      <c r="I273" s="11"/>
      <c r="K273" s="12" t="s">
        <v>188</v>
      </c>
      <c r="L273" s="11"/>
      <c r="N273" s="11"/>
      <c r="O273" s="11"/>
      <c r="P273" s="11"/>
    </row>
    <row r="274" spans="1:16">
      <c r="A274" s="13"/>
      <c r="B274" s="129" t="str">
        <f>B4</f>
        <v xml:space="preserve">Formula Rate - Non-Levelized </v>
      </c>
      <c r="C274" s="412" t="str">
        <f>D4</f>
        <v xml:space="preserve">   Rate Formula Template</v>
      </c>
      <c r="D274" s="412"/>
      <c r="E274" s="17"/>
      <c r="F274" s="17"/>
      <c r="G274" s="17"/>
      <c r="H274" s="24"/>
      <c r="J274" s="11"/>
      <c r="K274" s="131" t="str">
        <f>K4</f>
        <v>For the 12 months ended 12/31/17</v>
      </c>
      <c r="L274" s="11"/>
      <c r="N274" s="11"/>
      <c r="O274" s="11"/>
      <c r="P274" s="11"/>
    </row>
    <row r="275" spans="1:16">
      <c r="A275" s="13"/>
      <c r="B275" s="129"/>
      <c r="C275" s="13"/>
      <c r="D275" s="17" t="str">
        <f>D5</f>
        <v>Utilizing EIA Form 412 Data</v>
      </c>
      <c r="E275" s="17"/>
      <c r="F275" s="17"/>
      <c r="G275" s="17"/>
      <c r="H275" s="11"/>
      <c r="I275" s="132"/>
      <c r="J275" s="1"/>
      <c r="K275" s="5"/>
      <c r="L275" s="11"/>
      <c r="N275" s="11"/>
      <c r="O275" s="11"/>
      <c r="P275" s="11"/>
    </row>
    <row r="276" spans="1:16">
      <c r="A276" s="13"/>
      <c r="B276" s="129"/>
      <c r="C276" s="13"/>
      <c r="D276" s="17" t="str">
        <f>D7</f>
        <v>Blue Earth, MN</v>
      </c>
      <c r="E276" s="17"/>
      <c r="F276" s="17"/>
      <c r="G276" s="17"/>
      <c r="H276" s="11"/>
      <c r="I276" s="132"/>
      <c r="J276" s="1"/>
      <c r="K276" s="5"/>
      <c r="L276" s="11"/>
      <c r="N276" s="11"/>
      <c r="O276" s="11"/>
      <c r="P276" s="11"/>
    </row>
    <row r="277" spans="1:16">
      <c r="A277" s="13"/>
      <c r="B277" s="9" t="s">
        <v>141</v>
      </c>
      <c r="C277" s="13"/>
      <c r="D277" s="17"/>
      <c r="E277" s="17"/>
      <c r="F277" s="17"/>
      <c r="G277" s="17"/>
      <c r="H277" s="11"/>
      <c r="I277" s="17"/>
      <c r="J277" s="1"/>
      <c r="K277" s="5"/>
      <c r="L277" s="11"/>
      <c r="N277" s="13"/>
      <c r="O277" s="11"/>
      <c r="P277" s="9"/>
    </row>
    <row r="278" spans="1:16">
      <c r="A278" s="13"/>
      <c r="B278" s="133" t="s">
        <v>207</v>
      </c>
      <c r="C278" s="13"/>
      <c r="D278" s="17"/>
      <c r="E278" s="17"/>
      <c r="F278" s="17"/>
      <c r="G278" s="17"/>
      <c r="H278" s="11"/>
      <c r="I278" s="17"/>
      <c r="J278" s="11"/>
      <c r="K278" s="17"/>
      <c r="L278" s="11"/>
      <c r="N278" s="13"/>
      <c r="O278" s="11"/>
      <c r="P278" s="9"/>
    </row>
    <row r="279" spans="1:16">
      <c r="B279" s="133" t="s">
        <v>206</v>
      </c>
      <c r="C279" s="13"/>
      <c r="D279" s="17"/>
      <c r="E279" s="17"/>
      <c r="F279" s="17"/>
      <c r="G279" s="17"/>
      <c r="H279" s="11"/>
      <c r="I279" s="17"/>
      <c r="J279" s="11"/>
      <c r="K279" s="17"/>
      <c r="L279" s="11"/>
      <c r="N279" s="13"/>
      <c r="O279" s="11"/>
      <c r="P279" s="11"/>
    </row>
    <row r="280" spans="1:16">
      <c r="A280" s="13" t="s">
        <v>142</v>
      </c>
      <c r="B280" s="9" t="s">
        <v>205</v>
      </c>
      <c r="C280" s="11"/>
      <c r="D280" s="17"/>
      <c r="E280" s="17"/>
      <c r="F280" s="17"/>
      <c r="G280" s="31"/>
      <c r="H280" s="11"/>
      <c r="I280" s="17"/>
      <c r="J280" s="11"/>
      <c r="K280" s="17"/>
      <c r="L280" s="11"/>
      <c r="N280" s="13"/>
      <c r="O280" s="11"/>
      <c r="P280" s="11"/>
    </row>
    <row r="281" spans="1:16" ht="16.5" thickBot="1">
      <c r="A281" s="23" t="s">
        <v>143</v>
      </c>
      <c r="C281" s="11"/>
      <c r="D281" s="17"/>
      <c r="E281" s="17"/>
      <c r="F281" s="17"/>
      <c r="G281" s="17"/>
      <c r="H281" s="11"/>
      <c r="I281" s="17"/>
      <c r="J281" s="11"/>
      <c r="K281" s="17"/>
      <c r="L281" s="11"/>
      <c r="N281" s="13"/>
      <c r="O281" s="11"/>
      <c r="P281" s="11"/>
    </row>
    <row r="282" spans="1:16" ht="32.25" customHeight="1">
      <c r="A282" s="134" t="s">
        <v>144</v>
      </c>
      <c r="B282" s="410" t="s">
        <v>265</v>
      </c>
      <c r="C282" s="410"/>
      <c r="D282" s="410"/>
      <c r="E282" s="410"/>
      <c r="F282" s="410"/>
      <c r="G282" s="410"/>
      <c r="H282" s="410"/>
      <c r="I282" s="410"/>
      <c r="J282" s="410"/>
      <c r="K282" s="410"/>
      <c r="L282" s="11"/>
      <c r="N282" s="13"/>
      <c r="O282" s="11"/>
      <c r="P282" s="11"/>
    </row>
    <row r="283" spans="1:16" ht="63" customHeight="1">
      <c r="A283" s="134" t="s">
        <v>145</v>
      </c>
      <c r="B283" s="410" t="s">
        <v>266</v>
      </c>
      <c r="C283" s="410"/>
      <c r="D283" s="410"/>
      <c r="E283" s="410"/>
      <c r="F283" s="410"/>
      <c r="G283" s="410"/>
      <c r="H283" s="410"/>
      <c r="I283" s="410"/>
      <c r="J283" s="410"/>
      <c r="K283" s="410"/>
      <c r="L283" s="11"/>
      <c r="N283" s="13"/>
      <c r="O283" s="11"/>
      <c r="P283" s="11"/>
    </row>
    <row r="284" spans="1:16">
      <c r="A284" s="134" t="s">
        <v>146</v>
      </c>
      <c r="B284" s="410" t="s">
        <v>267</v>
      </c>
      <c r="C284" s="410"/>
      <c r="D284" s="410"/>
      <c r="E284" s="410"/>
      <c r="F284" s="410"/>
      <c r="G284" s="410"/>
      <c r="H284" s="410"/>
      <c r="I284" s="410"/>
      <c r="J284" s="410"/>
      <c r="K284" s="410"/>
      <c r="L284" s="11"/>
      <c r="N284" s="13"/>
      <c r="O284" s="11"/>
      <c r="P284" s="11"/>
    </row>
    <row r="285" spans="1:16">
      <c r="A285" s="134" t="s">
        <v>147</v>
      </c>
      <c r="B285" s="410" t="s">
        <v>267</v>
      </c>
      <c r="C285" s="410"/>
      <c r="D285" s="410"/>
      <c r="E285" s="410"/>
      <c r="F285" s="410"/>
      <c r="G285" s="410"/>
      <c r="H285" s="410"/>
      <c r="I285" s="410"/>
      <c r="J285" s="410"/>
      <c r="K285" s="410"/>
      <c r="L285" s="11"/>
      <c r="N285" s="13"/>
      <c r="O285" s="11"/>
      <c r="P285" s="11"/>
    </row>
    <row r="286" spans="1:16">
      <c r="A286" s="134" t="s">
        <v>148</v>
      </c>
      <c r="B286" s="410" t="s">
        <v>280</v>
      </c>
      <c r="C286" s="410"/>
      <c r="D286" s="410"/>
      <c r="E286" s="410"/>
      <c r="F286" s="410"/>
      <c r="G286" s="410"/>
      <c r="H286" s="410"/>
      <c r="I286" s="410"/>
      <c r="J286" s="410"/>
      <c r="K286" s="410"/>
      <c r="L286" s="11"/>
      <c r="N286" s="13"/>
      <c r="O286" s="11"/>
      <c r="P286" s="11"/>
    </row>
    <row r="287" spans="1:16" ht="48" customHeight="1">
      <c r="A287" s="134" t="s">
        <v>149</v>
      </c>
      <c r="B287" s="409" t="s">
        <v>242</v>
      </c>
      <c r="C287" s="409"/>
      <c r="D287" s="409"/>
      <c r="E287" s="409"/>
      <c r="F287" s="409"/>
      <c r="G287" s="409"/>
      <c r="H287" s="409"/>
      <c r="I287" s="409"/>
      <c r="J287" s="409"/>
      <c r="K287" s="409"/>
      <c r="L287" s="11"/>
      <c r="N287" s="13"/>
      <c r="O287" s="11"/>
      <c r="P287" s="11"/>
    </row>
    <row r="288" spans="1:16">
      <c r="A288" s="134" t="s">
        <v>150</v>
      </c>
      <c r="B288" s="409" t="s">
        <v>180</v>
      </c>
      <c r="C288" s="409"/>
      <c r="D288" s="409"/>
      <c r="E288" s="409"/>
      <c r="F288" s="409"/>
      <c r="G288" s="409"/>
      <c r="H288" s="409"/>
      <c r="I288" s="409"/>
      <c r="J288" s="409"/>
      <c r="K288" s="409"/>
      <c r="L288" s="11"/>
      <c r="N288" s="13"/>
      <c r="O288" s="11"/>
      <c r="P288" s="11"/>
    </row>
    <row r="289" spans="1:16" ht="32.25" customHeight="1">
      <c r="A289" s="134" t="s">
        <v>151</v>
      </c>
      <c r="B289" s="409" t="s">
        <v>243</v>
      </c>
      <c r="C289" s="409"/>
      <c r="D289" s="409"/>
      <c r="E289" s="409"/>
      <c r="F289" s="409"/>
      <c r="G289" s="409"/>
      <c r="H289" s="409"/>
      <c r="I289" s="409"/>
      <c r="J289" s="409"/>
      <c r="K289" s="409"/>
      <c r="L289" s="11"/>
      <c r="N289" s="13"/>
      <c r="O289" s="11"/>
      <c r="P289" s="11"/>
    </row>
    <row r="290" spans="1:16" ht="32.25" customHeight="1">
      <c r="A290" s="134" t="s">
        <v>152</v>
      </c>
      <c r="B290" s="410" t="s">
        <v>244</v>
      </c>
      <c r="C290" s="410"/>
      <c r="D290" s="410"/>
      <c r="E290" s="410"/>
      <c r="F290" s="410"/>
      <c r="G290" s="410"/>
      <c r="H290" s="410"/>
      <c r="I290" s="410"/>
      <c r="J290" s="410"/>
      <c r="K290" s="410"/>
      <c r="L290" s="11"/>
      <c r="N290" s="13"/>
      <c r="O290" s="11"/>
      <c r="P290" s="11"/>
    </row>
    <row r="291" spans="1:16" ht="32.25" customHeight="1">
      <c r="A291" s="134" t="s">
        <v>153</v>
      </c>
      <c r="B291" s="409" t="s">
        <v>245</v>
      </c>
      <c r="C291" s="409"/>
      <c r="D291" s="409"/>
      <c r="E291" s="409"/>
      <c r="F291" s="409"/>
      <c r="G291" s="409"/>
      <c r="H291" s="409"/>
      <c r="I291" s="409"/>
      <c r="J291" s="409"/>
      <c r="K291" s="409"/>
      <c r="L291" s="11"/>
      <c r="N291" s="13"/>
      <c r="O291" s="10"/>
      <c r="P291" s="11"/>
    </row>
    <row r="292" spans="1:16" ht="79.5" customHeight="1">
      <c r="A292" s="134" t="s">
        <v>154</v>
      </c>
      <c r="B292" s="409" t="s">
        <v>246</v>
      </c>
      <c r="C292" s="409"/>
      <c r="D292" s="409"/>
      <c r="E292" s="409"/>
      <c r="F292" s="409"/>
      <c r="G292" s="409"/>
      <c r="H292" s="409"/>
      <c r="I292" s="409"/>
      <c r="J292" s="409"/>
      <c r="K292" s="409"/>
      <c r="L292" s="11"/>
      <c r="N292" s="13"/>
      <c r="O292" s="11"/>
      <c r="P292" s="11"/>
    </row>
    <row r="293" spans="1:16">
      <c r="A293" s="134" t="s">
        <v>2</v>
      </c>
      <c r="B293" s="135" t="s">
        <v>241</v>
      </c>
      <c r="C293" s="136" t="s">
        <v>155</v>
      </c>
      <c r="D293" s="137">
        <v>0</v>
      </c>
      <c r="E293" s="136"/>
      <c r="F293" s="138"/>
      <c r="G293" s="138"/>
      <c r="H293" s="139"/>
      <c r="I293" s="138"/>
      <c r="J293" s="139"/>
      <c r="K293" s="138"/>
      <c r="L293" s="11"/>
      <c r="N293" s="13"/>
      <c r="O293" s="11"/>
      <c r="P293" s="11"/>
    </row>
    <row r="294" spans="1:16">
      <c r="A294" s="134"/>
      <c r="B294" s="136"/>
      <c r="C294" s="136" t="s">
        <v>156</v>
      </c>
      <c r="D294" s="137">
        <v>0</v>
      </c>
      <c r="E294" s="409" t="s">
        <v>157</v>
      </c>
      <c r="F294" s="409"/>
      <c r="G294" s="409"/>
      <c r="H294" s="409"/>
      <c r="I294" s="409"/>
      <c r="J294" s="409"/>
      <c r="K294" s="409"/>
      <c r="N294" s="13"/>
      <c r="O294" s="11"/>
      <c r="P294" s="11"/>
    </row>
    <row r="295" spans="1:16">
      <c r="A295" s="134"/>
      <c r="B295" s="136"/>
      <c r="C295" s="136" t="s">
        <v>158</v>
      </c>
      <c r="D295" s="137">
        <v>0</v>
      </c>
      <c r="E295" s="409" t="s">
        <v>159</v>
      </c>
      <c r="F295" s="409"/>
      <c r="G295" s="409"/>
      <c r="H295" s="409"/>
      <c r="I295" s="409"/>
      <c r="J295" s="409"/>
      <c r="K295" s="409"/>
      <c r="L295" s="11"/>
      <c r="N295" s="13"/>
      <c r="O295" s="11"/>
      <c r="P295" s="11"/>
    </row>
    <row r="296" spans="1:16">
      <c r="A296" s="134" t="s">
        <v>160</v>
      </c>
      <c r="B296" s="409" t="s">
        <v>194</v>
      </c>
      <c r="C296" s="409"/>
      <c r="D296" s="409"/>
      <c r="E296" s="409"/>
      <c r="F296" s="409"/>
      <c r="G296" s="409"/>
      <c r="H296" s="409"/>
      <c r="I296" s="409"/>
      <c r="J296" s="409"/>
      <c r="K296" s="409"/>
      <c r="L296" s="11"/>
      <c r="N296" s="13"/>
      <c r="O296" s="11"/>
      <c r="P296" s="11"/>
    </row>
    <row r="297" spans="1:16" ht="32.25" customHeight="1">
      <c r="A297" s="134" t="s">
        <v>161</v>
      </c>
      <c r="B297" s="409" t="s">
        <v>298</v>
      </c>
      <c r="C297" s="409"/>
      <c r="D297" s="409"/>
      <c r="E297" s="409"/>
      <c r="F297" s="409"/>
      <c r="G297" s="409"/>
      <c r="H297" s="409"/>
      <c r="I297" s="409"/>
      <c r="J297" s="409"/>
      <c r="K297" s="409"/>
      <c r="L297" s="140"/>
      <c r="N297" s="13"/>
      <c r="O297" s="11"/>
      <c r="P297" s="11"/>
    </row>
    <row r="298" spans="1:16" ht="48" customHeight="1">
      <c r="A298" s="134" t="s">
        <v>162</v>
      </c>
      <c r="B298" s="409" t="s">
        <v>263</v>
      </c>
      <c r="C298" s="409"/>
      <c r="D298" s="409"/>
      <c r="E298" s="409"/>
      <c r="F298" s="409"/>
      <c r="G298" s="409"/>
      <c r="H298" s="409"/>
      <c r="I298" s="409"/>
      <c r="J298" s="409"/>
      <c r="K298" s="409"/>
      <c r="L298" s="11"/>
      <c r="N298" s="13"/>
      <c r="O298" s="11"/>
      <c r="P298" s="11"/>
    </row>
    <row r="299" spans="1:16">
      <c r="A299" s="134" t="s">
        <v>163</v>
      </c>
      <c r="B299" s="409" t="s">
        <v>181</v>
      </c>
      <c r="C299" s="409"/>
      <c r="D299" s="409"/>
      <c r="E299" s="409"/>
      <c r="F299" s="409"/>
      <c r="G299" s="409"/>
      <c r="H299" s="409"/>
      <c r="I299" s="409"/>
      <c r="J299" s="409"/>
      <c r="K299" s="409"/>
      <c r="L299" s="11"/>
      <c r="N299" s="13"/>
      <c r="O299" s="10"/>
      <c r="P299" s="11"/>
    </row>
    <row r="300" spans="1:16" ht="176.25" customHeight="1">
      <c r="A300" s="134" t="s">
        <v>164</v>
      </c>
      <c r="B300" s="410" t="s">
        <v>315</v>
      </c>
      <c r="C300" s="410"/>
      <c r="D300" s="410"/>
      <c r="E300" s="410"/>
      <c r="F300" s="410"/>
      <c r="G300" s="410"/>
      <c r="H300" s="410"/>
      <c r="I300" s="410"/>
      <c r="J300" s="410"/>
      <c r="K300" s="410"/>
      <c r="L300" s="11"/>
      <c r="N300" s="13"/>
      <c r="O300" s="10"/>
      <c r="P300" s="11"/>
    </row>
    <row r="301" spans="1:16" ht="32.25" customHeight="1">
      <c r="A301" s="134" t="s">
        <v>165</v>
      </c>
      <c r="B301" s="409" t="s">
        <v>247</v>
      </c>
      <c r="C301" s="409"/>
      <c r="D301" s="409"/>
      <c r="E301" s="409"/>
      <c r="F301" s="409"/>
      <c r="G301" s="409"/>
      <c r="H301" s="409"/>
      <c r="I301" s="409"/>
      <c r="J301" s="409"/>
      <c r="K301" s="409"/>
      <c r="L301" s="11"/>
      <c r="N301" s="13"/>
      <c r="O301" s="11"/>
      <c r="P301" s="11"/>
    </row>
    <row r="302" spans="1:16">
      <c r="A302" s="134" t="s">
        <v>166</v>
      </c>
      <c r="B302" s="409" t="s">
        <v>167</v>
      </c>
      <c r="C302" s="409"/>
      <c r="D302" s="409"/>
      <c r="E302" s="409"/>
      <c r="F302" s="409"/>
      <c r="G302" s="409"/>
      <c r="H302" s="409"/>
      <c r="I302" s="409"/>
      <c r="J302" s="409"/>
      <c r="K302" s="409"/>
      <c r="L302" s="11"/>
      <c r="N302" s="13"/>
      <c r="O302" s="11"/>
      <c r="P302" s="11"/>
    </row>
    <row r="303" spans="1:16" ht="48" customHeight="1">
      <c r="A303" s="134" t="s">
        <v>182</v>
      </c>
      <c r="B303" s="409" t="s">
        <v>299</v>
      </c>
      <c r="C303" s="409"/>
      <c r="D303" s="409"/>
      <c r="E303" s="409"/>
      <c r="F303" s="409"/>
      <c r="G303" s="409"/>
      <c r="H303" s="409"/>
      <c r="I303" s="409"/>
      <c r="J303" s="409"/>
      <c r="K303" s="409"/>
      <c r="L303" s="11"/>
      <c r="N303" s="13"/>
      <c r="O303" s="11"/>
      <c r="P303" s="11"/>
    </row>
    <row r="304" spans="1:16" ht="65.25" customHeight="1">
      <c r="A304" s="141" t="s">
        <v>183</v>
      </c>
      <c r="B304" s="409" t="s">
        <v>262</v>
      </c>
      <c r="C304" s="409"/>
      <c r="D304" s="409"/>
      <c r="E304" s="409"/>
      <c r="F304" s="409"/>
      <c r="G304" s="409"/>
      <c r="H304" s="409"/>
      <c r="I304" s="409"/>
      <c r="J304" s="409"/>
      <c r="K304" s="409"/>
      <c r="L304" s="11"/>
      <c r="N304" s="13"/>
      <c r="O304" s="11"/>
      <c r="P304" s="11"/>
    </row>
    <row r="305" spans="1:16">
      <c r="A305" s="141" t="s">
        <v>189</v>
      </c>
      <c r="B305" s="409" t="s">
        <v>288</v>
      </c>
      <c r="C305" s="409"/>
      <c r="D305" s="409"/>
      <c r="E305" s="409"/>
      <c r="F305" s="409"/>
      <c r="G305" s="409"/>
      <c r="H305" s="409"/>
      <c r="I305" s="409"/>
      <c r="J305" s="409"/>
      <c r="K305" s="409"/>
      <c r="L305" s="11"/>
      <c r="N305" s="13"/>
      <c r="O305" s="11"/>
      <c r="P305" s="11"/>
    </row>
    <row r="306" spans="1:16">
      <c r="A306" s="142" t="s">
        <v>191</v>
      </c>
      <c r="B306" s="409" t="s">
        <v>289</v>
      </c>
      <c r="C306" s="409"/>
      <c r="D306" s="409"/>
      <c r="E306" s="409"/>
      <c r="F306" s="409"/>
      <c r="G306" s="409"/>
      <c r="H306" s="409"/>
      <c r="I306" s="409"/>
      <c r="J306" s="409"/>
      <c r="K306" s="409"/>
      <c r="L306" s="11"/>
      <c r="N306" s="59"/>
      <c r="O306" s="11"/>
      <c r="P306" s="11"/>
    </row>
    <row r="307" spans="1:16">
      <c r="A307" s="142" t="s">
        <v>196</v>
      </c>
      <c r="B307" s="409" t="s">
        <v>294</v>
      </c>
      <c r="C307" s="409"/>
      <c r="D307" s="409"/>
      <c r="E307" s="409"/>
      <c r="F307" s="409"/>
      <c r="G307" s="409"/>
      <c r="H307" s="409"/>
      <c r="I307" s="409"/>
      <c r="J307" s="409"/>
      <c r="K307" s="409"/>
      <c r="L307" s="11"/>
      <c r="N307" s="59"/>
      <c r="O307" s="11"/>
      <c r="P307" s="11"/>
    </row>
    <row r="308" spans="1:16" s="1" customFormat="1" ht="32.25" customHeight="1">
      <c r="A308" s="141" t="s">
        <v>197</v>
      </c>
      <c r="B308" s="409" t="s">
        <v>295</v>
      </c>
      <c r="C308" s="409"/>
      <c r="D308" s="409"/>
      <c r="E308" s="409"/>
      <c r="F308" s="409"/>
      <c r="G308" s="409"/>
      <c r="H308" s="409"/>
      <c r="I308" s="409"/>
      <c r="J308" s="409"/>
      <c r="K308" s="409"/>
      <c r="L308" s="80"/>
      <c r="N308" s="63"/>
      <c r="O308" s="80"/>
      <c r="P308" s="80"/>
    </row>
    <row r="309" spans="1:16" s="82" customFormat="1">
      <c r="A309" s="142" t="s">
        <v>273</v>
      </c>
      <c r="B309" s="409" t="s">
        <v>296</v>
      </c>
      <c r="C309" s="409"/>
      <c r="D309" s="409"/>
      <c r="E309" s="409"/>
      <c r="F309" s="409"/>
      <c r="G309" s="409"/>
      <c r="H309" s="409"/>
      <c r="I309" s="409"/>
      <c r="J309" s="409"/>
      <c r="K309" s="409"/>
      <c r="L309" s="84"/>
      <c r="N309" s="81"/>
      <c r="O309" s="84"/>
      <c r="P309" s="84"/>
    </row>
    <row r="310" spans="1:16" s="82" customFormat="1" ht="33" customHeight="1">
      <c r="A310" s="141" t="s">
        <v>274</v>
      </c>
      <c r="B310" s="409" t="s">
        <v>297</v>
      </c>
      <c r="C310" s="409"/>
      <c r="D310" s="409"/>
      <c r="E310" s="409"/>
      <c r="F310" s="409"/>
      <c r="G310" s="409"/>
      <c r="H310" s="409"/>
      <c r="I310" s="409"/>
      <c r="J310" s="409"/>
      <c r="K310" s="409"/>
      <c r="L310" s="84"/>
      <c r="N310" s="81"/>
      <c r="O310" s="84"/>
      <c r="P310" s="84"/>
    </row>
    <row r="311" spans="1:16" s="82" customFormat="1" ht="15" customHeight="1">
      <c r="A311" s="141" t="s">
        <v>275</v>
      </c>
      <c r="B311" s="143" t="s">
        <v>276</v>
      </c>
      <c r="C311" s="144"/>
      <c r="D311" s="144"/>
      <c r="E311" s="144"/>
      <c r="F311" s="144"/>
      <c r="G311" s="144"/>
      <c r="H311" s="144"/>
      <c r="I311" s="144"/>
      <c r="J311" s="144"/>
      <c r="K311" s="144"/>
      <c r="L311" s="84"/>
      <c r="N311" s="81"/>
      <c r="O311" s="84"/>
      <c r="P311" s="84"/>
    </row>
    <row r="312" spans="1:16" s="82" customFormat="1" ht="15" customHeight="1">
      <c r="A312" s="141" t="s">
        <v>277</v>
      </c>
      <c r="B312" s="145" t="s">
        <v>278</v>
      </c>
      <c r="C312" s="144"/>
      <c r="D312" s="144"/>
      <c r="E312" s="144"/>
      <c r="F312" s="144"/>
      <c r="G312" s="144"/>
      <c r="H312" s="144"/>
      <c r="I312" s="144"/>
      <c r="J312" s="144"/>
      <c r="K312" s="144"/>
      <c r="L312" s="84"/>
      <c r="N312" s="81"/>
      <c r="O312" s="84"/>
      <c r="P312" s="84"/>
    </row>
    <row r="313" spans="1:16" s="82" customFormat="1" ht="15" customHeight="1">
      <c r="A313" s="146" t="s">
        <v>308</v>
      </c>
      <c r="B313" s="80" t="s">
        <v>310</v>
      </c>
      <c r="C313" s="6"/>
      <c r="D313" s="139"/>
      <c r="E313" s="139"/>
      <c r="F313" s="139"/>
      <c r="G313" s="139"/>
      <c r="H313" s="139"/>
      <c r="I313" s="139"/>
      <c r="J313" s="139"/>
      <c r="K313" s="139"/>
      <c r="L313" s="84"/>
      <c r="N313" s="81"/>
      <c r="O313" s="84"/>
      <c r="P313" s="84"/>
    </row>
    <row r="314" spans="1:16" s="82" customFormat="1" ht="15" customHeight="1">
      <c r="A314" s="146"/>
      <c r="B314" s="80" t="s">
        <v>311</v>
      </c>
      <c r="C314" s="6"/>
      <c r="D314" s="139"/>
      <c r="E314" s="139"/>
      <c r="F314" s="139"/>
      <c r="G314" s="139"/>
      <c r="H314" s="139"/>
      <c r="I314" s="139"/>
      <c r="J314" s="139"/>
      <c r="K314" s="139"/>
      <c r="L314" s="84"/>
      <c r="N314" s="81"/>
      <c r="O314" s="84"/>
      <c r="P314" s="84"/>
    </row>
    <row r="315" spans="1:16">
      <c r="A315" s="146" t="s">
        <v>309</v>
      </c>
      <c r="B315" s="80" t="s">
        <v>312</v>
      </c>
      <c r="D315" s="11"/>
      <c r="E315" s="11"/>
      <c r="F315" s="11"/>
      <c r="G315" s="11"/>
      <c r="H315" s="11"/>
      <c r="I315" s="11"/>
      <c r="J315" s="11"/>
      <c r="K315" s="11"/>
      <c r="N315" s="13"/>
      <c r="O315" s="11"/>
      <c r="P315" s="11"/>
    </row>
    <row r="316" spans="1:16">
      <c r="A316" s="146"/>
      <c r="B316" s="80" t="s">
        <v>313</v>
      </c>
      <c r="D316" s="11"/>
      <c r="E316" s="11"/>
      <c r="F316" s="11"/>
      <c r="G316" s="11"/>
      <c r="H316" s="11"/>
      <c r="I316" s="11"/>
      <c r="J316" s="11"/>
      <c r="K316" s="11"/>
      <c r="N316" s="13"/>
      <c r="O316" s="11"/>
      <c r="P316" s="11"/>
    </row>
    <row r="317" spans="1:16">
      <c r="A317" s="13"/>
      <c r="B317" s="11"/>
      <c r="C317" s="11"/>
      <c r="D317" s="11"/>
      <c r="E317" s="11"/>
      <c r="F317" s="11"/>
      <c r="G317" s="11"/>
      <c r="H317" s="11"/>
      <c r="I317" s="11"/>
      <c r="J317" s="11"/>
      <c r="K317" s="11"/>
      <c r="N317" s="13"/>
      <c r="O317" s="11"/>
      <c r="P317" s="11"/>
    </row>
    <row r="318" spans="1:16">
      <c r="A318" s="13"/>
      <c r="B318" s="11"/>
      <c r="C318" s="11"/>
      <c r="D318" s="11"/>
      <c r="E318" s="11"/>
      <c r="F318" s="11"/>
      <c r="G318" s="11"/>
      <c r="H318" s="11"/>
      <c r="I318" s="11"/>
      <c r="J318" s="11"/>
      <c r="K318" s="11"/>
      <c r="N318" s="13"/>
      <c r="O318" s="11"/>
      <c r="P318" s="11"/>
    </row>
    <row r="319" spans="1:16">
      <c r="A319" s="13"/>
      <c r="B319" s="11"/>
      <c r="C319" s="11"/>
      <c r="D319" s="11"/>
      <c r="E319" s="11"/>
      <c r="F319" s="11"/>
      <c r="G319" s="11"/>
      <c r="H319" s="11"/>
      <c r="I319" s="11"/>
      <c r="J319" s="11"/>
      <c r="K319" s="11"/>
      <c r="N319" s="13"/>
      <c r="O319" s="11"/>
      <c r="P319" s="11"/>
    </row>
    <row r="320" spans="1:16">
      <c r="A320" s="13"/>
      <c r="B320" s="147"/>
      <c r="C320" s="11"/>
      <c r="D320" s="11"/>
      <c r="E320" s="11"/>
      <c r="F320" s="11"/>
      <c r="G320" s="11"/>
      <c r="H320" s="11"/>
      <c r="I320" s="11"/>
      <c r="J320" s="11"/>
      <c r="K320" s="11"/>
      <c r="O320" s="11"/>
      <c r="P320" s="11"/>
    </row>
    <row r="321" spans="1:16">
      <c r="A321" s="13"/>
      <c r="B321" s="11"/>
      <c r="C321" s="11"/>
      <c r="D321" s="11"/>
      <c r="E321" s="11"/>
      <c r="F321" s="11"/>
      <c r="G321" s="11"/>
      <c r="H321" s="11"/>
      <c r="I321" s="11"/>
      <c r="J321" s="11"/>
      <c r="K321" s="11"/>
      <c r="N321" s="13"/>
      <c r="O321" s="11"/>
      <c r="P321" s="11"/>
    </row>
    <row r="322" spans="1:16">
      <c r="A322" s="13"/>
      <c r="B322" s="11"/>
      <c r="C322" s="11"/>
      <c r="D322" s="11"/>
      <c r="E322" s="11"/>
      <c r="F322" s="11"/>
      <c r="G322" s="11"/>
      <c r="H322" s="11"/>
      <c r="I322" s="11"/>
      <c r="J322" s="11"/>
      <c r="K322" s="11"/>
      <c r="N322" s="13"/>
      <c r="O322" s="11"/>
      <c r="P322" s="11"/>
    </row>
    <row r="323" spans="1:16">
      <c r="A323" s="13"/>
      <c r="B323" s="11"/>
      <c r="C323" s="11"/>
      <c r="D323" s="11"/>
      <c r="E323" s="11"/>
      <c r="F323" s="11"/>
      <c r="G323" s="11"/>
      <c r="H323" s="11"/>
      <c r="I323" s="11"/>
      <c r="J323" s="11"/>
      <c r="K323" s="11"/>
      <c r="N323" s="13"/>
      <c r="O323" s="11"/>
      <c r="P323" s="11"/>
    </row>
    <row r="324" spans="1:16">
      <c r="A324" s="13"/>
      <c r="B324" s="11"/>
      <c r="C324" s="11"/>
      <c r="D324" s="11"/>
      <c r="E324" s="11"/>
      <c r="F324" s="11"/>
      <c r="G324" s="11"/>
      <c r="H324" s="11"/>
      <c r="I324" s="11"/>
      <c r="J324" s="11"/>
      <c r="K324" s="11"/>
      <c r="N324" s="13"/>
      <c r="O324" s="11"/>
      <c r="P324" s="11"/>
    </row>
    <row r="325" spans="1:16">
      <c r="A325" s="13"/>
      <c r="B325" s="11"/>
      <c r="C325" s="11"/>
      <c r="D325" s="11"/>
      <c r="E325" s="11"/>
      <c r="F325" s="11"/>
      <c r="G325" s="11"/>
      <c r="H325" s="11"/>
      <c r="I325" s="11"/>
      <c r="J325" s="11"/>
      <c r="K325" s="11"/>
      <c r="N325" s="13"/>
      <c r="O325" s="11"/>
      <c r="P325" s="11"/>
    </row>
    <row r="326" spans="1:16">
      <c r="A326" s="13"/>
      <c r="B326" s="11"/>
      <c r="C326" s="11"/>
      <c r="D326" s="11"/>
      <c r="E326" s="11"/>
      <c r="F326" s="11"/>
      <c r="G326" s="11"/>
      <c r="H326" s="11"/>
      <c r="I326" s="11"/>
      <c r="J326" s="11"/>
      <c r="K326" s="11"/>
      <c r="N326" s="13"/>
      <c r="O326" s="11"/>
      <c r="P326" s="11"/>
    </row>
    <row r="327" spans="1:16">
      <c r="A327" s="13"/>
      <c r="B327" s="11"/>
      <c r="C327" s="11"/>
      <c r="D327" s="11"/>
      <c r="E327" s="11"/>
      <c r="F327" s="11"/>
      <c r="G327" s="11"/>
      <c r="H327" s="11"/>
      <c r="I327" s="11"/>
      <c r="J327" s="11"/>
      <c r="K327" s="11"/>
      <c r="N327" s="13"/>
      <c r="O327" s="11"/>
      <c r="P327" s="11"/>
    </row>
    <row r="328" spans="1:16">
      <c r="A328" s="13"/>
      <c r="B328" s="11"/>
      <c r="C328" s="11"/>
      <c r="D328" s="11"/>
      <c r="E328" s="11"/>
      <c r="F328" s="11"/>
      <c r="G328" s="11"/>
      <c r="H328" s="11"/>
      <c r="I328" s="11"/>
      <c r="J328" s="11"/>
      <c r="K328" s="11"/>
      <c r="N328" s="13"/>
      <c r="O328" s="11"/>
      <c r="P328" s="11"/>
    </row>
    <row r="329" spans="1:16">
      <c r="A329" s="13"/>
      <c r="B329" s="11"/>
      <c r="C329" s="11"/>
      <c r="D329" s="11"/>
      <c r="E329" s="11"/>
      <c r="F329" s="11"/>
      <c r="G329" s="11"/>
      <c r="H329" s="11"/>
      <c r="I329" s="11"/>
      <c r="J329" s="11"/>
      <c r="K329" s="11"/>
      <c r="N329" s="13"/>
      <c r="O329" s="11"/>
      <c r="P329" s="11"/>
    </row>
    <row r="330" spans="1:16">
      <c r="B330" s="11"/>
      <c r="C330" s="11"/>
      <c r="D330" s="11"/>
      <c r="E330" s="11"/>
      <c r="F330" s="11"/>
      <c r="G330" s="11"/>
      <c r="H330" s="11"/>
      <c r="I330" s="11"/>
      <c r="J330" s="11"/>
      <c r="K330" s="11"/>
      <c r="N330" s="13"/>
      <c r="O330" s="11"/>
      <c r="P330" s="11"/>
    </row>
    <row r="331" spans="1:16">
      <c r="B331" s="11"/>
      <c r="C331" s="11"/>
      <c r="D331" s="11"/>
      <c r="E331" s="11"/>
      <c r="F331" s="11"/>
      <c r="G331" s="11"/>
      <c r="H331" s="11"/>
      <c r="I331" s="11"/>
      <c r="J331" s="11"/>
      <c r="K331" s="11"/>
      <c r="N331" s="13"/>
      <c r="O331" s="11"/>
      <c r="P331" s="11"/>
    </row>
    <row r="332" spans="1:16">
      <c r="B332" s="11"/>
      <c r="C332" s="11"/>
      <c r="D332" s="11"/>
      <c r="E332" s="11"/>
      <c r="F332" s="11"/>
      <c r="G332" s="11"/>
      <c r="H332" s="11"/>
      <c r="I332" s="11"/>
      <c r="J332" s="11"/>
      <c r="K332" s="11"/>
      <c r="N332" s="13"/>
      <c r="O332" s="11"/>
      <c r="P332" s="11"/>
    </row>
    <row r="333" spans="1:16">
      <c r="B333" s="11"/>
      <c r="C333" s="11"/>
      <c r="D333" s="11"/>
      <c r="E333" s="11"/>
      <c r="F333" s="11"/>
      <c r="G333" s="11"/>
      <c r="H333" s="11"/>
      <c r="I333" s="11"/>
      <c r="J333" s="11"/>
      <c r="K333" s="11"/>
      <c r="N333" s="11"/>
      <c r="O333" s="11"/>
      <c r="P333" s="11"/>
    </row>
    <row r="334" spans="1:16">
      <c r="B334" s="11"/>
      <c r="C334" s="11"/>
      <c r="D334" s="11"/>
      <c r="E334" s="11"/>
      <c r="F334" s="11"/>
      <c r="G334" s="11"/>
      <c r="H334" s="11"/>
      <c r="I334" s="11"/>
      <c r="J334" s="11"/>
      <c r="K334" s="11"/>
      <c r="N334" s="11"/>
      <c r="O334" s="11"/>
      <c r="P334" s="11"/>
    </row>
    <row r="335" spans="1:16">
      <c r="B335" s="11"/>
      <c r="C335" s="11"/>
      <c r="D335" s="11"/>
      <c r="E335" s="11"/>
      <c r="F335" s="11"/>
      <c r="G335" s="11"/>
      <c r="H335" s="11"/>
      <c r="I335" s="11"/>
      <c r="J335" s="11"/>
      <c r="K335" s="11"/>
      <c r="N335" s="11"/>
      <c r="O335" s="11"/>
      <c r="P335" s="11"/>
    </row>
    <row r="336" spans="1:16">
      <c r="B336" s="11"/>
      <c r="C336" s="11"/>
      <c r="D336" s="11"/>
      <c r="E336" s="11"/>
      <c r="F336" s="11"/>
      <c r="G336" s="11"/>
      <c r="H336" s="11"/>
      <c r="I336" s="11"/>
      <c r="J336" s="11"/>
      <c r="K336" s="11"/>
      <c r="N336" s="11"/>
      <c r="O336" s="11"/>
      <c r="P336" s="11"/>
    </row>
    <row r="337" spans="2:16">
      <c r="B337" s="11"/>
      <c r="C337" s="11"/>
      <c r="D337" s="11"/>
      <c r="E337" s="11"/>
      <c r="F337" s="11"/>
      <c r="G337" s="11"/>
      <c r="H337" s="11"/>
      <c r="I337" s="11"/>
      <c r="J337" s="11"/>
      <c r="K337" s="11"/>
      <c r="N337" s="11"/>
      <c r="O337" s="11"/>
      <c r="P337" s="11"/>
    </row>
    <row r="338" spans="2:16">
      <c r="B338" s="11"/>
      <c r="C338" s="11"/>
      <c r="D338" s="11"/>
      <c r="E338" s="11"/>
      <c r="F338" s="11"/>
      <c r="G338" s="11"/>
      <c r="H338" s="11"/>
      <c r="I338" s="11"/>
      <c r="J338" s="11"/>
      <c r="K338" s="11"/>
      <c r="N338" s="11"/>
      <c r="O338" s="11"/>
      <c r="P338" s="11"/>
    </row>
    <row r="339" spans="2:16">
      <c r="J339" s="11"/>
      <c r="K339" s="11"/>
      <c r="N339" s="11"/>
      <c r="O339" s="11"/>
      <c r="P339" s="11"/>
    </row>
    <row r="340" spans="2:16">
      <c r="N340" s="11"/>
      <c r="O340" s="11"/>
      <c r="P340" s="11"/>
    </row>
    <row r="341" spans="2:16">
      <c r="N341" s="11"/>
      <c r="O341" s="11"/>
      <c r="P341" s="11"/>
    </row>
  </sheetData>
  <sheetProtection sheet="1" objects="1" scenarios="1"/>
  <protectedRanges>
    <protectedRange sqref="I4:K4 D7:E7 D16:D17 I20:I21 I27:I33 D45:D46 D83:D87 D91:D95 D107:D111 D114 D118:D119 D149:D157 D161:D163 D168:D169 D171:D174 D183 D196 I196 D200 I200 I216:I217 I224 D232:D235 D239:D241 D245 D248:D249 I252 R253:R254 I257:I259 I261 I264:I267 D293:D295 L1:R1048576" name="Range1"/>
  </protectedRanges>
  <mergeCells count="30">
    <mergeCell ref="L223:Q223"/>
    <mergeCell ref="B284:K284"/>
    <mergeCell ref="C274:D274"/>
    <mergeCell ref="B283:K283"/>
    <mergeCell ref="B282:K282"/>
    <mergeCell ref="B286:K286"/>
    <mergeCell ref="B285:K285"/>
    <mergeCell ref="E295:K295"/>
    <mergeCell ref="E294:K294"/>
    <mergeCell ref="B288:K288"/>
    <mergeCell ref="B287:K287"/>
    <mergeCell ref="B301:K301"/>
    <mergeCell ref="B300:K300"/>
    <mergeCell ref="B299:K299"/>
    <mergeCell ref="B298:K298"/>
    <mergeCell ref="B297:K297"/>
    <mergeCell ref="B296:K296"/>
    <mergeCell ref="B292:K292"/>
    <mergeCell ref="B291:K291"/>
    <mergeCell ref="B290:K290"/>
    <mergeCell ref="B289:K289"/>
    <mergeCell ref="B309:K309"/>
    <mergeCell ref="B310:K310"/>
    <mergeCell ref="B304:K304"/>
    <mergeCell ref="B303:K303"/>
    <mergeCell ref="B302:K302"/>
    <mergeCell ref="B308:K308"/>
    <mergeCell ref="B306:K306"/>
    <mergeCell ref="B307:K307"/>
    <mergeCell ref="B305:K305"/>
  </mergeCells>
  <phoneticPr fontId="0" type="noConversion"/>
  <pageMargins left="0.5" right="0.5" top="0.75" bottom="0.75" header="0.09" footer="0.5"/>
  <pageSetup scale="58" fitToHeight="5" orientation="portrait" horizontalDpi="300" verticalDpi="300" r:id="rId1"/>
  <headerFooter alignWithMargins="0">
    <oddFooter>&amp;RV34
EFF 06.16.15</oddFooter>
  </headerFooter>
  <rowBreaks count="5" manualBreakCount="5">
    <brk id="71" max="10" man="1"/>
    <brk id="137" max="10" man="1"/>
    <brk id="204" max="10" man="1"/>
    <brk id="271" max="10" man="1"/>
    <brk id="316"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D40"/>
  <sheetViews>
    <sheetView showGridLines="0" topLeftCell="A13" workbookViewId="0">
      <selection activeCell="C34" sqref="C34"/>
    </sheetView>
  </sheetViews>
  <sheetFormatPr defaultColWidth="8.88671875" defaultRowHeight="15" customHeight="1"/>
  <cols>
    <col min="1" max="1" width="3.33203125" style="243" customWidth="1"/>
    <col min="2" max="2" width="55.44140625" style="243" bestFit="1" customWidth="1"/>
    <col min="3" max="3" width="14.33203125" style="243" customWidth="1"/>
    <col min="4" max="16384" width="8.88671875" style="243"/>
  </cols>
  <sheetData>
    <row r="1" spans="1:4" ht="20.100000000000001" customHeight="1">
      <c r="B1" s="265" t="str">
        <f>EntityName</f>
        <v>Blue Earth, MN</v>
      </c>
    </row>
    <row r="2" spans="1:4" ht="20.100000000000001" customHeight="1">
      <c r="A2" s="247"/>
      <c r="B2" s="266" t="s">
        <v>510</v>
      </c>
    </row>
    <row r="3" spans="1:4" ht="20.100000000000001" customHeight="1">
      <c r="A3" s="247"/>
      <c r="B3" s="267">
        <f>FilingDate</f>
        <v>43100</v>
      </c>
    </row>
    <row r="4" spans="1:4" ht="20.100000000000001" customHeight="1">
      <c r="A4" s="247"/>
    </row>
    <row r="5" spans="1:4" ht="20.100000000000001" customHeight="1">
      <c r="A5" s="247"/>
      <c r="B5" s="355">
        <f>C40</f>
        <v>906376.15</v>
      </c>
      <c r="C5" s="276" t="s">
        <v>528</v>
      </c>
    </row>
    <row r="6" spans="1:4" ht="15" customHeight="1">
      <c r="A6" s="247"/>
      <c r="B6" s="270"/>
      <c r="C6" s="299">
        <v>2017</v>
      </c>
    </row>
    <row r="7" spans="1:4" ht="18" customHeight="1">
      <c r="B7" s="296" t="s">
        <v>504</v>
      </c>
      <c r="C7" s="296" t="s">
        <v>126</v>
      </c>
    </row>
    <row r="8" spans="1:4" ht="18" customHeight="1">
      <c r="B8" s="297" t="s">
        <v>622</v>
      </c>
      <c r="C8" s="298"/>
    </row>
    <row r="9" spans="1:4" ht="18" customHeight="1">
      <c r="B9" s="297" t="s">
        <v>606</v>
      </c>
      <c r="C9" s="289">
        <f>74289+8532</f>
        <v>82821</v>
      </c>
      <c r="D9" s="305"/>
    </row>
    <row r="10" spans="1:4" ht="18" customHeight="1">
      <c r="B10" s="297" t="s">
        <v>607</v>
      </c>
      <c r="C10" s="289">
        <v>0</v>
      </c>
    </row>
    <row r="11" spans="1:4" ht="18" customHeight="1">
      <c r="B11" s="297" t="s">
        <v>608</v>
      </c>
      <c r="C11" s="289">
        <v>0</v>
      </c>
    </row>
    <row r="12" spans="1:4" ht="18" customHeight="1">
      <c r="B12" s="297" t="s">
        <v>609</v>
      </c>
      <c r="C12" s="289">
        <v>0</v>
      </c>
    </row>
    <row r="13" spans="1:4" ht="18" customHeight="1">
      <c r="B13" s="297" t="s">
        <v>610</v>
      </c>
      <c r="C13" s="289">
        <v>0</v>
      </c>
    </row>
    <row r="14" spans="1:4" ht="18" customHeight="1">
      <c r="B14" s="297" t="s">
        <v>611</v>
      </c>
      <c r="C14" s="289">
        <v>0</v>
      </c>
    </row>
    <row r="15" spans="1:4" ht="18" customHeight="1">
      <c r="B15" s="297" t="s">
        <v>612</v>
      </c>
      <c r="C15" s="289">
        <v>0</v>
      </c>
    </row>
    <row r="16" spans="1:4" ht="18" customHeight="1">
      <c r="B16" s="297" t="s">
        <v>613</v>
      </c>
      <c r="C16" s="289">
        <v>0</v>
      </c>
    </row>
    <row r="17" spans="2:3" ht="18" customHeight="1">
      <c r="B17" s="297" t="s">
        <v>614</v>
      </c>
      <c r="C17" s="289">
        <v>0</v>
      </c>
    </row>
    <row r="18" spans="2:3" ht="18" customHeight="1">
      <c r="B18" s="297" t="s">
        <v>615</v>
      </c>
      <c r="C18" s="289">
        <v>0</v>
      </c>
    </row>
    <row r="19" spans="2:3" ht="18" customHeight="1">
      <c r="B19" s="297" t="s">
        <v>616</v>
      </c>
      <c r="C19" s="289">
        <v>14137</v>
      </c>
    </row>
    <row r="20" spans="2:3" ht="18" customHeight="1">
      <c r="B20" s="297" t="s">
        <v>617</v>
      </c>
      <c r="C20" s="289">
        <v>0</v>
      </c>
    </row>
    <row r="21" spans="2:3" ht="18" customHeight="1">
      <c r="B21" s="297" t="s">
        <v>618</v>
      </c>
      <c r="C21" s="289">
        <v>0</v>
      </c>
    </row>
    <row r="22" spans="2:3" ht="18" customHeight="1">
      <c r="B22" s="297" t="s">
        <v>619</v>
      </c>
      <c r="C22" s="289">
        <v>746610</v>
      </c>
    </row>
    <row r="23" spans="2:3" ht="18" customHeight="1">
      <c r="B23" s="297" t="s">
        <v>620</v>
      </c>
      <c r="C23" s="289">
        <v>18317</v>
      </c>
    </row>
    <row r="24" spans="2:3" ht="18" customHeight="1">
      <c r="B24" s="297" t="s">
        <v>621</v>
      </c>
      <c r="C24" s="289">
        <v>0</v>
      </c>
    </row>
    <row r="25" spans="2:3" ht="18" customHeight="1">
      <c r="B25" s="297" t="s">
        <v>624</v>
      </c>
      <c r="C25" s="289">
        <f>SUM(C9:C24)</f>
        <v>861885</v>
      </c>
    </row>
    <row r="26" spans="2:3" ht="18" customHeight="1">
      <c r="B26" s="297"/>
      <c r="C26" s="289"/>
    </row>
    <row r="27" spans="2:3" ht="18" customHeight="1">
      <c r="B27" s="297" t="s">
        <v>623</v>
      </c>
      <c r="C27" s="289"/>
    </row>
    <row r="28" spans="2:3" ht="18" customHeight="1">
      <c r="B28" s="297" t="s">
        <v>625</v>
      </c>
      <c r="C28" s="289">
        <v>0</v>
      </c>
    </row>
    <row r="29" spans="2:3" ht="18" customHeight="1">
      <c r="B29" s="297" t="s">
        <v>626</v>
      </c>
      <c r="C29" s="289">
        <v>0</v>
      </c>
    </row>
    <row r="30" spans="2:3" ht="18" customHeight="1">
      <c r="B30" s="297" t="s">
        <v>627</v>
      </c>
      <c r="C30" s="289">
        <v>0</v>
      </c>
    </row>
    <row r="31" spans="2:3" ht="18" customHeight="1">
      <c r="B31" s="297" t="s">
        <v>628</v>
      </c>
      <c r="C31" s="289">
        <v>0</v>
      </c>
    </row>
    <row r="32" spans="2:3" ht="18" customHeight="1">
      <c r="B32" s="297" t="s">
        <v>629</v>
      </c>
      <c r="C32" s="289">
        <v>0</v>
      </c>
    </row>
    <row r="33" spans="2:3" ht="18" customHeight="1">
      <c r="B33" s="297" t="s">
        <v>630</v>
      </c>
      <c r="C33" s="289">
        <v>0</v>
      </c>
    </row>
    <row r="34" spans="2:3" ht="18" customHeight="1">
      <c r="B34" s="297" t="s">
        <v>631</v>
      </c>
      <c r="C34" s="289">
        <f>21028.15+10293</f>
        <v>31321.15</v>
      </c>
    </row>
    <row r="35" spans="2:3" ht="18" customHeight="1">
      <c r="B35" s="297" t="s">
        <v>632</v>
      </c>
      <c r="C35" s="289">
        <v>13170</v>
      </c>
    </row>
    <row r="36" spans="2:3" ht="15" customHeight="1">
      <c r="B36" s="297" t="s">
        <v>633</v>
      </c>
      <c r="C36" s="289">
        <v>0</v>
      </c>
    </row>
    <row r="37" spans="2:3" ht="15" customHeight="1">
      <c r="B37" s="297" t="s">
        <v>634</v>
      </c>
      <c r="C37" s="289">
        <v>0</v>
      </c>
    </row>
    <row r="38" spans="2:3" ht="15" customHeight="1">
      <c r="B38" s="297" t="s">
        <v>635</v>
      </c>
      <c r="C38" s="289">
        <f>SUM(C28:C37)</f>
        <v>44491.15</v>
      </c>
    </row>
    <row r="39" spans="2:3" ht="15" customHeight="1">
      <c r="B39" s="297"/>
      <c r="C39" s="289"/>
    </row>
    <row r="40" spans="2:3" ht="15" customHeight="1">
      <c r="B40" s="297" t="s">
        <v>636</v>
      </c>
      <c r="C40" s="356">
        <f>C25+C38</f>
        <v>906376.15</v>
      </c>
    </row>
  </sheetData>
  <pageMargins left="0.75" right="0.75" top="1" bottom="1" header="0.5" footer="0.5"/>
  <pageSetup scale="77"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G44"/>
  <sheetViews>
    <sheetView showGridLines="0" workbookViewId="0"/>
  </sheetViews>
  <sheetFormatPr defaultColWidth="8.88671875" defaultRowHeight="15" customHeight="1"/>
  <cols>
    <col min="1" max="1" width="3.33203125" style="243" customWidth="1"/>
    <col min="2" max="2" width="40.21875" style="249" customWidth="1"/>
    <col min="3" max="3" width="14.33203125" style="250" customWidth="1"/>
    <col min="4" max="4" width="20.88671875" style="249" customWidth="1"/>
    <col min="5" max="5" width="0.5546875" style="243" customWidth="1"/>
    <col min="6" max="16384" width="8.88671875" style="243"/>
  </cols>
  <sheetData>
    <row r="1" spans="2:7" ht="20.100000000000001" customHeight="1">
      <c r="B1" s="265" t="str">
        <f>EntityName</f>
        <v>Blue Earth, MN</v>
      </c>
      <c r="C1" s="243"/>
      <c r="D1" s="243"/>
    </row>
    <row r="2" spans="2:7" ht="20.100000000000001" customHeight="1">
      <c r="B2" s="266" t="s">
        <v>513</v>
      </c>
      <c r="C2" s="262"/>
      <c r="D2" s="262"/>
      <c r="E2" s="262"/>
      <c r="F2" s="262"/>
      <c r="G2" s="262"/>
    </row>
    <row r="3" spans="2:7" ht="20.100000000000001" customHeight="1">
      <c r="B3" s="267">
        <f>FilingDate</f>
        <v>43100</v>
      </c>
      <c r="C3" s="243"/>
      <c r="D3" s="282"/>
    </row>
    <row r="4" spans="2:7" ht="20.100000000000001" customHeight="1">
      <c r="B4" s="272"/>
      <c r="D4" s="282"/>
    </row>
    <row r="5" spans="2:7" ht="20.100000000000001" customHeight="1">
      <c r="C5" s="355">
        <f>C28</f>
        <v>668924.26000000013</v>
      </c>
      <c r="D5" s="276" t="s">
        <v>529</v>
      </c>
    </row>
    <row r="6" spans="2:7" ht="20.100000000000001" customHeight="1">
      <c r="B6" s="276"/>
      <c r="C6" s="243"/>
      <c r="D6" s="282"/>
    </row>
    <row r="7" spans="2:7" ht="15" customHeight="1">
      <c r="B7" s="283" t="s">
        <v>544</v>
      </c>
      <c r="C7" s="304" t="s">
        <v>7</v>
      </c>
      <c r="D7" s="282"/>
    </row>
    <row r="8" spans="2:7" ht="18" customHeight="1">
      <c r="B8" s="288" t="s">
        <v>622</v>
      </c>
      <c r="C8" s="302"/>
      <c r="D8" s="282"/>
    </row>
    <row r="9" spans="2:7" ht="18" customHeight="1">
      <c r="B9" s="288" t="s">
        <v>637</v>
      </c>
      <c r="C9" s="302">
        <f>28709+126960</f>
        <v>155669</v>
      </c>
      <c r="D9" s="282"/>
    </row>
    <row r="10" spans="2:7" ht="18" customHeight="1">
      <c r="B10" s="288" t="s">
        <v>638</v>
      </c>
      <c r="C10" s="302">
        <f>66741</f>
        <v>66741</v>
      </c>
      <c r="D10" s="348"/>
    </row>
    <row r="11" spans="2:7" ht="18" customHeight="1">
      <c r="B11" s="288" t="s">
        <v>639</v>
      </c>
      <c r="C11" s="302">
        <v>0</v>
      </c>
      <c r="D11" s="282"/>
    </row>
    <row r="12" spans="2:7" ht="18" customHeight="1">
      <c r="B12" s="288" t="s">
        <v>640</v>
      </c>
      <c r="C12" s="302">
        <f>9895</f>
        <v>9895</v>
      </c>
      <c r="D12" s="282"/>
    </row>
    <row r="13" spans="2:7" ht="18" customHeight="1">
      <c r="B13" s="288" t="s">
        <v>641</v>
      </c>
      <c r="C13" s="302">
        <f>500.03+57916</f>
        <v>58416.03</v>
      </c>
      <c r="D13" s="282"/>
    </row>
    <row r="14" spans="2:7" ht="18" customHeight="1">
      <c r="B14" s="288" t="s">
        <v>642</v>
      </c>
      <c r="C14" s="302">
        <v>0</v>
      </c>
      <c r="D14" s="282"/>
    </row>
    <row r="15" spans="2:7" ht="18" customHeight="1">
      <c r="B15" s="288" t="s">
        <v>643</v>
      </c>
      <c r="C15" s="302">
        <f>201837+79831+22950.8</f>
        <v>304618.8</v>
      </c>
      <c r="D15" s="282"/>
    </row>
    <row r="16" spans="2:7" ht="18" customHeight="1">
      <c r="B16" s="288" t="s">
        <v>644</v>
      </c>
      <c r="C16" s="302">
        <v>0</v>
      </c>
      <c r="D16" s="282"/>
    </row>
    <row r="17" spans="2:4" ht="18" customHeight="1">
      <c r="B17" s="288" t="s">
        <v>645</v>
      </c>
      <c r="C17" s="302">
        <v>0</v>
      </c>
      <c r="D17" s="282"/>
    </row>
    <row r="18" spans="2:4" ht="18" customHeight="1">
      <c r="B18" s="288" t="s">
        <v>646</v>
      </c>
      <c r="C18" s="302">
        <v>0</v>
      </c>
      <c r="D18" s="282"/>
    </row>
    <row r="19" spans="2:4" ht="18" customHeight="1">
      <c r="B19" s="288" t="s">
        <v>647</v>
      </c>
      <c r="C19" s="302">
        <v>8726</v>
      </c>
      <c r="D19" s="282"/>
    </row>
    <row r="20" spans="2:4" ht="18" customHeight="1">
      <c r="B20" s="288" t="s">
        <v>648</v>
      </c>
      <c r="C20" s="302">
        <f>1052.5+33116+7886.93</f>
        <v>42055.43</v>
      </c>
      <c r="D20" s="282"/>
    </row>
    <row r="21" spans="2:4" ht="18" customHeight="1">
      <c r="B21" s="288" t="s">
        <v>649</v>
      </c>
      <c r="C21" s="302">
        <v>0</v>
      </c>
      <c r="D21" s="282"/>
    </row>
    <row r="22" spans="2:4" ht="18" customHeight="1">
      <c r="B22" s="288" t="s">
        <v>624</v>
      </c>
      <c r="C22" s="302">
        <f>SUM(C9:C21)</f>
        <v>646121.26000000013</v>
      </c>
      <c r="D22" s="282"/>
    </row>
    <row r="23" spans="2:4" ht="18" customHeight="1">
      <c r="B23" s="288"/>
      <c r="C23" s="302"/>
      <c r="D23" s="282"/>
    </row>
    <row r="24" spans="2:4" ht="18" customHeight="1">
      <c r="B24" s="288" t="s">
        <v>623</v>
      </c>
      <c r="C24" s="302"/>
      <c r="D24" s="282"/>
    </row>
    <row r="25" spans="2:4" ht="18" customHeight="1">
      <c r="B25" s="288" t="s">
        <v>650</v>
      </c>
      <c r="C25" s="302">
        <v>22803</v>
      </c>
      <c r="D25" s="282"/>
    </row>
    <row r="26" spans="2:4" ht="18" customHeight="1">
      <c r="B26" s="288" t="s">
        <v>635</v>
      </c>
      <c r="C26" s="302">
        <f>SUM(C25)</f>
        <v>22803</v>
      </c>
      <c r="D26" s="282"/>
    </row>
    <row r="27" spans="2:4" ht="18" customHeight="1">
      <c r="B27" s="288"/>
      <c r="C27" s="302"/>
      <c r="D27" s="282"/>
    </row>
    <row r="28" spans="2:4" ht="18" customHeight="1">
      <c r="B28" s="288" t="s">
        <v>651</v>
      </c>
      <c r="C28" s="302">
        <f>C22+C26</f>
        <v>668924.26000000013</v>
      </c>
      <c r="D28" s="282"/>
    </row>
    <row r="29" spans="2:4" ht="18" customHeight="1">
      <c r="B29" s="330"/>
      <c r="C29" s="331"/>
      <c r="D29" s="282"/>
    </row>
    <row r="30" spans="2:4" ht="18" customHeight="1">
      <c r="B30" s="330"/>
      <c r="C30" s="331"/>
      <c r="D30" s="282"/>
    </row>
    <row r="31" spans="2:4" ht="18" customHeight="1">
      <c r="B31" s="243"/>
      <c r="C31" s="305"/>
      <c r="D31" s="282"/>
    </row>
    <row r="32" spans="2:4" ht="18" customHeight="1">
      <c r="B32" s="283" t="s">
        <v>652</v>
      </c>
      <c r="C32" s="304" t="s">
        <v>7</v>
      </c>
      <c r="D32" s="273"/>
    </row>
    <row r="33" spans="2:4" ht="18" customHeight="1">
      <c r="B33" s="288" t="s">
        <v>654</v>
      </c>
      <c r="C33" s="302">
        <v>91708</v>
      </c>
      <c r="D33" s="275"/>
    </row>
    <row r="34" spans="2:4" ht="18" customHeight="1">
      <c r="B34" s="288" t="s">
        <v>661</v>
      </c>
      <c r="C34" s="302">
        <v>5324</v>
      </c>
      <c r="D34" s="275"/>
    </row>
    <row r="35" spans="2:4" ht="18" customHeight="1">
      <c r="B35" s="288" t="s">
        <v>658</v>
      </c>
      <c r="C35" s="302">
        <v>28709</v>
      </c>
      <c r="D35" s="275"/>
    </row>
    <row r="36" spans="2:4" ht="18" customHeight="1">
      <c r="B36" s="288" t="s">
        <v>655</v>
      </c>
      <c r="C36" s="302">
        <f>+C10-1373</f>
        <v>65368</v>
      </c>
      <c r="D36" s="274"/>
    </row>
    <row r="37" spans="2:4" ht="18" customHeight="1">
      <c r="B37" s="288" t="s">
        <v>659</v>
      </c>
      <c r="C37" s="302">
        <f>+C12</f>
        <v>9895</v>
      </c>
      <c r="D37" s="274"/>
    </row>
    <row r="38" spans="2:4" ht="18" customHeight="1">
      <c r="B38" s="288" t="s">
        <v>656</v>
      </c>
      <c r="C38" s="302">
        <f>+C15</f>
        <v>304618.8</v>
      </c>
      <c r="D38" s="274"/>
    </row>
    <row r="39" spans="2:4" ht="18" customHeight="1">
      <c r="B39" s="288" t="s">
        <v>657</v>
      </c>
      <c r="C39" s="302">
        <v>57916</v>
      </c>
      <c r="D39" s="274"/>
    </row>
    <row r="40" spans="2:4" ht="18" customHeight="1">
      <c r="B40" s="288" t="s">
        <v>660</v>
      </c>
      <c r="C40" s="302">
        <v>22803</v>
      </c>
      <c r="D40" s="274"/>
    </row>
    <row r="41" spans="2:4" ht="18" customHeight="1">
      <c r="B41" s="288" t="s">
        <v>662</v>
      </c>
      <c r="C41" s="302">
        <f>+C20</f>
        <v>42055.43</v>
      </c>
      <c r="D41" s="274"/>
    </row>
    <row r="42" spans="2:4" ht="18" customHeight="1">
      <c r="B42" s="307"/>
      <c r="C42" s="309">
        <f>C28+C33+C34-SUM(C35:C41)</f>
        <v>234591.03000000014</v>
      </c>
      <c r="D42" s="282" t="s">
        <v>663</v>
      </c>
    </row>
    <row r="43" spans="2:4" ht="18" customHeight="1">
      <c r="B43" s="258"/>
      <c r="C43" s="259"/>
      <c r="D43" s="258"/>
    </row>
    <row r="44" spans="2:4" ht="18" customHeight="1"/>
  </sheetData>
  <pageMargins left="0.75" right="0.75" top="1" bottom="1" header="0.5" footer="0.5"/>
  <pageSetup scale="81"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J31"/>
  <sheetViews>
    <sheetView showGridLines="0" workbookViewId="0"/>
  </sheetViews>
  <sheetFormatPr defaultColWidth="8.88671875" defaultRowHeight="12.75"/>
  <cols>
    <col min="1" max="1" width="3.33203125" style="243" customWidth="1"/>
    <col min="2" max="2" width="13.88671875" style="243" customWidth="1"/>
    <col min="3" max="3" width="17.109375" style="243" customWidth="1"/>
    <col min="4" max="4" width="11.21875" style="243" customWidth="1"/>
    <col min="5" max="16384" width="8.88671875" style="243"/>
  </cols>
  <sheetData>
    <row r="1" spans="2:10" ht="20.100000000000001" customHeight="1">
      <c r="B1" s="265" t="str">
        <f>EntityName</f>
        <v>Blue Earth, MN</v>
      </c>
      <c r="C1" s="269"/>
    </row>
    <row r="2" spans="2:10" ht="20.100000000000001" customHeight="1">
      <c r="B2" s="266" t="s">
        <v>576</v>
      </c>
      <c r="C2" s="271"/>
      <c r="D2" s="262"/>
      <c r="E2" s="262"/>
      <c r="F2" s="262"/>
      <c r="G2" s="262"/>
      <c r="H2" s="262"/>
    </row>
    <row r="3" spans="2:10" ht="20.100000000000001" customHeight="1">
      <c r="B3" s="267">
        <f>FilingDate</f>
        <v>43100</v>
      </c>
      <c r="C3" s="269"/>
    </row>
    <row r="4" spans="2:10" ht="20.100000000000001" customHeight="1"/>
    <row r="5" spans="2:10" s="285" customFormat="1" ht="18" customHeight="1">
      <c r="B5" s="355">
        <v>195185</v>
      </c>
      <c r="C5" s="276" t="s">
        <v>530</v>
      </c>
      <c r="D5" s="282"/>
      <c r="E5" s="282"/>
      <c r="F5" s="282"/>
      <c r="G5" s="282"/>
    </row>
    <row r="6" spans="2:10" s="285" customFormat="1" ht="18" customHeight="1">
      <c r="B6" s="300"/>
      <c r="C6" s="282" t="s">
        <v>532</v>
      </c>
      <c r="D6" s="282"/>
      <c r="E6" s="282"/>
      <c r="F6" s="282"/>
      <c r="G6" s="282"/>
    </row>
    <row r="7" spans="2:10" s="285" customFormat="1" ht="18" customHeight="1">
      <c r="B7" s="300"/>
      <c r="C7" s="282" t="s">
        <v>531</v>
      </c>
      <c r="D7" s="282"/>
      <c r="E7" s="282"/>
      <c r="F7" s="282"/>
      <c r="G7" s="282"/>
    </row>
    <row r="8" spans="2:10" s="285" customFormat="1" ht="18" customHeight="1">
      <c r="B8" s="300"/>
      <c r="C8" s="282" t="s">
        <v>653</v>
      </c>
      <c r="D8" s="282"/>
      <c r="E8" s="282"/>
      <c r="F8" s="282"/>
      <c r="G8" s="282"/>
    </row>
    <row r="9" spans="2:10" s="285" customFormat="1" ht="18" customHeight="1">
      <c r="B9" s="300"/>
      <c r="C9" s="282"/>
      <c r="D9" s="282"/>
      <c r="E9" s="282"/>
      <c r="F9" s="282"/>
      <c r="G9" s="282"/>
    </row>
    <row r="10" spans="2:10" s="285" customFormat="1" ht="18" customHeight="1">
      <c r="B10" s="355">
        <v>47168</v>
      </c>
      <c r="C10" s="276" t="s">
        <v>533</v>
      </c>
      <c r="D10" s="282"/>
      <c r="E10" s="282"/>
      <c r="F10" s="282"/>
      <c r="G10" s="282"/>
    </row>
    <row r="11" spans="2:10" s="285" customFormat="1" ht="18" customHeight="1">
      <c r="B11" s="300"/>
      <c r="C11" s="282" t="s">
        <v>669</v>
      </c>
      <c r="D11" s="282"/>
      <c r="E11" s="282"/>
      <c r="F11" s="282"/>
      <c r="G11" s="282"/>
    </row>
    <row r="12" spans="2:10" s="285" customFormat="1" ht="18" customHeight="1">
      <c r="B12" s="300"/>
      <c r="C12" s="282"/>
      <c r="D12" s="282"/>
      <c r="E12" s="282"/>
      <c r="F12" s="282"/>
      <c r="G12" s="282"/>
    </row>
    <row r="13" spans="2:10" s="285" customFormat="1" ht="18" customHeight="1">
      <c r="B13" s="355">
        <v>0</v>
      </c>
      <c r="C13" s="276" t="s">
        <v>575</v>
      </c>
      <c r="E13" s="282"/>
      <c r="F13" s="282"/>
      <c r="G13" s="282"/>
    </row>
    <row r="14" spans="2:10" s="285" customFormat="1" ht="18" customHeight="1">
      <c r="B14" s="357"/>
      <c r="C14" s="276"/>
      <c r="E14" s="282"/>
      <c r="F14" s="282"/>
      <c r="G14" s="282"/>
    </row>
    <row r="15" spans="2:10" s="285" customFormat="1" ht="18" customHeight="1">
      <c r="B15" s="358"/>
    </row>
    <row r="16" spans="2:10" s="285" customFormat="1" ht="18" customHeight="1">
      <c r="B16" s="355">
        <v>6030.09</v>
      </c>
      <c r="C16" s="276" t="s">
        <v>543</v>
      </c>
      <c r="D16" s="282"/>
      <c r="E16" s="277"/>
      <c r="F16" s="277"/>
      <c r="G16" s="277"/>
      <c r="H16" s="277"/>
      <c r="I16" s="303"/>
      <c r="J16" s="303"/>
    </row>
    <row r="17" spans="2:10" s="285" customFormat="1" ht="18" customHeight="1">
      <c r="B17" s="276"/>
      <c r="C17" s="276"/>
      <c r="D17" s="282"/>
      <c r="E17" s="277"/>
      <c r="F17" s="277"/>
      <c r="G17" s="277"/>
      <c r="H17" s="277"/>
      <c r="I17" s="303"/>
      <c r="J17" s="303"/>
    </row>
    <row r="18" spans="2:10" ht="18" customHeight="1"/>
    <row r="19" spans="2:10" ht="18" customHeight="1">
      <c r="B19" s="287" t="s">
        <v>535</v>
      </c>
      <c r="C19" s="287" t="s">
        <v>536</v>
      </c>
      <c r="D19" s="283" t="s">
        <v>558</v>
      </c>
      <c r="E19" s="284" t="s">
        <v>7</v>
      </c>
    </row>
    <row r="20" spans="2:10" ht="15">
      <c r="B20" s="288" t="s">
        <v>593</v>
      </c>
      <c r="C20" s="288" t="s">
        <v>666</v>
      </c>
      <c r="D20" s="314"/>
      <c r="E20" s="315">
        <v>526.79</v>
      </c>
      <c r="F20" s="359"/>
    </row>
    <row r="21" spans="2:10" ht="15">
      <c r="B21" s="288" t="s">
        <v>594</v>
      </c>
      <c r="C21" s="288" t="s">
        <v>666</v>
      </c>
      <c r="D21" s="314"/>
      <c r="E21" s="315">
        <v>468.03</v>
      </c>
      <c r="F21" s="359"/>
    </row>
    <row r="22" spans="2:10" ht="15">
      <c r="B22" s="288" t="s">
        <v>595</v>
      </c>
      <c r="C22" s="288" t="s">
        <v>666</v>
      </c>
      <c r="D22" s="314"/>
      <c r="E22" s="315">
        <v>486.79</v>
      </c>
      <c r="F22" s="359"/>
    </row>
    <row r="23" spans="2:10" ht="15">
      <c r="B23" s="288" t="s">
        <v>596</v>
      </c>
      <c r="C23" s="288" t="s">
        <v>666</v>
      </c>
      <c r="D23" s="314"/>
      <c r="E23" s="315">
        <v>430.34</v>
      </c>
      <c r="F23" s="359"/>
    </row>
    <row r="24" spans="2:10" ht="15">
      <c r="B24" s="288" t="s">
        <v>597</v>
      </c>
      <c r="C24" s="288" t="s">
        <v>666</v>
      </c>
      <c r="D24" s="314"/>
      <c r="E24" s="315">
        <v>517.76</v>
      </c>
      <c r="F24" s="359"/>
    </row>
    <row r="25" spans="2:10" ht="15">
      <c r="B25" s="288" t="s">
        <v>598</v>
      </c>
      <c r="C25" s="288" t="s">
        <v>666</v>
      </c>
      <c r="D25" s="314"/>
      <c r="E25" s="315">
        <v>554.16999999999996</v>
      </c>
      <c r="F25" s="359"/>
    </row>
    <row r="26" spans="2:10" ht="15">
      <c r="B26" s="288" t="s">
        <v>599</v>
      </c>
      <c r="C26" s="288" t="s">
        <v>666</v>
      </c>
      <c r="D26" s="314"/>
      <c r="E26" s="315">
        <v>616.02</v>
      </c>
      <c r="F26" s="359"/>
    </row>
    <row r="27" spans="2:10" ht="15">
      <c r="B27" s="288" t="s">
        <v>600</v>
      </c>
      <c r="C27" s="288" t="s">
        <v>666</v>
      </c>
      <c r="D27" s="314"/>
      <c r="E27" s="315">
        <v>550.65</v>
      </c>
      <c r="F27" s="359"/>
    </row>
    <row r="28" spans="2:10" ht="15">
      <c r="B28" s="288" t="s">
        <v>601</v>
      </c>
      <c r="C28" s="288" t="s">
        <v>666</v>
      </c>
      <c r="D28" s="314"/>
      <c r="E28" s="315">
        <v>576.27</v>
      </c>
      <c r="F28" s="359"/>
    </row>
    <row r="29" spans="2:10" ht="15">
      <c r="B29" s="288" t="s">
        <v>602</v>
      </c>
      <c r="C29" s="288" t="s">
        <v>666</v>
      </c>
      <c r="D29" s="314"/>
      <c r="E29" s="315">
        <v>415.35</v>
      </c>
      <c r="F29" s="359"/>
    </row>
    <row r="30" spans="2:10" ht="15">
      <c r="B30" s="288" t="s">
        <v>603</v>
      </c>
      <c r="C30" s="288" t="s">
        <v>666</v>
      </c>
      <c r="D30" s="314"/>
      <c r="E30" s="315">
        <v>419.99</v>
      </c>
      <c r="F30" s="359"/>
    </row>
    <row r="31" spans="2:10" ht="15">
      <c r="B31" s="288" t="s">
        <v>604</v>
      </c>
      <c r="C31" s="288" t="s">
        <v>666</v>
      </c>
      <c r="D31" s="314"/>
      <c r="E31" s="315">
        <v>467.93</v>
      </c>
      <c r="F31" s="359"/>
    </row>
  </sheetData>
  <pageMargins left="0.75" right="0.75" top="1" bottom="1" header="0.5" footer="0.5"/>
  <pageSetup scale="81"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pageSetUpPr fitToPage="1"/>
  </sheetPr>
  <dimension ref="B1:H36"/>
  <sheetViews>
    <sheetView showGridLines="0" topLeftCell="A4" workbookViewId="0"/>
  </sheetViews>
  <sheetFormatPr defaultColWidth="8.88671875" defaultRowHeight="15" customHeight="1"/>
  <cols>
    <col min="1" max="1" width="3.33203125" style="251" customWidth="1"/>
    <col min="2" max="2" width="13.33203125" style="251" customWidth="1"/>
    <col min="3" max="3" width="13.5546875" style="251" bestFit="1" customWidth="1"/>
    <col min="4" max="4" width="8.88671875" style="251" customWidth="1"/>
    <col min="5" max="5" width="11.88671875" style="251" customWidth="1"/>
    <col min="6" max="6" width="14.109375" style="251" customWidth="1"/>
    <col min="7" max="16384" width="8.88671875" style="251"/>
  </cols>
  <sheetData>
    <row r="1" spans="2:8" s="253" customFormat="1" ht="20.100000000000001" customHeight="1">
      <c r="B1" s="265" t="str">
        <f>EntityName</f>
        <v>Blue Earth, MN</v>
      </c>
      <c r="C1" s="269"/>
      <c r="D1" s="269"/>
      <c r="E1" s="269"/>
      <c r="F1" s="269"/>
      <c r="G1" s="269"/>
    </row>
    <row r="2" spans="2:8" ht="20.100000000000001" customHeight="1">
      <c r="B2" s="428" t="s">
        <v>568</v>
      </c>
      <c r="C2" s="428"/>
      <c r="D2" s="428"/>
      <c r="E2" s="428"/>
      <c r="F2" s="428"/>
      <c r="G2" s="428"/>
    </row>
    <row r="3" spans="2:8" ht="20.100000000000001" customHeight="1">
      <c r="B3" s="267">
        <f>FilingDate</f>
        <v>43100</v>
      </c>
      <c r="C3" s="269"/>
      <c r="D3" s="269"/>
      <c r="E3" s="269"/>
      <c r="F3" s="269"/>
      <c r="G3" s="269"/>
    </row>
    <row r="4" spans="2:8" ht="16.5" customHeight="1">
      <c r="B4" s="267"/>
      <c r="C4" s="269"/>
      <c r="D4" s="269"/>
      <c r="E4" s="269"/>
      <c r="F4" s="269"/>
      <c r="G4" s="269"/>
    </row>
    <row r="5" spans="2:8" ht="20.100000000000001" customHeight="1">
      <c r="B5" s="322">
        <f>ROUND(E32,0)</f>
        <v>21943</v>
      </c>
      <c r="C5" s="276" t="s">
        <v>574</v>
      </c>
      <c r="D5" s="269"/>
      <c r="E5" s="269"/>
      <c r="F5" s="269"/>
      <c r="G5" s="269"/>
    </row>
    <row r="7" spans="2:8" ht="18" customHeight="1">
      <c r="B7" s="287" t="s">
        <v>535</v>
      </c>
      <c r="C7" s="287" t="s">
        <v>536</v>
      </c>
      <c r="D7" s="283" t="s">
        <v>558</v>
      </c>
      <c r="E7" s="284" t="s">
        <v>7</v>
      </c>
      <c r="F7" s="284" t="s">
        <v>537</v>
      </c>
    </row>
    <row r="8" spans="2:8" ht="18" customHeight="1">
      <c r="B8" s="288" t="s">
        <v>593</v>
      </c>
      <c r="C8" s="288" t="s">
        <v>555</v>
      </c>
      <c r="D8" s="314">
        <v>7</v>
      </c>
      <c r="E8" s="315">
        <f>-18.31-52.47</f>
        <v>-70.78</v>
      </c>
      <c r="F8" s="315"/>
      <c r="H8" s="324"/>
    </row>
    <row r="9" spans="2:8" ht="18" customHeight="1">
      <c r="B9" s="288" t="s">
        <v>594</v>
      </c>
      <c r="C9" s="288" t="s">
        <v>555</v>
      </c>
      <c r="D9" s="314">
        <v>7</v>
      </c>
      <c r="E9" s="315">
        <f>-8.05+586.79</f>
        <v>578.74</v>
      </c>
      <c r="F9" s="315"/>
      <c r="H9" s="324"/>
    </row>
    <row r="10" spans="2:8" ht="18" customHeight="1">
      <c r="B10" s="288" t="s">
        <v>595</v>
      </c>
      <c r="C10" s="288" t="s">
        <v>555</v>
      </c>
      <c r="D10" s="314">
        <v>7</v>
      </c>
      <c r="E10" s="315">
        <v>648.72</v>
      </c>
      <c r="F10" s="315"/>
      <c r="H10" s="324"/>
    </row>
    <row r="11" spans="2:8" ht="18" customHeight="1">
      <c r="B11" s="288" t="s">
        <v>596</v>
      </c>
      <c r="C11" s="288" t="s">
        <v>555</v>
      </c>
      <c r="D11" s="314">
        <v>7</v>
      </c>
      <c r="E11" s="315">
        <f>635.13+-15.65-3.84-3.46-3.64</f>
        <v>608.54</v>
      </c>
      <c r="F11" s="315"/>
      <c r="H11" s="324"/>
    </row>
    <row r="12" spans="2:8" ht="18" customHeight="1">
      <c r="B12" s="288" t="s">
        <v>597</v>
      </c>
      <c r="C12" s="288" t="s">
        <v>555</v>
      </c>
      <c r="D12" s="314">
        <v>7</v>
      </c>
      <c r="E12" s="315">
        <v>747.95</v>
      </c>
      <c r="F12" s="315"/>
      <c r="H12" s="324"/>
    </row>
    <row r="13" spans="2:8" ht="18" customHeight="1">
      <c r="B13" s="288" t="s">
        <v>598</v>
      </c>
      <c r="C13" s="288" t="s">
        <v>555</v>
      </c>
      <c r="D13" s="314">
        <v>7</v>
      </c>
      <c r="E13" s="315">
        <f>554.26+18.03-2.29</f>
        <v>570</v>
      </c>
      <c r="F13" s="315"/>
      <c r="H13" s="324"/>
    </row>
    <row r="14" spans="2:8" ht="18" customHeight="1">
      <c r="B14" s="288" t="s">
        <v>599</v>
      </c>
      <c r="C14" s="288" t="s">
        <v>555</v>
      </c>
      <c r="D14" s="314">
        <v>7</v>
      </c>
      <c r="E14" s="315">
        <v>578.16999999999996</v>
      </c>
      <c r="F14" s="315"/>
      <c r="H14" s="324"/>
    </row>
    <row r="15" spans="2:8" ht="18" customHeight="1">
      <c r="B15" s="288" t="s">
        <v>600</v>
      </c>
      <c r="C15" s="288" t="s">
        <v>555</v>
      </c>
      <c r="D15" s="314">
        <v>7</v>
      </c>
      <c r="E15" s="315">
        <v>556.23</v>
      </c>
      <c r="F15" s="315"/>
      <c r="H15" s="324"/>
    </row>
    <row r="16" spans="2:8" ht="18" customHeight="1">
      <c r="B16" s="288" t="s">
        <v>601</v>
      </c>
      <c r="C16" s="288" t="s">
        <v>555</v>
      </c>
      <c r="D16" s="314">
        <v>7</v>
      </c>
      <c r="E16" s="315">
        <v>545.54</v>
      </c>
      <c r="F16" s="315"/>
      <c r="H16" s="324"/>
    </row>
    <row r="17" spans="2:8" ht="18" customHeight="1">
      <c r="B17" s="288" t="s">
        <v>602</v>
      </c>
      <c r="C17" s="288" t="s">
        <v>555</v>
      </c>
      <c r="D17" s="314">
        <v>7</v>
      </c>
      <c r="E17" s="315">
        <v>563.77</v>
      </c>
      <c r="F17" s="315"/>
      <c r="H17" s="324"/>
    </row>
    <row r="18" spans="2:8" ht="18" customHeight="1">
      <c r="B18" s="288" t="s">
        <v>603</v>
      </c>
      <c r="C18" s="288" t="s">
        <v>555</v>
      </c>
      <c r="D18" s="314">
        <v>7</v>
      </c>
      <c r="E18" s="315">
        <v>447.7</v>
      </c>
      <c r="F18" s="315"/>
      <c r="H18" s="324"/>
    </row>
    <row r="19" spans="2:8" ht="18" customHeight="1">
      <c r="B19" s="288" t="s">
        <v>604</v>
      </c>
      <c r="C19" s="288" t="s">
        <v>555</v>
      </c>
      <c r="D19" s="314">
        <v>7</v>
      </c>
      <c r="E19" s="315">
        <v>467.15</v>
      </c>
      <c r="F19" s="315">
        <f>SUM(E8:E19)</f>
        <v>6241.7299999999987</v>
      </c>
      <c r="H19" s="324"/>
    </row>
    <row r="20" spans="2:8" ht="18" customHeight="1">
      <c r="B20" s="288" t="s">
        <v>593</v>
      </c>
      <c r="C20" s="288" t="s">
        <v>556</v>
      </c>
      <c r="D20" s="314">
        <v>8</v>
      </c>
      <c r="E20" s="315">
        <v>1474.26</v>
      </c>
      <c r="F20" s="315"/>
    </row>
    <row r="21" spans="2:8" ht="18" customHeight="1">
      <c r="B21" s="288" t="s">
        <v>594</v>
      </c>
      <c r="C21" s="288" t="s">
        <v>556</v>
      </c>
      <c r="D21" s="314">
        <v>8</v>
      </c>
      <c r="E21" s="315">
        <v>1227.1199999999999</v>
      </c>
      <c r="F21" s="315"/>
    </row>
    <row r="22" spans="2:8" ht="18" customHeight="1">
      <c r="B22" s="288" t="s">
        <v>595</v>
      </c>
      <c r="C22" s="288" t="s">
        <v>556</v>
      </c>
      <c r="D22" s="314">
        <v>8</v>
      </c>
      <c r="E22" s="315">
        <v>1383.03</v>
      </c>
      <c r="F22" s="315"/>
    </row>
    <row r="23" spans="2:8" ht="18" customHeight="1">
      <c r="B23" s="288" t="s">
        <v>596</v>
      </c>
      <c r="C23" s="288" t="s">
        <v>556</v>
      </c>
      <c r="D23" s="314">
        <v>8</v>
      </c>
      <c r="E23" s="315">
        <f>1186.82+-32.59+-9.78</f>
        <v>1144.45</v>
      </c>
      <c r="F23" s="315"/>
    </row>
    <row r="24" spans="2:8" ht="18" customHeight="1">
      <c r="B24" s="288" t="s">
        <v>597</v>
      </c>
      <c r="C24" s="288" t="s">
        <v>556</v>
      </c>
      <c r="D24" s="314">
        <v>8</v>
      </c>
      <c r="E24" s="315">
        <v>1305.01</v>
      </c>
      <c r="F24" s="315"/>
    </row>
    <row r="25" spans="2:8" ht="18" customHeight="1">
      <c r="B25" s="288" t="s">
        <v>598</v>
      </c>
      <c r="C25" s="288" t="s">
        <v>556</v>
      </c>
      <c r="D25" s="314">
        <v>8</v>
      </c>
      <c r="E25" s="315">
        <v>1323.36</v>
      </c>
      <c r="F25" s="315"/>
    </row>
    <row r="26" spans="2:8" ht="18" customHeight="1">
      <c r="B26" s="288" t="s">
        <v>599</v>
      </c>
      <c r="C26" s="288" t="s">
        <v>556</v>
      </c>
      <c r="D26" s="314">
        <v>8</v>
      </c>
      <c r="E26" s="315">
        <v>1422.73</v>
      </c>
      <c r="F26" s="315"/>
    </row>
    <row r="27" spans="2:8" ht="18" customHeight="1">
      <c r="B27" s="288" t="s">
        <v>600</v>
      </c>
      <c r="C27" s="288" t="s">
        <v>556</v>
      </c>
      <c r="D27" s="314">
        <v>8</v>
      </c>
      <c r="E27" s="315">
        <v>1470.69</v>
      </c>
      <c r="F27" s="315"/>
    </row>
    <row r="28" spans="2:8" ht="18" customHeight="1">
      <c r="B28" s="288" t="s">
        <v>601</v>
      </c>
      <c r="C28" s="288" t="s">
        <v>556</v>
      </c>
      <c r="D28" s="314">
        <v>8</v>
      </c>
      <c r="E28" s="315">
        <v>1397.36</v>
      </c>
      <c r="F28" s="315"/>
    </row>
    <row r="29" spans="2:8" ht="18" customHeight="1">
      <c r="B29" s="288" t="s">
        <v>602</v>
      </c>
      <c r="C29" s="288" t="s">
        <v>556</v>
      </c>
      <c r="D29" s="314">
        <v>8</v>
      </c>
      <c r="E29" s="315">
        <v>1044.8399999999999</v>
      </c>
      <c r="F29" s="315"/>
    </row>
    <row r="30" spans="2:8" ht="18" customHeight="1">
      <c r="B30" s="288" t="s">
        <v>603</v>
      </c>
      <c r="C30" s="288" t="s">
        <v>556</v>
      </c>
      <c r="D30" s="314">
        <v>8</v>
      </c>
      <c r="E30" s="315">
        <v>1134.02</v>
      </c>
      <c r="F30" s="315"/>
    </row>
    <row r="31" spans="2:8" ht="18" customHeight="1">
      <c r="B31" s="288" t="s">
        <v>604</v>
      </c>
      <c r="C31" s="288" t="s">
        <v>556</v>
      </c>
      <c r="D31" s="314">
        <v>8</v>
      </c>
      <c r="E31" s="315">
        <v>1374.18</v>
      </c>
      <c r="F31" s="315">
        <f>SUM(E20:E31)</f>
        <v>15701.050000000001</v>
      </c>
    </row>
    <row r="32" spans="2:8" ht="18" customHeight="1">
      <c r="B32" s="307"/>
      <c r="C32" s="307"/>
      <c r="D32" s="307"/>
      <c r="E32" s="317">
        <f>SUM(E8:E31)</f>
        <v>21942.780000000002</v>
      </c>
      <c r="F32" s="317">
        <f>SUM(F8:F31)</f>
        <v>21942.78</v>
      </c>
    </row>
    <row r="36" s="252" customFormat="1" ht="15" customHeight="1"/>
  </sheetData>
  <mergeCells count="1">
    <mergeCell ref="B2:G2"/>
  </mergeCells>
  <pageMargins left="0.7" right="0.7" top="0.75" bottom="0.75" header="0.1" footer="0.3"/>
  <pageSetup scale="83" orientation="landscape" r:id="rId1"/>
  <headerFooter>
    <oddHeader>&amp;L&amp;"Arial,Bold"&amp;8 9:10 AM
&amp;"Arial,Bold"&amp;8 03/11/16
&amp;"Arial,Bold"&amp;8 Accrual Basis&amp;C&amp;"Arial,Bold"&amp;12 CENTRAL MUNICIPAL POWER AGENCY AND SERVICES
&amp;"Arial,Bold"&amp;14 Sales by Item Detail
&amp;"Arial,Bold"&amp;10 January through December 2014</oddHeader>
    <oddFooter>&amp;R&amp;"Arial,Bold"&amp;8 Page &amp;P of &amp;N</oddFooter>
  </headerFooter>
  <drawing r:id="rId2"/>
  <legacyDrawing r:id="rId3"/>
  <controls>
    <mc:AlternateContent xmlns:mc="http://schemas.openxmlformats.org/markup-compatibility/2006">
      <mc:Choice Requires="x14">
        <control shapeId="11266" r:id="rId4" name="HEADER">
          <controlPr defaultSize="0" autoLine="0" r:id="rId5">
            <anchor moveWithCells="1">
              <from>
                <xdr:col>0</xdr:col>
                <xdr:colOff>0</xdr:colOff>
                <xdr:row>0</xdr:row>
                <xdr:rowOff>0</xdr:rowOff>
              </from>
              <to>
                <xdr:col>1</xdr:col>
                <xdr:colOff>628650</xdr:colOff>
                <xdr:row>0</xdr:row>
                <xdr:rowOff>228600</xdr:rowOff>
              </to>
            </anchor>
          </controlPr>
        </control>
      </mc:Choice>
      <mc:Fallback>
        <control shapeId="11266" r:id="rId4" name="HEADER"/>
      </mc:Fallback>
    </mc:AlternateContent>
    <mc:AlternateContent xmlns:mc="http://schemas.openxmlformats.org/markup-compatibility/2006">
      <mc:Choice Requires="x14">
        <control shapeId="11265" r:id="rId6" name="FILTER">
          <controlPr defaultSize="0" autoLine="0" r:id="rId7">
            <anchor moveWithCells="1">
              <from>
                <xdr:col>0</xdr:col>
                <xdr:colOff>0</xdr:colOff>
                <xdr:row>0</xdr:row>
                <xdr:rowOff>0</xdr:rowOff>
              </from>
              <to>
                <xdr:col>1</xdr:col>
                <xdr:colOff>628650</xdr:colOff>
                <xdr:row>0</xdr:row>
                <xdr:rowOff>228600</xdr:rowOff>
              </to>
            </anchor>
          </controlPr>
        </control>
      </mc:Choice>
      <mc:Fallback>
        <control shapeId="11265" r:id="rId6" name="FILTER"/>
      </mc:Fallback>
    </mc:AlternateContent>
  </control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F27"/>
  <sheetViews>
    <sheetView showGridLines="0" workbookViewId="0"/>
  </sheetViews>
  <sheetFormatPr defaultRowHeight="15"/>
  <cols>
    <col min="1" max="1" width="3.33203125" customWidth="1"/>
    <col min="2" max="2" width="14.6640625" bestFit="1" customWidth="1"/>
    <col min="3" max="3" width="14" customWidth="1"/>
    <col min="4" max="4" width="9" bestFit="1" customWidth="1"/>
    <col min="5" max="5" width="13.21875" customWidth="1"/>
  </cols>
  <sheetData>
    <row r="1" spans="2:6" s="253" customFormat="1" ht="19.5" customHeight="1">
      <c r="B1" s="268" t="str">
        <f>EntityName</f>
        <v>Blue Earth, MN</v>
      </c>
      <c r="C1" s="269"/>
      <c r="D1" s="269"/>
      <c r="E1" s="269"/>
      <c r="F1" s="269"/>
    </row>
    <row r="2" spans="2:6" s="251" customFormat="1" ht="19.5" customHeight="1">
      <c r="B2" s="271" t="s">
        <v>567</v>
      </c>
      <c r="C2" s="271"/>
      <c r="D2" s="271"/>
      <c r="E2" s="271"/>
      <c r="F2" s="271"/>
    </row>
    <row r="3" spans="2:6" s="251" customFormat="1" ht="19.5" customHeight="1">
      <c r="B3" s="270">
        <f>FilingDate</f>
        <v>43100</v>
      </c>
      <c r="C3" s="269"/>
      <c r="D3" s="269"/>
      <c r="E3" s="269"/>
      <c r="F3" s="269"/>
    </row>
    <row r="4" spans="2:6" s="251" customFormat="1" ht="19.5" customHeight="1"/>
    <row r="5" spans="2:6" s="251" customFormat="1" ht="19.5" customHeight="1">
      <c r="B5" s="327">
        <f>E27</f>
        <v>194211.72000000003</v>
      </c>
      <c r="C5" s="276" t="s">
        <v>566</v>
      </c>
      <c r="D5"/>
    </row>
    <row r="6" spans="2:6" s="251" customFormat="1" ht="19.5" customHeight="1"/>
    <row r="7" spans="2:6" s="251" customFormat="1" ht="18" customHeight="1">
      <c r="B7" s="287" t="s">
        <v>605</v>
      </c>
      <c r="C7" s="287" t="s">
        <v>536</v>
      </c>
      <c r="D7" s="287" t="s">
        <v>558</v>
      </c>
      <c r="E7" s="284" t="s">
        <v>7</v>
      </c>
      <c r="F7" s="313"/>
    </row>
    <row r="8" spans="2:6" s="251" customFormat="1" ht="18" customHeight="1">
      <c r="B8" s="288" t="s">
        <v>593</v>
      </c>
      <c r="C8" s="288" t="s">
        <v>557</v>
      </c>
      <c r="D8" s="314">
        <v>9</v>
      </c>
      <c r="E8" s="315">
        <v>16103.61</v>
      </c>
      <c r="F8" s="313"/>
    </row>
    <row r="9" spans="2:6" s="251" customFormat="1" ht="18" customHeight="1">
      <c r="B9" s="288" t="s">
        <v>594</v>
      </c>
      <c r="C9" s="288" t="s">
        <v>557</v>
      </c>
      <c r="D9" s="314">
        <v>9</v>
      </c>
      <c r="E9" s="315">
        <f>44.12+13743.01</f>
        <v>13787.130000000001</v>
      </c>
      <c r="F9" s="313"/>
    </row>
    <row r="10" spans="2:6" s="251" customFormat="1" ht="18" customHeight="1">
      <c r="B10" s="288" t="s">
        <v>595</v>
      </c>
      <c r="C10" s="288" t="s">
        <v>557</v>
      </c>
      <c r="D10" s="314">
        <v>9</v>
      </c>
      <c r="E10" s="315">
        <f>14162.93+31.82-0.22</f>
        <v>14194.53</v>
      </c>
      <c r="F10" s="313"/>
    </row>
    <row r="11" spans="2:6" s="251" customFormat="1" ht="18" customHeight="1">
      <c r="B11" s="288" t="s">
        <v>596</v>
      </c>
      <c r="C11" s="288" t="s">
        <v>557</v>
      </c>
      <c r="D11" s="314">
        <v>9</v>
      </c>
      <c r="E11" s="315">
        <f>13050.49+3.18+-361.74+-107.8</f>
        <v>12584.130000000001</v>
      </c>
      <c r="F11" s="313"/>
    </row>
    <row r="12" spans="2:6" s="251" customFormat="1" ht="18" customHeight="1">
      <c r="B12" s="288" t="s">
        <v>597</v>
      </c>
      <c r="C12" s="288" t="s">
        <v>557</v>
      </c>
      <c r="D12" s="314">
        <v>9</v>
      </c>
      <c r="E12" s="315">
        <v>15205.7</v>
      </c>
      <c r="F12" s="313"/>
    </row>
    <row r="13" spans="2:6" s="251" customFormat="1" ht="18" customHeight="1">
      <c r="B13" s="288" t="s">
        <v>598</v>
      </c>
      <c r="C13" s="288" t="s">
        <v>557</v>
      </c>
      <c r="D13" s="314">
        <v>9</v>
      </c>
      <c r="E13" s="315">
        <f>16401.62+-171.14+346.29</f>
        <v>16576.77</v>
      </c>
      <c r="F13" s="313"/>
    </row>
    <row r="14" spans="2:6" s="251" customFormat="1" ht="18" customHeight="1">
      <c r="B14" s="288" t="s">
        <v>599</v>
      </c>
      <c r="C14" s="288" t="s">
        <v>557</v>
      </c>
      <c r="D14" s="314">
        <v>9</v>
      </c>
      <c r="E14" s="315">
        <f>18363.86+169.25</f>
        <v>18533.11</v>
      </c>
      <c r="F14" s="313"/>
    </row>
    <row r="15" spans="2:6" s="251" customFormat="1" ht="18" customHeight="1">
      <c r="B15" s="288" t="s">
        <v>600</v>
      </c>
      <c r="C15" s="288" t="s">
        <v>557</v>
      </c>
      <c r="D15" s="314">
        <v>9</v>
      </c>
      <c r="E15" s="315">
        <f>16610.19-282.01</f>
        <v>16328.179999999998</v>
      </c>
      <c r="F15" s="313"/>
    </row>
    <row r="16" spans="2:6" s="251" customFormat="1" ht="18" customHeight="1">
      <c r="B16" s="288" t="s">
        <v>601</v>
      </c>
      <c r="C16" s="288" t="s">
        <v>557</v>
      </c>
      <c r="D16" s="314">
        <v>9</v>
      </c>
      <c r="E16" s="315">
        <f>17080.92+185.11</f>
        <v>17266.03</v>
      </c>
      <c r="F16" s="316"/>
    </row>
    <row r="17" spans="2:6" s="251" customFormat="1" ht="18" customHeight="1">
      <c r="B17" s="288" t="s">
        <v>602</v>
      </c>
      <c r="C17" s="288" t="s">
        <v>557</v>
      </c>
      <c r="D17" s="314">
        <v>9</v>
      </c>
      <c r="E17" s="315">
        <f>12238.02-1.68</f>
        <v>12236.34</v>
      </c>
      <c r="F17" s="313"/>
    </row>
    <row r="18" spans="2:6" s="251" customFormat="1" ht="18" customHeight="1">
      <c r="B18" s="288" t="s">
        <v>603</v>
      </c>
      <c r="C18" s="288" t="s">
        <v>557</v>
      </c>
      <c r="D18" s="314">
        <v>9</v>
      </c>
      <c r="E18" s="315">
        <f>12355.43+62.67</f>
        <v>12418.1</v>
      </c>
      <c r="F18" s="313"/>
    </row>
    <row r="19" spans="2:6" s="251" customFormat="1" ht="18" customHeight="1">
      <c r="B19" s="288" t="s">
        <v>604</v>
      </c>
      <c r="C19" s="288" t="s">
        <v>557</v>
      </c>
      <c r="D19" s="314">
        <v>9</v>
      </c>
      <c r="E19" s="315">
        <f>13771.54-15.15</f>
        <v>13756.390000000001</v>
      </c>
      <c r="F19" s="313"/>
    </row>
    <row r="20" spans="2:6" s="251" customFormat="1" ht="18" customHeight="1">
      <c r="B20" s="307"/>
      <c r="C20" s="307"/>
      <c r="D20" s="307"/>
      <c r="E20" s="317">
        <f>SUM(E8:E19)</f>
        <v>178990.02000000002</v>
      </c>
      <c r="F20" s="313"/>
    </row>
    <row r="21" spans="2:6" ht="18" customHeight="1"/>
    <row r="22" spans="2:6">
      <c r="B22" t="s">
        <v>581</v>
      </c>
      <c r="E22" s="326">
        <v>15221.7</v>
      </c>
    </row>
    <row r="23" spans="2:6">
      <c r="B23" t="s">
        <v>582</v>
      </c>
    </row>
    <row r="24" spans="2:6">
      <c r="B24" t="s">
        <v>583</v>
      </c>
    </row>
    <row r="25" spans="2:6">
      <c r="B25" t="s">
        <v>584</v>
      </c>
    </row>
    <row r="26" spans="2:6">
      <c r="B26" t="s">
        <v>585</v>
      </c>
    </row>
    <row r="27" spans="2:6">
      <c r="E27">
        <f>E20+E22</f>
        <v>194211.72000000003</v>
      </c>
    </row>
  </sheetData>
  <pageMargins left="0.7" right="0.7" top="0.75" bottom="0.7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D20"/>
  <sheetViews>
    <sheetView showGridLines="0" workbookViewId="0"/>
  </sheetViews>
  <sheetFormatPr defaultRowHeight="15"/>
  <cols>
    <col min="1" max="1" width="3.33203125" customWidth="1"/>
    <col min="2" max="2" width="13" customWidth="1"/>
    <col min="3" max="3" width="8.33203125" customWidth="1"/>
    <col min="4" max="4" width="12.88671875" customWidth="1"/>
  </cols>
  <sheetData>
    <row r="1" spans="2:4" ht="19.5" customHeight="1">
      <c r="B1" s="268" t="str">
        <f>EntityName</f>
        <v>Blue Earth, MN</v>
      </c>
    </row>
    <row r="2" spans="2:4" ht="19.5" customHeight="1">
      <c r="B2" s="271" t="s">
        <v>562</v>
      </c>
    </row>
    <row r="3" spans="2:4" ht="19.5" customHeight="1">
      <c r="B3" s="270">
        <f>FilingDate</f>
        <v>43100</v>
      </c>
    </row>
    <row r="4" spans="2:4" ht="19.5" customHeight="1"/>
    <row r="5" spans="2:4" ht="21" customHeight="1">
      <c r="B5" s="320">
        <f>D20</f>
        <v>9.14</v>
      </c>
      <c r="C5" s="276" t="s">
        <v>565</v>
      </c>
    </row>
    <row r="6" spans="2:4" ht="21" customHeight="1">
      <c r="B6" s="276"/>
    </row>
    <row r="7" spans="2:4" ht="18" customHeight="1">
      <c r="B7" s="283" t="s">
        <v>506</v>
      </c>
      <c r="C7" s="283" t="s">
        <v>505</v>
      </c>
      <c r="D7" s="283" t="s">
        <v>563</v>
      </c>
    </row>
    <row r="8" spans="2:4" ht="18" customHeight="1">
      <c r="B8" s="360">
        <v>42746</v>
      </c>
      <c r="C8" s="314">
        <v>8</v>
      </c>
      <c r="D8" s="314">
        <v>8.3010000000000002</v>
      </c>
    </row>
    <row r="9" spans="2:4" ht="18" customHeight="1">
      <c r="B9" s="360">
        <v>42768</v>
      </c>
      <c r="C9" s="314">
        <v>11</v>
      </c>
      <c r="D9" s="314">
        <v>8.0589999999999993</v>
      </c>
    </row>
    <row r="10" spans="2:4" ht="18" customHeight="1">
      <c r="B10" s="360">
        <v>42808</v>
      </c>
      <c r="C10" s="314">
        <v>9</v>
      </c>
      <c r="D10" s="314">
        <v>8.1660000000000004</v>
      </c>
    </row>
    <row r="11" spans="2:4" ht="18" customHeight="1">
      <c r="B11" s="360">
        <v>42830</v>
      </c>
      <c r="C11" s="314">
        <v>11</v>
      </c>
      <c r="D11" s="314">
        <v>7.3</v>
      </c>
    </row>
    <row r="12" spans="2:4" ht="18" customHeight="1">
      <c r="B12" s="360">
        <v>42871</v>
      </c>
      <c r="C12" s="314">
        <v>15</v>
      </c>
      <c r="D12" s="314">
        <v>8.7829999999999995</v>
      </c>
    </row>
    <row r="13" spans="2:4" ht="18" customHeight="1">
      <c r="B13" s="360">
        <v>42899</v>
      </c>
      <c r="C13" s="314">
        <v>16</v>
      </c>
      <c r="D13" s="314">
        <v>11.26</v>
      </c>
    </row>
    <row r="14" spans="2:4" ht="18" customHeight="1">
      <c r="B14" s="360">
        <v>42934</v>
      </c>
      <c r="C14" s="314">
        <v>13</v>
      </c>
      <c r="D14" s="314">
        <v>11.994</v>
      </c>
    </row>
    <row r="15" spans="2:4" ht="18" customHeight="1">
      <c r="B15" s="360">
        <v>42948</v>
      </c>
      <c r="C15" s="314">
        <v>17</v>
      </c>
      <c r="D15" s="314">
        <v>11.595000000000001</v>
      </c>
    </row>
    <row r="16" spans="2:4" ht="18" customHeight="1">
      <c r="B16" s="360">
        <v>42990</v>
      </c>
      <c r="C16" s="314">
        <v>16</v>
      </c>
      <c r="D16" s="314">
        <v>10.895</v>
      </c>
    </row>
    <row r="17" spans="2:4" ht="18" customHeight="1">
      <c r="B17" s="360">
        <v>43010</v>
      </c>
      <c r="C17" s="314">
        <v>15</v>
      </c>
      <c r="D17" s="314">
        <v>7.9950000000000001</v>
      </c>
    </row>
    <row r="18" spans="2:4" ht="18" customHeight="1">
      <c r="B18" s="360">
        <v>43055</v>
      </c>
      <c r="C18" s="314">
        <v>12</v>
      </c>
      <c r="D18" s="314">
        <v>7.3419999999999996</v>
      </c>
    </row>
    <row r="19" spans="2:4" ht="18" customHeight="1">
      <c r="B19" s="360">
        <v>43089</v>
      </c>
      <c r="C19" s="314">
        <v>9</v>
      </c>
      <c r="D19" s="314">
        <v>7.9880000000000004</v>
      </c>
    </row>
    <row r="20" spans="2:4" ht="18" customHeight="1">
      <c r="B20" s="307" t="s">
        <v>564</v>
      </c>
      <c r="C20" s="307"/>
      <c r="D20" s="319">
        <f>ROUND(AVERAGE(D8:D19),3)</f>
        <v>9.14</v>
      </c>
    </row>
  </sheetData>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76"/>
  <sheetViews>
    <sheetView showGridLines="0" zoomScaleNormal="100" workbookViewId="0">
      <selection sqref="A1:F1"/>
    </sheetView>
  </sheetViews>
  <sheetFormatPr defaultColWidth="8.88671875" defaultRowHeight="12.75"/>
  <cols>
    <col min="1" max="1" width="5.21875" style="148" customWidth="1"/>
    <col min="2" max="2" width="30.88671875" style="148" customWidth="1"/>
    <col min="3" max="3" width="13" style="148" customWidth="1"/>
    <col min="4" max="4" width="5.21875" style="148" customWidth="1"/>
    <col min="5" max="5" width="30.88671875" style="148" customWidth="1"/>
    <col min="6" max="6" width="13" style="148" customWidth="1"/>
    <col min="7" max="16384" width="8.88671875" style="148"/>
  </cols>
  <sheetData>
    <row r="1" spans="1:7" ht="15.75">
      <c r="A1" s="413" t="s">
        <v>546</v>
      </c>
      <c r="B1" s="413"/>
      <c r="C1" s="413"/>
      <c r="D1" s="413"/>
      <c r="E1" s="413"/>
      <c r="F1" s="413"/>
    </row>
    <row r="2" spans="1:7" ht="15">
      <c r="A2" s="414" t="s">
        <v>408</v>
      </c>
      <c r="B2" s="414"/>
      <c r="C2" s="414"/>
      <c r="D2" s="414"/>
      <c r="E2" s="414"/>
      <c r="F2" s="414"/>
    </row>
    <row r="3" spans="1:7" ht="15">
      <c r="A3" s="414" t="s">
        <v>407</v>
      </c>
      <c r="B3" s="414"/>
      <c r="C3" s="414"/>
      <c r="D3" s="414"/>
      <c r="E3" s="414"/>
      <c r="F3" s="414"/>
    </row>
    <row r="4" spans="1:7" ht="15.75">
      <c r="A4" s="415">
        <v>43100</v>
      </c>
      <c r="B4" s="415"/>
      <c r="C4" s="415"/>
      <c r="D4" s="415"/>
      <c r="E4" s="415"/>
      <c r="F4" s="415"/>
    </row>
    <row r="6" spans="1:7" ht="15">
      <c r="A6" s="416" t="s">
        <v>406</v>
      </c>
      <c r="B6" s="416"/>
      <c r="C6" s="416"/>
      <c r="D6" s="416"/>
      <c r="E6" s="416"/>
      <c r="F6" s="416"/>
    </row>
    <row r="7" spans="1:7">
      <c r="A7" s="185" t="s">
        <v>4</v>
      </c>
      <c r="B7" s="186"/>
      <c r="C7" s="176" t="s">
        <v>405</v>
      </c>
      <c r="D7" s="176" t="s">
        <v>4</v>
      </c>
      <c r="E7" s="186"/>
      <c r="F7" s="176" t="s">
        <v>405</v>
      </c>
    </row>
    <row r="8" spans="1:7">
      <c r="A8" s="162" t="s">
        <v>6</v>
      </c>
      <c r="B8" s="158" t="s">
        <v>404</v>
      </c>
      <c r="C8" s="158" t="s">
        <v>401</v>
      </c>
      <c r="D8" s="158" t="s">
        <v>403</v>
      </c>
      <c r="E8" s="158" t="s">
        <v>402</v>
      </c>
      <c r="F8" s="158" t="s">
        <v>401</v>
      </c>
    </row>
    <row r="9" spans="1:7" ht="15">
      <c r="A9" s="156"/>
      <c r="B9" s="184" t="s">
        <v>400</v>
      </c>
      <c r="C9" s="183"/>
      <c r="D9" s="185"/>
      <c r="E9" s="184" t="s">
        <v>399</v>
      </c>
      <c r="F9" s="183"/>
    </row>
    <row r="10" spans="1:7" ht="15">
      <c r="A10" s="156">
        <v>1</v>
      </c>
      <c r="B10" s="155" t="s">
        <v>398</v>
      </c>
      <c r="C10" s="174"/>
      <c r="D10" s="156"/>
      <c r="E10" s="155"/>
      <c r="F10" s="174"/>
    </row>
    <row r="11" spans="1:7">
      <c r="A11" s="162"/>
      <c r="B11" s="163" t="s">
        <v>397</v>
      </c>
      <c r="C11" s="366">
        <f>ROUND('412Plant'!G25,0)</f>
        <v>20494693</v>
      </c>
      <c r="D11" s="367">
        <v>29</v>
      </c>
      <c r="E11" s="368" t="s">
        <v>396</v>
      </c>
      <c r="F11" s="366">
        <v>0</v>
      </c>
    </row>
    <row r="12" spans="1:7" ht="15">
      <c r="A12" s="160">
        <v>2</v>
      </c>
      <c r="B12" s="172" t="s">
        <v>395</v>
      </c>
      <c r="C12" s="369">
        <f>'412Plant'!G27</f>
        <v>0</v>
      </c>
      <c r="D12" s="370">
        <v>30</v>
      </c>
      <c r="E12" s="371" t="s">
        <v>394</v>
      </c>
      <c r="F12" s="372">
        <v>10632489</v>
      </c>
      <c r="G12" s="318" t="s">
        <v>560</v>
      </c>
    </row>
    <row r="13" spans="1:7" ht="15">
      <c r="A13" s="156">
        <v>3</v>
      </c>
      <c r="B13" s="155" t="s">
        <v>354</v>
      </c>
      <c r="C13" s="373"/>
      <c r="D13" s="374"/>
      <c r="E13" s="375"/>
      <c r="F13" s="373"/>
    </row>
    <row r="14" spans="1:7" ht="15">
      <c r="A14" s="156"/>
      <c r="B14" s="164" t="s">
        <v>393</v>
      </c>
      <c r="C14" s="373"/>
      <c r="D14" s="374">
        <v>31</v>
      </c>
      <c r="E14" s="375" t="s">
        <v>392</v>
      </c>
      <c r="F14" s="373"/>
    </row>
    <row r="15" spans="1:7" ht="13.5" thickBot="1">
      <c r="A15" s="162"/>
      <c r="B15" s="163" t="s">
        <v>391</v>
      </c>
      <c r="C15" s="376">
        <f>ROUND(S1_Plant!J11,0)</f>
        <v>11077381</v>
      </c>
      <c r="D15" s="367"/>
      <c r="E15" s="377" t="s">
        <v>390</v>
      </c>
      <c r="F15" s="376">
        <v>0</v>
      </c>
    </row>
    <row r="16" spans="1:7" ht="13.5" thickBot="1">
      <c r="A16" s="160">
        <v>4</v>
      </c>
      <c r="B16" s="181" t="s">
        <v>389</v>
      </c>
      <c r="C16" s="378">
        <f>+C11+C12-C15</f>
        <v>9417312</v>
      </c>
      <c r="D16" s="379">
        <v>32</v>
      </c>
      <c r="E16" s="380" t="s">
        <v>388</v>
      </c>
      <c r="F16" s="378">
        <f>+F15+F11+F12</f>
        <v>10632489</v>
      </c>
    </row>
    <row r="17" spans="1:7" ht="15">
      <c r="A17" s="180">
        <v>5</v>
      </c>
      <c r="B17" s="169" t="s">
        <v>387</v>
      </c>
      <c r="C17" s="381">
        <v>0</v>
      </c>
      <c r="D17" s="374"/>
      <c r="E17" s="382" t="s">
        <v>386</v>
      </c>
      <c r="F17" s="373"/>
    </row>
    <row r="18" spans="1:7" ht="15">
      <c r="A18" s="165">
        <v>6</v>
      </c>
      <c r="B18" s="179" t="s">
        <v>354</v>
      </c>
      <c r="C18" s="373"/>
      <c r="D18" s="383"/>
      <c r="E18" s="375"/>
      <c r="F18" s="373"/>
    </row>
    <row r="19" spans="1:7" ht="15">
      <c r="A19" s="156"/>
      <c r="B19" s="164" t="s">
        <v>385</v>
      </c>
      <c r="C19" s="373"/>
      <c r="D19" s="374"/>
      <c r="E19" s="375"/>
      <c r="F19" s="373"/>
    </row>
    <row r="20" spans="1:7">
      <c r="A20" s="156"/>
      <c r="B20" s="164" t="s">
        <v>384</v>
      </c>
      <c r="C20" s="376">
        <v>0</v>
      </c>
      <c r="D20" s="367">
        <v>33</v>
      </c>
      <c r="E20" s="368" t="s">
        <v>383</v>
      </c>
      <c r="F20" s="384">
        <v>0</v>
      </c>
    </row>
    <row r="21" spans="1:7" ht="15.75" thickBot="1">
      <c r="A21" s="178">
        <v>7</v>
      </c>
      <c r="B21" s="177" t="s">
        <v>382</v>
      </c>
      <c r="C21" s="385"/>
      <c r="D21" s="383">
        <v>34</v>
      </c>
      <c r="E21" s="375" t="s">
        <v>381</v>
      </c>
      <c r="F21" s="373"/>
    </row>
    <row r="22" spans="1:7" ht="15.75" thickBot="1">
      <c r="A22" s="162"/>
      <c r="B22" s="175" t="s">
        <v>380</v>
      </c>
      <c r="C22" s="378">
        <f>+C16+C17-C20</f>
        <v>9417312</v>
      </c>
      <c r="D22" s="386"/>
      <c r="E22" s="377" t="s">
        <v>379</v>
      </c>
      <c r="F22" s="261">
        <f>324027+371152</f>
        <v>695179</v>
      </c>
      <c r="G22" s="254"/>
    </row>
    <row r="23" spans="1:7" ht="15">
      <c r="A23" s="156"/>
      <c r="B23" s="170" t="s">
        <v>378</v>
      </c>
      <c r="C23" s="373"/>
      <c r="D23" s="374">
        <v>35</v>
      </c>
      <c r="E23" s="375" t="s">
        <v>377</v>
      </c>
      <c r="F23" s="373"/>
    </row>
    <row r="24" spans="1:7">
      <c r="A24" s="162">
        <v>8</v>
      </c>
      <c r="B24" s="167" t="s">
        <v>376</v>
      </c>
      <c r="C24" s="387">
        <v>0</v>
      </c>
      <c r="D24" s="367"/>
      <c r="E24" s="377" t="s">
        <v>375</v>
      </c>
      <c r="F24" s="387">
        <v>0</v>
      </c>
    </row>
    <row r="25" spans="1:7" ht="15">
      <c r="A25" s="156">
        <v>9</v>
      </c>
      <c r="B25" s="155" t="s">
        <v>354</v>
      </c>
      <c r="C25" s="388"/>
      <c r="D25" s="374">
        <v>36</v>
      </c>
      <c r="E25" s="375" t="s">
        <v>374</v>
      </c>
      <c r="F25" s="388"/>
    </row>
    <row r="26" spans="1:7">
      <c r="A26" s="162"/>
      <c r="B26" s="163" t="s">
        <v>373</v>
      </c>
      <c r="C26" s="387">
        <v>0</v>
      </c>
      <c r="D26" s="367"/>
      <c r="E26" s="377" t="s">
        <v>372</v>
      </c>
      <c r="F26" s="387">
        <v>0</v>
      </c>
    </row>
    <row r="27" spans="1:7" ht="15.75" thickBot="1">
      <c r="A27" s="156">
        <v>10</v>
      </c>
      <c r="B27" s="155" t="s">
        <v>371</v>
      </c>
      <c r="C27" s="388"/>
      <c r="D27" s="374"/>
      <c r="E27" s="375"/>
      <c r="F27" s="388"/>
    </row>
    <row r="28" spans="1:7" ht="13.5" thickBot="1">
      <c r="A28" s="162"/>
      <c r="B28" s="163" t="s">
        <v>370</v>
      </c>
      <c r="C28" s="387">
        <v>0</v>
      </c>
      <c r="D28" s="367">
        <v>37</v>
      </c>
      <c r="E28" s="389" t="s">
        <v>369</v>
      </c>
      <c r="F28" s="390">
        <f>+F20+F22+F24-F26</f>
        <v>695179</v>
      </c>
    </row>
    <row r="29" spans="1:7" ht="15.75" thickBot="1">
      <c r="A29" s="160">
        <v>11</v>
      </c>
      <c r="B29" s="172" t="s">
        <v>368</v>
      </c>
      <c r="C29" s="391">
        <v>25553</v>
      </c>
      <c r="D29" s="367"/>
      <c r="E29" s="368"/>
      <c r="F29" s="392"/>
    </row>
    <row r="30" spans="1:7" ht="15.75" thickBot="1">
      <c r="A30" s="160">
        <v>12</v>
      </c>
      <c r="B30" s="159" t="s">
        <v>367</v>
      </c>
      <c r="C30" s="390">
        <f>+C24+C26+C28+C29</f>
        <v>25553</v>
      </c>
      <c r="D30" s="386"/>
      <c r="E30" s="393" t="s">
        <v>366</v>
      </c>
      <c r="F30" s="392"/>
    </row>
    <row r="31" spans="1:7" ht="15">
      <c r="A31" s="156"/>
      <c r="B31" s="170" t="s">
        <v>365</v>
      </c>
      <c r="C31" s="388"/>
      <c r="D31" s="370">
        <v>38</v>
      </c>
      <c r="E31" s="371" t="s">
        <v>364</v>
      </c>
      <c r="F31" s="394">
        <v>0</v>
      </c>
    </row>
    <row r="32" spans="1:7" ht="15.75" thickBot="1">
      <c r="A32" s="156">
        <v>13</v>
      </c>
      <c r="B32" s="155" t="s">
        <v>363</v>
      </c>
      <c r="C32" s="388"/>
      <c r="D32" s="370">
        <v>39</v>
      </c>
      <c r="E32" s="371" t="s">
        <v>362</v>
      </c>
      <c r="F32" s="391">
        <v>0</v>
      </c>
    </row>
    <row r="33" spans="1:6" ht="13.5" thickBot="1">
      <c r="A33" s="162"/>
      <c r="B33" s="163" t="s">
        <v>361</v>
      </c>
      <c r="C33" s="387">
        <v>1453734</v>
      </c>
      <c r="D33" s="367">
        <v>40</v>
      </c>
      <c r="E33" s="389" t="s">
        <v>360</v>
      </c>
      <c r="F33" s="390">
        <f>SUM(F31:F32)</f>
        <v>0</v>
      </c>
    </row>
    <row r="34" spans="1:6" ht="15">
      <c r="A34" s="156">
        <v>14</v>
      </c>
      <c r="B34" s="155" t="s">
        <v>359</v>
      </c>
      <c r="C34" s="388"/>
      <c r="D34" s="374"/>
      <c r="E34" s="375"/>
      <c r="F34" s="388"/>
    </row>
    <row r="35" spans="1:6" ht="15">
      <c r="A35" s="162"/>
      <c r="B35" s="163" t="s">
        <v>358</v>
      </c>
      <c r="C35" s="387">
        <v>546486</v>
      </c>
      <c r="D35" s="367"/>
      <c r="E35" s="393" t="s">
        <v>357</v>
      </c>
      <c r="F35" s="392"/>
    </row>
    <row r="36" spans="1:6">
      <c r="A36" s="160">
        <v>15</v>
      </c>
      <c r="B36" s="172" t="s">
        <v>356</v>
      </c>
      <c r="C36" s="394">
        <v>496185</v>
      </c>
      <c r="D36" s="367">
        <v>41</v>
      </c>
      <c r="E36" s="368" t="s">
        <v>355</v>
      </c>
      <c r="F36" s="387">
        <v>0</v>
      </c>
    </row>
    <row r="37" spans="1:6" ht="15">
      <c r="A37" s="156">
        <v>16</v>
      </c>
      <c r="B37" s="155" t="s">
        <v>354</v>
      </c>
      <c r="C37" s="388"/>
      <c r="D37" s="374"/>
      <c r="E37" s="375"/>
      <c r="F37" s="388"/>
    </row>
    <row r="38" spans="1:6">
      <c r="A38" s="162"/>
      <c r="B38" s="163" t="s">
        <v>353</v>
      </c>
      <c r="C38" s="387">
        <v>0</v>
      </c>
      <c r="D38" s="367">
        <v>42</v>
      </c>
      <c r="E38" s="368" t="s">
        <v>352</v>
      </c>
      <c r="F38" s="387">
        <v>394670</v>
      </c>
    </row>
    <row r="39" spans="1:6" ht="15">
      <c r="A39" s="156">
        <v>17</v>
      </c>
      <c r="B39" s="155" t="s">
        <v>351</v>
      </c>
      <c r="C39" s="388" t="s">
        <v>2</v>
      </c>
      <c r="D39" s="374">
        <v>43</v>
      </c>
      <c r="E39" s="375" t="s">
        <v>350</v>
      </c>
      <c r="F39" s="388"/>
    </row>
    <row r="40" spans="1:6">
      <c r="A40" s="162"/>
      <c r="B40" s="163" t="s">
        <v>349</v>
      </c>
      <c r="C40" s="387">
        <v>0</v>
      </c>
      <c r="D40" s="367"/>
      <c r="E40" s="377" t="s">
        <v>348</v>
      </c>
      <c r="F40" s="387">
        <v>0</v>
      </c>
    </row>
    <row r="41" spans="1:6">
      <c r="A41" s="160">
        <v>18</v>
      </c>
      <c r="B41" s="172" t="s">
        <v>347</v>
      </c>
      <c r="C41" s="394">
        <v>534378</v>
      </c>
      <c r="D41" s="367">
        <v>44</v>
      </c>
      <c r="E41" s="368" t="s">
        <v>346</v>
      </c>
      <c r="F41" s="387">
        <v>25553</v>
      </c>
    </row>
    <row r="42" spans="1:6">
      <c r="A42" s="160">
        <v>19</v>
      </c>
      <c r="B42" s="172" t="s">
        <v>345</v>
      </c>
      <c r="C42" s="394">
        <v>0</v>
      </c>
      <c r="D42" s="367">
        <v>45</v>
      </c>
      <c r="E42" s="368" t="s">
        <v>344</v>
      </c>
      <c r="F42" s="387">
        <v>0</v>
      </c>
    </row>
    <row r="43" spans="1:6">
      <c r="A43" s="160">
        <v>20</v>
      </c>
      <c r="B43" s="172" t="s">
        <v>343</v>
      </c>
      <c r="C43" s="394">
        <v>105077</v>
      </c>
      <c r="D43" s="367">
        <v>46</v>
      </c>
      <c r="E43" s="368" t="s">
        <v>342</v>
      </c>
      <c r="F43" s="387">
        <v>0</v>
      </c>
    </row>
    <row r="44" spans="1:6" ht="13.5" thickBot="1">
      <c r="A44" s="171">
        <v>21</v>
      </c>
      <c r="B44" s="172" t="s">
        <v>341</v>
      </c>
      <c r="C44" s="394">
        <v>0</v>
      </c>
      <c r="D44" s="367">
        <v>47</v>
      </c>
      <c r="E44" s="368" t="s">
        <v>340</v>
      </c>
      <c r="F44" s="395">
        <f>40178+22390+79893+72865</f>
        <v>215326</v>
      </c>
    </row>
    <row r="45" spans="1:6" ht="13.5" thickBot="1">
      <c r="A45" s="171">
        <v>22</v>
      </c>
      <c r="B45" s="172" t="s">
        <v>339</v>
      </c>
      <c r="C45" s="391">
        <v>0</v>
      </c>
      <c r="D45" s="367">
        <v>48</v>
      </c>
      <c r="E45" s="389" t="s">
        <v>338</v>
      </c>
      <c r="F45" s="390">
        <f>+F44+F43+F42+F41+F40+F38+F36</f>
        <v>635549</v>
      </c>
    </row>
    <row r="46" spans="1:6" ht="15.75" thickBot="1">
      <c r="A46" s="171">
        <v>23</v>
      </c>
      <c r="B46" s="159" t="s">
        <v>337</v>
      </c>
      <c r="C46" s="390">
        <f>+C33+C35+C36-C38+C40+C42+C43+C44+C45+C41</f>
        <v>3135860</v>
      </c>
      <c r="D46" s="386"/>
      <c r="E46" s="393" t="s">
        <v>336</v>
      </c>
      <c r="F46" s="392"/>
    </row>
    <row r="47" spans="1:6" ht="15">
      <c r="A47" s="155"/>
      <c r="B47" s="170" t="s">
        <v>335</v>
      </c>
      <c r="C47" s="388"/>
      <c r="D47" s="374">
        <v>49</v>
      </c>
      <c r="E47" s="375" t="s">
        <v>334</v>
      </c>
      <c r="F47" s="388"/>
    </row>
    <row r="48" spans="1:6">
      <c r="A48" s="168">
        <v>24</v>
      </c>
      <c r="B48" s="167" t="s">
        <v>333</v>
      </c>
      <c r="C48" s="387">
        <v>272</v>
      </c>
      <c r="D48" s="367"/>
      <c r="E48" s="396" t="s">
        <v>332</v>
      </c>
      <c r="F48" s="387">
        <v>0</v>
      </c>
    </row>
    <row r="49" spans="1:7" ht="15">
      <c r="A49" s="165">
        <v>25</v>
      </c>
      <c r="B49" s="155" t="s">
        <v>331</v>
      </c>
      <c r="C49" s="388"/>
      <c r="D49" s="374">
        <v>50</v>
      </c>
      <c r="E49" s="375" t="s">
        <v>330</v>
      </c>
      <c r="F49" s="388"/>
    </row>
    <row r="50" spans="1:7">
      <c r="A50" s="167"/>
      <c r="B50" s="163" t="s">
        <v>329</v>
      </c>
      <c r="C50" s="387">
        <v>0</v>
      </c>
      <c r="D50" s="367"/>
      <c r="E50" s="377" t="s">
        <v>328</v>
      </c>
      <c r="F50" s="387">
        <f>667424+5739+236908</f>
        <v>910071</v>
      </c>
    </row>
    <row r="51" spans="1:7" ht="15">
      <c r="A51" s="165">
        <v>26</v>
      </c>
      <c r="B51" s="155" t="s">
        <v>327</v>
      </c>
      <c r="C51" s="388"/>
      <c r="D51" s="374"/>
      <c r="E51" s="375"/>
      <c r="F51" s="388"/>
    </row>
    <row r="52" spans="1:7" ht="15">
      <c r="A52" s="156"/>
      <c r="B52" s="164" t="s">
        <v>326</v>
      </c>
      <c r="C52" s="388"/>
      <c r="D52" s="374">
        <v>51</v>
      </c>
      <c r="E52" s="375" t="s">
        <v>325</v>
      </c>
      <c r="F52" s="388"/>
    </row>
    <row r="53" spans="1:7" ht="13.5" thickBot="1">
      <c r="A53" s="162"/>
      <c r="B53" s="163" t="s">
        <v>324</v>
      </c>
      <c r="C53" s="395">
        <f>15581+278710</f>
        <v>294291</v>
      </c>
      <c r="D53" s="367"/>
      <c r="E53" s="396" t="s">
        <v>323</v>
      </c>
      <c r="F53" s="395">
        <v>0</v>
      </c>
    </row>
    <row r="54" spans="1:7" ht="13.5" thickBot="1">
      <c r="A54" s="160">
        <v>27</v>
      </c>
      <c r="B54" s="159" t="s">
        <v>322</v>
      </c>
      <c r="C54" s="390">
        <f>C48+C50+C53</f>
        <v>294563</v>
      </c>
      <c r="D54" s="386">
        <v>52</v>
      </c>
      <c r="E54" s="389" t="s">
        <v>321</v>
      </c>
      <c r="F54" s="390">
        <f>+F53+F50+F48</f>
        <v>910071</v>
      </c>
    </row>
    <row r="55" spans="1:7" ht="15.75" thickBot="1">
      <c r="A55" s="156"/>
      <c r="B55" s="157"/>
      <c r="C55" s="397"/>
      <c r="D55" s="374"/>
      <c r="E55" s="375"/>
      <c r="F55" s="388"/>
    </row>
    <row r="56" spans="1:7" ht="13.5" thickBot="1">
      <c r="A56" s="154">
        <v>28</v>
      </c>
      <c r="B56" s="153" t="s">
        <v>320</v>
      </c>
      <c r="C56" s="398">
        <f>+C54+C46+C21+C22+C30</f>
        <v>12873288</v>
      </c>
      <c r="D56" s="399">
        <v>53</v>
      </c>
      <c r="E56" s="400" t="s">
        <v>319</v>
      </c>
      <c r="F56" s="398">
        <f>+F54+F45+F28+F16+F33</f>
        <v>12873288</v>
      </c>
      <c r="G56" s="254" t="s">
        <v>539</v>
      </c>
    </row>
    <row r="57" spans="1:7" ht="15">
      <c r="A57" s="149"/>
      <c r="B57" s="149"/>
      <c r="C57" s="152"/>
      <c r="D57" s="149"/>
      <c r="E57" s="149"/>
      <c r="F57" s="151">
        <f>+F56-C56</f>
        <v>0</v>
      </c>
    </row>
    <row r="58" spans="1:7" ht="15">
      <c r="A58" s="149"/>
      <c r="B58" s="149"/>
      <c r="C58" s="150"/>
      <c r="D58" s="149"/>
      <c r="E58" s="149"/>
      <c r="F58" s="151"/>
    </row>
    <row r="59" spans="1:7" ht="15">
      <c r="A59" s="149"/>
      <c r="B59" s="149"/>
      <c r="C59" s="150"/>
      <c r="D59" s="149"/>
      <c r="E59" s="149"/>
      <c r="F59" s="151"/>
    </row>
    <row r="60" spans="1:7" ht="15">
      <c r="A60" s="149"/>
      <c r="B60" s="149"/>
      <c r="C60" s="150"/>
      <c r="D60" s="149"/>
      <c r="E60" s="149"/>
      <c r="F60" s="151"/>
    </row>
    <row r="61" spans="1:7" ht="15">
      <c r="A61" s="149"/>
      <c r="B61" s="149"/>
      <c r="C61" s="150"/>
      <c r="D61" s="149"/>
      <c r="E61" s="149"/>
      <c r="F61" s="151"/>
    </row>
    <row r="62" spans="1:7" ht="15">
      <c r="A62" s="149"/>
      <c r="B62" s="149"/>
      <c r="C62" s="150"/>
      <c r="D62" s="149"/>
      <c r="E62" s="149"/>
      <c r="F62" s="151"/>
    </row>
    <row r="63" spans="1:7" ht="15">
      <c r="A63" s="149"/>
      <c r="B63" s="149"/>
      <c r="C63" s="150"/>
      <c r="D63" s="149"/>
      <c r="E63" s="149"/>
      <c r="F63" s="151"/>
    </row>
    <row r="64" spans="1:7">
      <c r="A64" s="149"/>
      <c r="B64" s="149"/>
      <c r="C64" s="150"/>
      <c r="D64" s="149"/>
      <c r="E64" s="149"/>
      <c r="F64" s="149"/>
    </row>
    <row r="65" spans="1:6">
      <c r="A65" s="149"/>
      <c r="B65" s="149"/>
      <c r="C65" s="150"/>
      <c r="D65" s="149"/>
      <c r="E65" s="149"/>
      <c r="F65" s="149"/>
    </row>
    <row r="66" spans="1:6">
      <c r="A66" s="149"/>
      <c r="B66" s="149"/>
      <c r="C66" s="150"/>
      <c r="D66" s="149"/>
      <c r="E66" s="149"/>
      <c r="F66" s="149"/>
    </row>
    <row r="67" spans="1:6">
      <c r="A67" s="149"/>
      <c r="B67" s="149"/>
      <c r="C67" s="150"/>
      <c r="D67" s="149"/>
      <c r="E67" s="149"/>
      <c r="F67" s="149"/>
    </row>
    <row r="68" spans="1:6">
      <c r="A68" s="149"/>
      <c r="B68" s="149"/>
      <c r="C68" s="150"/>
      <c r="D68" s="149"/>
      <c r="E68" s="149"/>
      <c r="F68" s="149"/>
    </row>
    <row r="69" spans="1:6">
      <c r="A69" s="149"/>
      <c r="B69" s="149"/>
      <c r="C69" s="149"/>
      <c r="D69" s="149"/>
      <c r="E69" s="149"/>
      <c r="F69" s="149"/>
    </row>
    <row r="70" spans="1:6">
      <c r="A70" s="149"/>
      <c r="B70" s="149"/>
      <c r="C70" s="149"/>
      <c r="D70" s="149"/>
      <c r="E70" s="149"/>
      <c r="F70" s="149"/>
    </row>
    <row r="71" spans="1:6">
      <c r="A71" s="149"/>
      <c r="B71" s="149"/>
      <c r="C71" s="149"/>
      <c r="D71" s="149"/>
      <c r="E71" s="149"/>
      <c r="F71" s="149"/>
    </row>
    <row r="72" spans="1:6">
      <c r="A72" s="149"/>
      <c r="B72" s="149"/>
      <c r="C72" s="149"/>
      <c r="D72" s="149"/>
      <c r="E72" s="149"/>
      <c r="F72" s="149"/>
    </row>
    <row r="73" spans="1:6">
      <c r="A73" s="149"/>
      <c r="B73" s="149"/>
      <c r="C73" s="149"/>
      <c r="D73" s="149"/>
      <c r="E73" s="149"/>
      <c r="F73" s="149"/>
    </row>
    <row r="74" spans="1:6">
      <c r="A74" s="149"/>
      <c r="B74" s="149"/>
      <c r="C74" s="149"/>
      <c r="D74" s="149"/>
      <c r="E74" s="149"/>
      <c r="F74" s="149"/>
    </row>
    <row r="75" spans="1:6">
      <c r="A75" s="149"/>
      <c r="B75" s="149"/>
      <c r="C75" s="149"/>
      <c r="D75" s="149"/>
      <c r="E75" s="149"/>
      <c r="F75" s="149"/>
    </row>
    <row r="76" spans="1:6">
      <c r="A76" s="149"/>
      <c r="B76" s="149"/>
      <c r="C76" s="149"/>
      <c r="D76" s="149"/>
      <c r="E76" s="149"/>
      <c r="F76" s="149"/>
    </row>
  </sheetData>
  <mergeCells count="5">
    <mergeCell ref="A1:F1"/>
    <mergeCell ref="A2:F2"/>
    <mergeCell ref="A4:F4"/>
    <mergeCell ref="A6:F6"/>
    <mergeCell ref="A3:F3"/>
  </mergeCells>
  <pageMargins left="0.47" right="0.45" top="1" bottom="0.5" header="0.5" footer="0.5"/>
  <pageSetup scale="76" orientation="portrait" r:id="rId1"/>
  <headerFooter alignWithMargins="0">
    <oddFooter>&amp;L&amp;Z&amp;F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53"/>
  <sheetViews>
    <sheetView showGridLines="0" zoomScaleNormal="100" workbookViewId="0">
      <selection sqref="A1:C1"/>
    </sheetView>
  </sheetViews>
  <sheetFormatPr defaultColWidth="8.88671875" defaultRowHeight="12.75"/>
  <cols>
    <col min="1" max="1" width="5.21875" style="148" customWidth="1"/>
    <col min="2" max="2" width="60" style="148" customWidth="1"/>
    <col min="3" max="3" width="13" style="148" customWidth="1"/>
    <col min="4" max="16384" width="8.88671875" style="148"/>
  </cols>
  <sheetData>
    <row r="1" spans="1:6" ht="15.75">
      <c r="A1" s="413" t="str">
        <f>+'412BS'!A1:F1</f>
        <v>Blue Earth, MN</v>
      </c>
      <c r="B1" s="413"/>
      <c r="C1" s="413"/>
      <c r="D1" s="205"/>
      <c r="E1" s="205"/>
      <c r="F1" s="205"/>
    </row>
    <row r="2" spans="1:6" ht="15">
      <c r="A2" s="414" t="s">
        <v>408</v>
      </c>
      <c r="B2" s="414"/>
      <c r="C2" s="414"/>
      <c r="D2" s="205"/>
      <c r="E2" s="205"/>
      <c r="F2" s="205"/>
    </row>
    <row r="3" spans="1:6" ht="15">
      <c r="A3" s="414" t="s">
        <v>433</v>
      </c>
      <c r="B3" s="414"/>
      <c r="C3" s="414"/>
      <c r="D3" s="205"/>
      <c r="E3" s="205"/>
      <c r="F3" s="205"/>
    </row>
    <row r="4" spans="1:6" ht="15.75">
      <c r="A4" s="415">
        <f>+'412BS'!A4:F4</f>
        <v>43100</v>
      </c>
      <c r="B4" s="415"/>
      <c r="C4" s="415"/>
      <c r="D4" s="204"/>
      <c r="E4" s="204"/>
      <c r="F4" s="204"/>
    </row>
    <row r="5" spans="1:6">
      <c r="A5" s="203"/>
      <c r="B5" s="203"/>
      <c r="C5" s="203"/>
      <c r="D5" s="203"/>
      <c r="E5" s="203"/>
      <c r="F5" s="203"/>
    </row>
    <row r="6" spans="1:6" ht="15">
      <c r="A6" s="416" t="s">
        <v>432</v>
      </c>
      <c r="B6" s="416"/>
      <c r="C6" s="416"/>
      <c r="D6" s="202"/>
      <c r="E6" s="202"/>
      <c r="F6" s="202"/>
    </row>
    <row r="7" spans="1:6">
      <c r="A7" s="201" t="s">
        <v>4</v>
      </c>
      <c r="B7" s="200"/>
      <c r="C7" s="199" t="s">
        <v>7</v>
      </c>
    </row>
    <row r="8" spans="1:6">
      <c r="A8" s="167" t="s">
        <v>6</v>
      </c>
      <c r="B8" s="193"/>
      <c r="C8" s="158" t="s">
        <v>401</v>
      </c>
    </row>
    <row r="9" spans="1:6">
      <c r="A9" s="162">
        <v>1</v>
      </c>
      <c r="B9" s="193" t="s">
        <v>431</v>
      </c>
      <c r="C9" s="402">
        <f>5747969+217523</f>
        <v>5965492</v>
      </c>
    </row>
    <row r="10" spans="1:6">
      <c r="A10" s="162">
        <v>2</v>
      </c>
      <c r="B10" s="193" t="s">
        <v>430</v>
      </c>
      <c r="C10" s="403">
        <f>'412OM'!D31+'412OM'!C19</f>
        <v>4757162.25</v>
      </c>
      <c r="D10" s="148" t="s">
        <v>670</v>
      </c>
    </row>
    <row r="11" spans="1:6">
      <c r="A11" s="162">
        <v>3</v>
      </c>
      <c r="B11" s="193" t="s">
        <v>429</v>
      </c>
      <c r="C11" s="403">
        <f>'412OM'!E31</f>
        <v>132736.25</v>
      </c>
    </row>
    <row r="12" spans="1:6">
      <c r="A12" s="160">
        <v>4</v>
      </c>
      <c r="B12" s="198" t="s">
        <v>428</v>
      </c>
      <c r="C12" s="404">
        <f>S1_Plant!H11</f>
        <v>668206.4</v>
      </c>
    </row>
    <row r="13" spans="1:6">
      <c r="A13" s="162">
        <v>5</v>
      </c>
      <c r="B13" s="193" t="s">
        <v>427</v>
      </c>
      <c r="C13" s="403">
        <v>0</v>
      </c>
    </row>
    <row r="14" spans="1:6" ht="13.5" thickBot="1">
      <c r="A14" s="156">
        <v>6</v>
      </c>
      <c r="B14" s="186" t="s">
        <v>426</v>
      </c>
      <c r="C14" s="405">
        <f>PILOT+PayrollTaxes</f>
        <v>242353</v>
      </c>
    </row>
    <row r="15" spans="1:6" ht="13.5" thickBot="1">
      <c r="A15" s="190">
        <v>7</v>
      </c>
      <c r="B15" s="195" t="s">
        <v>425</v>
      </c>
      <c r="C15" s="406">
        <f>SUM(C10:C14)</f>
        <v>5800457.9000000004</v>
      </c>
      <c r="D15" s="260"/>
    </row>
    <row r="16" spans="1:6" ht="13.5" thickBot="1">
      <c r="A16" s="190">
        <v>8</v>
      </c>
      <c r="B16" s="189" t="s">
        <v>424</v>
      </c>
      <c r="C16" s="406">
        <f>+C9-C15</f>
        <v>165034.09999999963</v>
      </c>
    </row>
    <row r="17" spans="1:5" ht="13.5" thickBot="1">
      <c r="A17" s="156">
        <v>9</v>
      </c>
      <c r="B17" s="186" t="s">
        <v>423</v>
      </c>
      <c r="C17" s="338">
        <v>2608</v>
      </c>
    </row>
    <row r="18" spans="1:5" ht="13.5" thickBot="1">
      <c r="A18" s="197">
        <v>10</v>
      </c>
      <c r="B18" s="196" t="s">
        <v>422</v>
      </c>
      <c r="C18" s="406">
        <f>+C17+C16</f>
        <v>167642.09999999963</v>
      </c>
    </row>
    <row r="19" spans="1:5">
      <c r="A19" s="162">
        <v>11</v>
      </c>
      <c r="B19" s="193" t="s">
        <v>421</v>
      </c>
      <c r="C19" s="337">
        <f>43664+14002+37191</f>
        <v>94857</v>
      </c>
    </row>
    <row r="20" spans="1:5">
      <c r="A20" s="162">
        <v>12</v>
      </c>
      <c r="B20" s="193" t="s">
        <v>420</v>
      </c>
      <c r="C20" s="337">
        <f>18453+8352</f>
        <v>26805</v>
      </c>
    </row>
    <row r="21" spans="1:5">
      <c r="A21" s="162">
        <v>13</v>
      </c>
      <c r="B21" s="193" t="s">
        <v>419</v>
      </c>
      <c r="C21" s="337"/>
    </row>
    <row r="22" spans="1:5" ht="13.5" thickBot="1">
      <c r="A22" s="156">
        <v>14</v>
      </c>
      <c r="B22" s="186" t="s">
        <v>418</v>
      </c>
      <c r="C22" s="338"/>
    </row>
    <row r="23" spans="1:5" ht="13.5" thickBot="1">
      <c r="A23" s="190">
        <v>15</v>
      </c>
      <c r="B23" s="195" t="s">
        <v>417</v>
      </c>
      <c r="C23" s="406">
        <f>+C18+C19-C20-C21-C22</f>
        <v>235694.09999999963</v>
      </c>
    </row>
    <row r="24" spans="1:5">
      <c r="A24" s="162">
        <v>16</v>
      </c>
      <c r="B24" s="193" t="s">
        <v>416</v>
      </c>
      <c r="C24" s="337">
        <v>15341</v>
      </c>
    </row>
    <row r="25" spans="1:5">
      <c r="A25" s="162">
        <v>17</v>
      </c>
      <c r="B25" s="193" t="s">
        <v>415</v>
      </c>
      <c r="C25" s="337">
        <v>467</v>
      </c>
    </row>
    <row r="26" spans="1:5" ht="13.5" thickBot="1">
      <c r="A26" s="156">
        <v>18</v>
      </c>
      <c r="B26" s="186" t="s">
        <v>414</v>
      </c>
      <c r="C26" s="338">
        <v>0</v>
      </c>
    </row>
    <row r="27" spans="1:5" ht="13.5" thickBot="1">
      <c r="A27" s="190">
        <v>19</v>
      </c>
      <c r="B27" s="195" t="s">
        <v>413</v>
      </c>
      <c r="C27" s="406">
        <f>SUM(C24:C26)</f>
        <v>15808</v>
      </c>
    </row>
    <row r="28" spans="1:5" ht="13.5" thickBot="1">
      <c r="A28" s="190">
        <v>20</v>
      </c>
      <c r="B28" s="195" t="s">
        <v>412</v>
      </c>
      <c r="C28" s="194">
        <f>+C23-C27</f>
        <v>219886.09999999963</v>
      </c>
      <c r="D28" s="260"/>
    </row>
    <row r="29" spans="1:5">
      <c r="A29" s="162">
        <v>21</v>
      </c>
      <c r="B29" s="193" t="s">
        <v>411</v>
      </c>
      <c r="C29" s="192">
        <v>0</v>
      </c>
    </row>
    <row r="30" spans="1:5" ht="13.5" thickBot="1">
      <c r="A30" s="156">
        <v>22</v>
      </c>
      <c r="B30" s="186" t="s">
        <v>410</v>
      </c>
      <c r="C30" s="191">
        <v>0</v>
      </c>
    </row>
    <row r="31" spans="1:5" ht="13.5" thickBot="1">
      <c r="A31" s="190">
        <v>23</v>
      </c>
      <c r="B31" s="189" t="s">
        <v>409</v>
      </c>
      <c r="C31" s="188">
        <f>SUM(C28:C30)</f>
        <v>219886.09999999963</v>
      </c>
      <c r="D31" s="254" t="s">
        <v>540</v>
      </c>
      <c r="E31" s="260"/>
    </row>
    <row r="32" spans="1:5">
      <c r="A32" s="149"/>
      <c r="B32" s="149"/>
      <c r="C32" s="150"/>
    </row>
    <row r="33" spans="1:4">
      <c r="A33" s="257" t="s">
        <v>493</v>
      </c>
      <c r="B33" s="149"/>
      <c r="C33" s="150"/>
      <c r="D33" s="149"/>
    </row>
    <row r="34" spans="1:4" ht="15">
      <c r="A34" s="332" t="s">
        <v>668</v>
      </c>
      <c r="B34" s="256"/>
      <c r="C34" s="150"/>
      <c r="D34" s="149"/>
    </row>
    <row r="35" spans="1:4" ht="15">
      <c r="A35" s="255" t="s">
        <v>520</v>
      </c>
      <c r="B35" s="256"/>
      <c r="C35" s="150"/>
      <c r="D35" s="149"/>
    </row>
    <row r="36" spans="1:4">
      <c r="A36" s="149"/>
      <c r="B36" s="149"/>
      <c r="C36" s="150"/>
      <c r="D36" s="149"/>
    </row>
    <row r="37" spans="1:4">
      <c r="A37" s="149"/>
      <c r="B37" s="149"/>
      <c r="C37" s="150"/>
      <c r="D37" s="149"/>
    </row>
    <row r="38" spans="1:4">
      <c r="A38" s="149"/>
      <c r="B38" s="149"/>
      <c r="C38" s="150"/>
      <c r="D38" s="149"/>
    </row>
    <row r="39" spans="1:4">
      <c r="A39" s="149"/>
      <c r="B39" s="149"/>
      <c r="C39" s="150"/>
      <c r="D39" s="149"/>
    </row>
    <row r="40" spans="1:4">
      <c r="A40" s="149"/>
      <c r="B40" s="149"/>
      <c r="C40" s="150"/>
      <c r="D40" s="149"/>
    </row>
    <row r="41" spans="1:4">
      <c r="A41" s="149"/>
      <c r="B41" s="149"/>
      <c r="C41" s="150"/>
      <c r="D41" s="149"/>
    </row>
    <row r="42" spans="1:4">
      <c r="A42" s="149"/>
      <c r="B42" s="149"/>
      <c r="C42" s="150"/>
      <c r="D42" s="149"/>
    </row>
    <row r="43" spans="1:4">
      <c r="A43" s="149"/>
      <c r="B43" s="149"/>
      <c r="C43" s="150"/>
      <c r="D43" s="149"/>
    </row>
    <row r="44" spans="1:4">
      <c r="C44" s="150"/>
    </row>
    <row r="45" spans="1:4">
      <c r="C45" s="150"/>
    </row>
    <row r="46" spans="1:4">
      <c r="C46" s="150"/>
    </row>
    <row r="47" spans="1:4">
      <c r="C47" s="150"/>
    </row>
    <row r="48" spans="1:4">
      <c r="C48" s="187"/>
    </row>
    <row r="49" spans="3:3">
      <c r="C49" s="187"/>
    </row>
    <row r="50" spans="3:3">
      <c r="C50" s="187"/>
    </row>
    <row r="51" spans="3:3">
      <c r="C51" s="187"/>
    </row>
    <row r="52" spans="3:3">
      <c r="C52" s="187"/>
    </row>
    <row r="53" spans="3:3">
      <c r="C53" s="187"/>
    </row>
  </sheetData>
  <mergeCells count="5">
    <mergeCell ref="A1:C1"/>
    <mergeCell ref="A2:C2"/>
    <mergeCell ref="A4:C4"/>
    <mergeCell ref="A6:C6"/>
    <mergeCell ref="A3:C3"/>
  </mergeCells>
  <pageMargins left="0.75" right="0.75" top="1" bottom="1" header="0.5" footer="0.5"/>
  <pageSetup scale="71" orientation="portrait" horizontalDpi="4294967293" r:id="rId1"/>
  <headerFooter alignWithMargins="0">
    <oddFooter>&amp;L&amp;Z&amp;F
&amp;D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2"/>
  <sheetViews>
    <sheetView showGridLines="0" zoomScaleNormal="100" workbookViewId="0">
      <selection sqref="A1:G1"/>
    </sheetView>
  </sheetViews>
  <sheetFormatPr defaultColWidth="8.88671875" defaultRowHeight="12.75"/>
  <cols>
    <col min="1" max="1" width="5.21875" style="148" customWidth="1"/>
    <col min="2" max="2" width="22.77734375" style="148" customWidth="1"/>
    <col min="3" max="7" width="12.21875" style="148" customWidth="1"/>
    <col min="8" max="16384" width="8.88671875" style="148"/>
  </cols>
  <sheetData>
    <row r="1" spans="1:7" ht="20.25" customHeight="1">
      <c r="A1" s="413" t="str">
        <f>+'412BS'!A1:F1</f>
        <v>Blue Earth, MN</v>
      </c>
      <c r="B1" s="413"/>
      <c r="C1" s="413"/>
      <c r="D1" s="413"/>
      <c r="E1" s="413"/>
      <c r="F1" s="413"/>
      <c r="G1" s="413"/>
    </row>
    <row r="2" spans="1:7" ht="15">
      <c r="A2" s="414" t="s">
        <v>408</v>
      </c>
      <c r="B2" s="414"/>
      <c r="C2" s="414"/>
      <c r="D2" s="414"/>
      <c r="E2" s="414"/>
      <c r="F2" s="414"/>
      <c r="G2" s="414"/>
    </row>
    <row r="3" spans="1:7" ht="15">
      <c r="A3" s="414" t="s">
        <v>456</v>
      </c>
      <c r="B3" s="414"/>
      <c r="C3" s="414"/>
      <c r="D3" s="414"/>
      <c r="E3" s="414"/>
      <c r="F3" s="414"/>
      <c r="G3" s="414"/>
    </row>
    <row r="4" spans="1:7" ht="15.75">
      <c r="A4" s="415">
        <f>+'412BS'!A4:F4</f>
        <v>43100</v>
      </c>
      <c r="B4" s="415"/>
      <c r="C4" s="415"/>
      <c r="D4" s="415"/>
      <c r="E4" s="415"/>
      <c r="F4" s="415"/>
      <c r="G4" s="415"/>
    </row>
    <row r="5" spans="1:7">
      <c r="A5" s="203"/>
      <c r="B5" s="203"/>
      <c r="C5" s="203"/>
    </row>
    <row r="6" spans="1:7" ht="15">
      <c r="A6" s="416" t="s">
        <v>400</v>
      </c>
      <c r="B6" s="416"/>
      <c r="C6" s="416"/>
      <c r="D6" s="416"/>
      <c r="E6" s="416"/>
      <c r="F6" s="416"/>
      <c r="G6" s="416"/>
    </row>
    <row r="7" spans="1:7">
      <c r="A7" s="185" t="s">
        <v>4</v>
      </c>
      <c r="B7" s="199"/>
      <c r="C7" s="199" t="s">
        <v>455</v>
      </c>
      <c r="D7" s="199"/>
      <c r="E7" s="199"/>
      <c r="F7" s="199"/>
      <c r="G7" s="199" t="s">
        <v>454</v>
      </c>
    </row>
    <row r="8" spans="1:7">
      <c r="A8" s="162" t="s">
        <v>6</v>
      </c>
      <c r="B8" s="158"/>
      <c r="C8" s="158" t="s">
        <v>450</v>
      </c>
      <c r="D8" s="158" t="s">
        <v>453</v>
      </c>
      <c r="E8" s="158" t="s">
        <v>452</v>
      </c>
      <c r="F8" s="158" t="s">
        <v>451</v>
      </c>
      <c r="G8" s="158" t="s">
        <v>450</v>
      </c>
    </row>
    <row r="9" spans="1:7" ht="20.100000000000001" customHeight="1">
      <c r="A9" s="160">
        <v>1</v>
      </c>
      <c r="B9" s="172" t="s">
        <v>449</v>
      </c>
      <c r="C9" s="217">
        <v>0</v>
      </c>
      <c r="D9" s="217">
        <v>0</v>
      </c>
      <c r="E9" s="217">
        <v>0</v>
      </c>
      <c r="F9" s="217">
        <v>0</v>
      </c>
      <c r="G9" s="215">
        <f>+C9+D9+E9-F9</f>
        <v>0</v>
      </c>
    </row>
    <row r="10" spans="1:7" ht="12.75" customHeight="1">
      <c r="A10" s="160"/>
      <c r="B10" s="172"/>
      <c r="C10" s="216"/>
      <c r="D10" s="216"/>
      <c r="E10" s="216"/>
      <c r="F10" s="216"/>
      <c r="G10" s="215"/>
    </row>
    <row r="11" spans="1:7" ht="20.100000000000001" customHeight="1">
      <c r="A11" s="160">
        <v>2</v>
      </c>
      <c r="B11" s="172" t="s">
        <v>448</v>
      </c>
      <c r="C11" s="213">
        <v>0</v>
      </c>
      <c r="D11" s="213">
        <v>0</v>
      </c>
      <c r="E11" s="213">
        <v>0</v>
      </c>
      <c r="F11" s="213"/>
      <c r="G11" s="212">
        <f>+C11+D11-E11-F11</f>
        <v>0</v>
      </c>
    </row>
    <row r="12" spans="1:7" ht="20.100000000000001" customHeight="1">
      <c r="A12" s="160">
        <v>3</v>
      </c>
      <c r="B12" s="172" t="s">
        <v>447</v>
      </c>
      <c r="C12" s="213">
        <v>0</v>
      </c>
      <c r="D12" s="213">
        <v>0</v>
      </c>
      <c r="E12" s="213">
        <v>0</v>
      </c>
      <c r="F12" s="213">
        <v>0</v>
      </c>
      <c r="G12" s="212">
        <f>+C12+D12-E12-F12</f>
        <v>0</v>
      </c>
    </row>
    <row r="13" spans="1:7" ht="20.100000000000001" customHeight="1">
      <c r="A13" s="160">
        <v>4</v>
      </c>
      <c r="B13" s="172" t="s">
        <v>446</v>
      </c>
      <c r="C13" s="213">
        <v>0</v>
      </c>
      <c r="D13" s="213">
        <v>0</v>
      </c>
      <c r="E13" s="213">
        <v>0</v>
      </c>
      <c r="F13" s="213">
        <v>0</v>
      </c>
      <c r="G13" s="212">
        <f>+C13+D13-E13-F13</f>
        <v>0</v>
      </c>
    </row>
    <row r="14" spans="1:7" ht="20.100000000000001" customHeight="1" thickBot="1">
      <c r="A14" s="160">
        <v>5</v>
      </c>
      <c r="B14" s="172" t="s">
        <v>445</v>
      </c>
      <c r="C14" s="209">
        <f>S1_Plant!C7</f>
        <v>5608025.4400000004</v>
      </c>
      <c r="D14" s="209">
        <f>S1_Plant!D7</f>
        <v>11905</v>
      </c>
      <c r="E14" s="209">
        <f>S1_Plant!E7</f>
        <v>0</v>
      </c>
      <c r="F14" s="209"/>
      <c r="G14" s="212">
        <f>+C14+D14-E14-F14</f>
        <v>5619930.4400000004</v>
      </c>
    </row>
    <row r="15" spans="1:7" ht="20.100000000000001" customHeight="1" thickBot="1">
      <c r="A15" s="160">
        <v>6</v>
      </c>
      <c r="B15" s="159" t="s">
        <v>444</v>
      </c>
      <c r="C15" s="207">
        <f>SUM(C11:C14)</f>
        <v>5608025.4400000004</v>
      </c>
      <c r="D15" s="206">
        <f>SUM(D11:D14)</f>
        <v>11905</v>
      </c>
      <c r="E15" s="206">
        <f>SUM(E11:E14)</f>
        <v>0</v>
      </c>
      <c r="F15" s="206">
        <f>SUM(F11:F14)</f>
        <v>0</v>
      </c>
      <c r="G15" s="188">
        <f>+C15+D15-E15-F15</f>
        <v>5619930.4400000004</v>
      </c>
    </row>
    <row r="16" spans="1:7" ht="12" customHeight="1">
      <c r="A16" s="160"/>
      <c r="B16" s="211"/>
      <c r="C16" s="214"/>
      <c r="D16" s="214"/>
      <c r="E16" s="214"/>
      <c r="F16" s="214"/>
      <c r="G16" s="214"/>
    </row>
    <row r="17" spans="1:8" ht="20.100000000000001" customHeight="1">
      <c r="A17" s="160">
        <v>7</v>
      </c>
      <c r="B17" s="172" t="s">
        <v>443</v>
      </c>
      <c r="C17" s="213">
        <f>S1_Plant!C8-S1_Plant!C19</f>
        <v>3267571.99</v>
      </c>
      <c r="D17" s="213">
        <f>S1_Plant!D8</f>
        <v>31285.15</v>
      </c>
      <c r="E17" s="213">
        <f>S1_Plant!E8</f>
        <v>0</v>
      </c>
      <c r="F17" s="213">
        <v>0</v>
      </c>
      <c r="G17" s="212">
        <f>+C17+D17-E17-F17</f>
        <v>3298857.14</v>
      </c>
    </row>
    <row r="18" spans="1:8" ht="20.100000000000001" customHeight="1">
      <c r="A18" s="160">
        <v>8</v>
      </c>
      <c r="B18" s="172" t="s">
        <v>442</v>
      </c>
      <c r="C18" s="213">
        <f>S1_Plant!C9</f>
        <v>9480064.9199999999</v>
      </c>
      <c r="D18" s="213">
        <f>S1_Plant!D9</f>
        <v>47435.13</v>
      </c>
      <c r="E18" s="213">
        <f>S1_Plant!E9</f>
        <v>0</v>
      </c>
      <c r="F18" s="213">
        <v>0</v>
      </c>
      <c r="G18" s="212">
        <f>+C18+D18-E18-F18</f>
        <v>9527500.0500000007</v>
      </c>
    </row>
    <row r="19" spans="1:8" ht="20.100000000000001" customHeight="1" thickBot="1">
      <c r="A19" s="160">
        <v>9</v>
      </c>
      <c r="B19" s="172" t="s">
        <v>441</v>
      </c>
      <c r="C19" s="209">
        <f>S1_Plant!C10</f>
        <v>1636059.75</v>
      </c>
      <c r="D19" s="209">
        <f>S1_Plant!D10</f>
        <v>312345.84999999998</v>
      </c>
      <c r="E19" s="209">
        <f>S1_Plant!E10</f>
        <v>0</v>
      </c>
      <c r="F19" s="209">
        <v>0</v>
      </c>
      <c r="G19" s="212">
        <f>+C19+D19-E19-F19</f>
        <v>1948405.6</v>
      </c>
    </row>
    <row r="20" spans="1:8" ht="20.100000000000001" customHeight="1" thickBot="1">
      <c r="A20" s="160">
        <v>10</v>
      </c>
      <c r="B20" s="159" t="s">
        <v>440</v>
      </c>
      <c r="C20" s="207">
        <f>SUM(C15:C19)+C9</f>
        <v>19991722.100000001</v>
      </c>
      <c r="D20" s="207">
        <f>SUM(D15:D19)+D9</f>
        <v>402971.13</v>
      </c>
      <c r="E20" s="207">
        <f>SUM(E15:E19)+E9</f>
        <v>0</v>
      </c>
      <c r="F20" s="207">
        <f>SUM(F15:F19)+F9</f>
        <v>0</v>
      </c>
      <c r="G20" s="207">
        <f>SUM(G15:G19)+G9</f>
        <v>20394693.230000004</v>
      </c>
    </row>
    <row r="21" spans="1:8" ht="11.25" customHeight="1">
      <c r="A21" s="160"/>
      <c r="B21" s="211"/>
      <c r="C21" s="214"/>
      <c r="D21" s="214"/>
      <c r="E21" s="214"/>
      <c r="F21" s="214"/>
      <c r="G21" s="214"/>
    </row>
    <row r="22" spans="1:8" ht="20.100000000000001" customHeight="1">
      <c r="A22" s="160">
        <v>11</v>
      </c>
      <c r="B22" s="172" t="s">
        <v>439</v>
      </c>
      <c r="C22" s="213">
        <v>0</v>
      </c>
      <c r="D22" s="213">
        <v>0</v>
      </c>
      <c r="E22" s="213">
        <v>0</v>
      </c>
      <c r="F22" s="213">
        <v>0</v>
      </c>
      <c r="G22" s="212">
        <f>+C22+D22-E22-F22</f>
        <v>0</v>
      </c>
    </row>
    <row r="23" spans="1:8" ht="20.100000000000001" customHeight="1">
      <c r="A23" s="160">
        <v>12</v>
      </c>
      <c r="B23" s="172" t="s">
        <v>438</v>
      </c>
      <c r="C23" s="213">
        <f>S1_Plant!C19</f>
        <v>100000</v>
      </c>
      <c r="D23" s="213">
        <v>0</v>
      </c>
      <c r="E23" s="213">
        <v>0</v>
      </c>
      <c r="F23" s="213">
        <v>0</v>
      </c>
      <c r="G23" s="212">
        <f>+C23+D23-E23-F23</f>
        <v>100000</v>
      </c>
    </row>
    <row r="24" spans="1:8" ht="20.100000000000001" customHeight="1" thickBot="1">
      <c r="A24" s="160">
        <v>13</v>
      </c>
      <c r="B24" s="172" t="s">
        <v>437</v>
      </c>
      <c r="C24" s="209">
        <v>0</v>
      </c>
      <c r="D24" s="209">
        <v>0</v>
      </c>
      <c r="E24" s="209">
        <v>0</v>
      </c>
      <c r="F24" s="209">
        <v>0</v>
      </c>
      <c r="G24" s="212">
        <f>+C24+D24-E24-F24</f>
        <v>0</v>
      </c>
    </row>
    <row r="25" spans="1:8" ht="20.100000000000001" customHeight="1" thickBot="1">
      <c r="A25" s="160">
        <v>14</v>
      </c>
      <c r="B25" s="159" t="s">
        <v>398</v>
      </c>
      <c r="C25" s="207">
        <f>SUM(C20:C24)</f>
        <v>20091722.100000001</v>
      </c>
      <c r="D25" s="206">
        <f>SUM(D20:D24)</f>
        <v>402971.13</v>
      </c>
      <c r="E25" s="206">
        <f>SUM(E20:E24)</f>
        <v>0</v>
      </c>
      <c r="F25" s="206">
        <f>SUM(F20:F24)</f>
        <v>0</v>
      </c>
      <c r="G25" s="188">
        <f>+C25+D25-E25-F25</f>
        <v>20494693.23</v>
      </c>
    </row>
    <row r="26" spans="1:8" ht="11.25" customHeight="1">
      <c r="A26" s="160"/>
      <c r="B26" s="211"/>
      <c r="C26" s="210"/>
      <c r="D26" s="210"/>
      <c r="E26" s="210"/>
      <c r="F26" s="210"/>
      <c r="G26" s="210"/>
    </row>
    <row r="27" spans="1:8" ht="20.100000000000001" customHeight="1" thickBot="1">
      <c r="A27" s="160">
        <v>15</v>
      </c>
      <c r="B27" s="172" t="s">
        <v>436</v>
      </c>
      <c r="C27" s="209">
        <f>S1_Plant!C12</f>
        <v>0</v>
      </c>
      <c r="D27" s="209">
        <f>S1_Plant!D12</f>
        <v>0</v>
      </c>
      <c r="E27" s="209">
        <f>S1_Plant!E12</f>
        <v>0</v>
      </c>
      <c r="F27" s="209">
        <v>0</v>
      </c>
      <c r="G27" s="208">
        <f>+C27+D27-E27-F27</f>
        <v>0</v>
      </c>
    </row>
    <row r="28" spans="1:8" ht="20.100000000000001" customHeight="1" thickBot="1">
      <c r="A28" s="160">
        <v>16</v>
      </c>
      <c r="B28" s="159" t="s">
        <v>435</v>
      </c>
      <c r="C28" s="207">
        <f>SUM(C25:C27)</f>
        <v>20091722.100000001</v>
      </c>
      <c r="D28" s="206">
        <f>SUM(D25:D27)</f>
        <v>402971.13</v>
      </c>
      <c r="E28" s="206">
        <f>SUM(E25:E27)</f>
        <v>0</v>
      </c>
      <c r="F28" s="206">
        <f>SUM(F25:F27)</f>
        <v>0</v>
      </c>
      <c r="G28" s="188">
        <f>+C28+D28-E28-F28</f>
        <v>20494693.23</v>
      </c>
      <c r="H28" s="318" t="s">
        <v>559</v>
      </c>
    </row>
    <row r="29" spans="1:8" ht="20.100000000000001" customHeight="1">
      <c r="B29" s="148" t="s">
        <v>434</v>
      </c>
      <c r="G29" s="187"/>
    </row>
    <row r="31" spans="1:8">
      <c r="G31" s="187"/>
    </row>
    <row r="32" spans="1:8">
      <c r="G32" s="187" t="s">
        <v>2</v>
      </c>
    </row>
  </sheetData>
  <mergeCells count="5">
    <mergeCell ref="A1:G1"/>
    <mergeCell ref="A2:G2"/>
    <mergeCell ref="A4:G4"/>
    <mergeCell ref="A6:G6"/>
    <mergeCell ref="A3:G3"/>
  </mergeCells>
  <pageMargins left="0.5" right="0.5" top="0.75" bottom="0.5" header="0.5" footer="0.5"/>
  <pageSetup scale="98" orientation="landscape" horizontalDpi="4294967293"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37"/>
  <sheetViews>
    <sheetView showGridLines="0" zoomScaleNormal="100" workbookViewId="0">
      <selection sqref="A1:F1"/>
    </sheetView>
  </sheetViews>
  <sheetFormatPr defaultColWidth="8.88671875" defaultRowHeight="12.75"/>
  <cols>
    <col min="1" max="1" width="5.21875" style="148" customWidth="1"/>
    <col min="2" max="2" width="23" style="148" customWidth="1"/>
    <col min="3" max="6" width="12.21875" style="148" customWidth="1"/>
    <col min="7" max="16384" width="8.88671875" style="148"/>
  </cols>
  <sheetData>
    <row r="1" spans="1:7" ht="15.75">
      <c r="A1" s="413" t="str">
        <f>+'412BS'!A1:F1</f>
        <v>Blue Earth, MN</v>
      </c>
      <c r="B1" s="413"/>
      <c r="C1" s="413"/>
      <c r="D1" s="413"/>
      <c r="E1" s="413"/>
      <c r="F1" s="413"/>
      <c r="G1" s="240"/>
    </row>
    <row r="2" spans="1:7" ht="15">
      <c r="A2" s="414" t="s">
        <v>408</v>
      </c>
      <c r="B2" s="414"/>
      <c r="C2" s="414"/>
      <c r="D2" s="414"/>
      <c r="E2" s="414"/>
      <c r="F2" s="414"/>
      <c r="G2" s="240"/>
    </row>
    <row r="3" spans="1:7" ht="15">
      <c r="A3" s="414" t="s">
        <v>492</v>
      </c>
      <c r="B3" s="414"/>
      <c r="C3" s="414"/>
      <c r="D3" s="414"/>
      <c r="E3" s="414"/>
      <c r="F3" s="414"/>
      <c r="G3" s="240"/>
    </row>
    <row r="4" spans="1:7" ht="15.75">
      <c r="A4" s="415">
        <f>+'412BS'!A4:F4</f>
        <v>43100</v>
      </c>
      <c r="B4" s="415"/>
      <c r="C4" s="415"/>
      <c r="D4" s="415"/>
      <c r="E4" s="415"/>
      <c r="F4" s="415"/>
      <c r="G4" s="239"/>
    </row>
    <row r="6" spans="1:7">
      <c r="A6" s="417" t="s">
        <v>491</v>
      </c>
      <c r="B6" s="417"/>
      <c r="C6" s="417"/>
      <c r="D6" s="417"/>
      <c r="E6" s="417"/>
      <c r="F6" s="417"/>
    </row>
    <row r="7" spans="1:7">
      <c r="A7" s="185" t="s">
        <v>4</v>
      </c>
      <c r="B7" s="176"/>
      <c r="C7" s="176" t="s">
        <v>490</v>
      </c>
      <c r="D7" s="176" t="s">
        <v>489</v>
      </c>
      <c r="E7" s="176" t="s">
        <v>488</v>
      </c>
      <c r="F7" s="176" t="s">
        <v>487</v>
      </c>
    </row>
    <row r="8" spans="1:7">
      <c r="A8" s="162" t="s">
        <v>403</v>
      </c>
      <c r="B8" s="158"/>
      <c r="C8" s="176" t="s">
        <v>486</v>
      </c>
      <c r="D8" s="158" t="s">
        <v>485</v>
      </c>
      <c r="E8" s="158" t="s">
        <v>484</v>
      </c>
      <c r="F8" s="158" t="s">
        <v>9</v>
      </c>
    </row>
    <row r="9" spans="1:7">
      <c r="A9" s="155">
        <v>1</v>
      </c>
      <c r="B9" s="149" t="s">
        <v>483</v>
      </c>
      <c r="C9" s="238"/>
      <c r="D9" s="224"/>
      <c r="E9" s="224"/>
      <c r="F9" s="224"/>
    </row>
    <row r="10" spans="1:7">
      <c r="A10" s="167"/>
      <c r="B10" s="235" t="s">
        <v>482</v>
      </c>
      <c r="C10" s="182">
        <v>0</v>
      </c>
      <c r="D10" s="237">
        <v>0</v>
      </c>
      <c r="E10" s="237">
        <v>0</v>
      </c>
      <c r="F10" s="236">
        <f>SUM(C10:E10)</f>
        <v>0</v>
      </c>
    </row>
    <row r="11" spans="1:7">
      <c r="A11" s="167">
        <v>2</v>
      </c>
      <c r="B11" s="235" t="s">
        <v>481</v>
      </c>
      <c r="C11" s="166">
        <v>0</v>
      </c>
      <c r="D11" s="192">
        <v>0</v>
      </c>
      <c r="E11" s="192">
        <v>0</v>
      </c>
      <c r="F11" s="232">
        <f>SUM(C11:E11)</f>
        <v>0</v>
      </c>
    </row>
    <row r="12" spans="1:7">
      <c r="A12" s="155">
        <v>3</v>
      </c>
      <c r="B12" s="149" t="s">
        <v>480</v>
      </c>
      <c r="C12" s="161"/>
      <c r="D12" s="191"/>
      <c r="E12" s="191"/>
      <c r="F12" s="229"/>
    </row>
    <row r="13" spans="1:7">
      <c r="A13" s="167"/>
      <c r="B13" s="223" t="s">
        <v>479</v>
      </c>
      <c r="C13" s="334">
        <v>0</v>
      </c>
      <c r="D13" s="337">
        <v>0</v>
      </c>
      <c r="E13" s="337">
        <v>0</v>
      </c>
      <c r="F13" s="232">
        <f>SUM(C13:E13)</f>
        <v>0</v>
      </c>
    </row>
    <row r="14" spans="1:7">
      <c r="A14" s="169">
        <v>4</v>
      </c>
      <c r="B14" s="234" t="s">
        <v>478</v>
      </c>
      <c r="C14" s="335"/>
      <c r="D14" s="338"/>
      <c r="E14" s="338"/>
      <c r="F14" s="229"/>
    </row>
    <row r="15" spans="1:7">
      <c r="A15" s="167"/>
      <c r="B15" s="233" t="s">
        <v>477</v>
      </c>
      <c r="C15" s="334">
        <v>3059</v>
      </c>
      <c r="D15" s="337">
        <v>0</v>
      </c>
      <c r="E15" s="337">
        <v>0</v>
      </c>
      <c r="F15" s="232">
        <f>SUM(C15:E15)</f>
        <v>3059</v>
      </c>
    </row>
    <row r="16" spans="1:7">
      <c r="A16" s="173">
        <v>5</v>
      </c>
      <c r="B16" s="231" t="s">
        <v>476</v>
      </c>
      <c r="C16" s="408">
        <f>2575872+233820</f>
        <v>2809692</v>
      </c>
      <c r="D16" s="339">
        <v>0</v>
      </c>
      <c r="E16" s="339">
        <v>0</v>
      </c>
      <c r="F16" s="230">
        <f>SUM(C16:E16)</f>
        <v>2809692</v>
      </c>
    </row>
    <row r="17" spans="1:7">
      <c r="A17" s="155">
        <v>6</v>
      </c>
      <c r="B17" s="149" t="s">
        <v>475</v>
      </c>
      <c r="C17" s="335"/>
      <c r="D17" s="338"/>
      <c r="E17" s="338"/>
      <c r="F17" s="229"/>
    </row>
    <row r="18" spans="1:7" ht="13.5" thickBot="1">
      <c r="A18" s="167"/>
      <c r="B18" s="223" t="s">
        <v>474</v>
      </c>
      <c r="C18" s="335">
        <v>0</v>
      </c>
      <c r="D18" s="338">
        <f>ProductionLabor+19431.58</f>
        <v>41420.68</v>
      </c>
      <c r="E18" s="338">
        <v>0</v>
      </c>
      <c r="F18" s="229">
        <f>SUM(C18:E18)</f>
        <v>41420.68</v>
      </c>
    </row>
    <row r="19" spans="1:7" ht="13.5" thickBot="1">
      <c r="A19" s="172">
        <v>7</v>
      </c>
      <c r="B19" s="228" t="s">
        <v>473</v>
      </c>
      <c r="C19" s="340">
        <f>SUM(C10:C18)</f>
        <v>2812751</v>
      </c>
      <c r="D19" s="341">
        <f>SUM(D10:D18)</f>
        <v>41420.68</v>
      </c>
      <c r="E19" s="341">
        <f>SUM(E10:E18)</f>
        <v>0</v>
      </c>
      <c r="F19" s="221">
        <f>SUM(C19:E19)</f>
        <v>2854171.68</v>
      </c>
    </row>
    <row r="20" spans="1:7">
      <c r="A20" s="155">
        <v>8</v>
      </c>
      <c r="B20" s="186" t="s">
        <v>472</v>
      </c>
      <c r="C20" s="342"/>
      <c r="D20" s="342"/>
      <c r="E20" s="342"/>
      <c r="F20" s="224"/>
    </row>
    <row r="21" spans="1:7" ht="15">
      <c r="A21" s="167"/>
      <c r="B21" s="226" t="s">
        <v>471</v>
      </c>
      <c r="C21" s="343" t="s">
        <v>462</v>
      </c>
      <c r="D21" s="343">
        <f>+S4_TransOM!C25</f>
        <v>861885</v>
      </c>
      <c r="E21" s="337">
        <f>+S4_TransOM!C38</f>
        <v>44491.15</v>
      </c>
      <c r="F21" s="225">
        <f>SUM(D21:E21)</f>
        <v>906376.15</v>
      </c>
      <c r="G21" s="148" t="s">
        <v>2</v>
      </c>
    </row>
    <row r="22" spans="1:7" ht="15">
      <c r="A22" s="155">
        <v>9</v>
      </c>
      <c r="B22" s="186" t="s">
        <v>470</v>
      </c>
      <c r="C22" s="344"/>
      <c r="D22" s="338"/>
      <c r="E22" s="338"/>
      <c r="F22" s="227"/>
    </row>
    <row r="23" spans="1:7" ht="15">
      <c r="A23" s="167"/>
      <c r="B23" s="226" t="s">
        <v>469</v>
      </c>
      <c r="C23" s="343" t="s">
        <v>462</v>
      </c>
      <c r="D23" s="337">
        <f>DistributionLabor</f>
        <v>268108</v>
      </c>
      <c r="E23" s="337">
        <v>88245.1</v>
      </c>
      <c r="F23" s="225">
        <f>+D23+E23</f>
        <v>356353.1</v>
      </c>
    </row>
    <row r="24" spans="1:7" ht="15">
      <c r="A24" s="155">
        <v>10</v>
      </c>
      <c r="B24" s="186" t="s">
        <v>468</v>
      </c>
      <c r="C24" s="344"/>
      <c r="D24" s="338"/>
      <c r="E24" s="338"/>
      <c r="F24" s="227"/>
    </row>
    <row r="25" spans="1:7" ht="15">
      <c r="A25" s="167"/>
      <c r="B25" s="226" t="s">
        <v>467</v>
      </c>
      <c r="C25" s="343" t="s">
        <v>462</v>
      </c>
      <c r="D25" s="337">
        <v>5325</v>
      </c>
      <c r="E25" s="337">
        <v>0</v>
      </c>
      <c r="F25" s="225">
        <f>+D25+E25</f>
        <v>5325</v>
      </c>
    </row>
    <row r="26" spans="1:7" ht="15">
      <c r="A26" s="155">
        <v>11</v>
      </c>
      <c r="B26" s="186" t="s">
        <v>466</v>
      </c>
      <c r="C26" s="344"/>
      <c r="D26" s="338"/>
      <c r="E26" s="338"/>
      <c r="F26" s="227"/>
    </row>
    <row r="27" spans="1:7" ht="15">
      <c r="A27" s="167"/>
      <c r="B27" s="226" t="s">
        <v>465</v>
      </c>
      <c r="C27" s="343" t="s">
        <v>462</v>
      </c>
      <c r="D27" s="337">
        <f>+OtherLabor+29298.2+238.55+6949.86</f>
        <v>98748.31</v>
      </c>
      <c r="E27" s="337">
        <v>0</v>
      </c>
      <c r="F27" s="225">
        <f>+D27+E27</f>
        <v>98748.31</v>
      </c>
    </row>
    <row r="28" spans="1:7" ht="15">
      <c r="A28" s="172">
        <v>12</v>
      </c>
      <c r="B28" s="198" t="s">
        <v>464</v>
      </c>
      <c r="C28" s="345" t="s">
        <v>462</v>
      </c>
      <c r="D28" s="339">
        <v>0</v>
      </c>
      <c r="E28" s="339">
        <v>0</v>
      </c>
      <c r="F28" s="225">
        <f>+D28+E28</f>
        <v>0</v>
      </c>
    </row>
    <row r="29" spans="1:7" ht="15">
      <c r="A29" s="172">
        <v>13</v>
      </c>
      <c r="B29" s="198" t="s">
        <v>463</v>
      </c>
      <c r="C29" s="345" t="s">
        <v>462</v>
      </c>
      <c r="D29" s="339">
        <f>AdminGeneralTotal</f>
        <v>668924.26000000013</v>
      </c>
      <c r="E29" s="339">
        <v>0</v>
      </c>
      <c r="F29" s="225">
        <f>+D29+E29</f>
        <v>668924.26000000013</v>
      </c>
    </row>
    <row r="30" spans="1:7" ht="13.5" thickBot="1">
      <c r="A30" s="155">
        <v>14</v>
      </c>
      <c r="B30" s="186" t="s">
        <v>461</v>
      </c>
      <c r="C30" s="346"/>
      <c r="D30" s="342"/>
      <c r="E30" s="342"/>
      <c r="F30" s="224"/>
    </row>
    <row r="31" spans="1:7" ht="13.5" thickBot="1">
      <c r="A31" s="167"/>
      <c r="B31" s="223" t="s">
        <v>460</v>
      </c>
      <c r="C31" s="207" t="s">
        <v>459</v>
      </c>
      <c r="D31" s="222">
        <f>SUM(D19:D29)</f>
        <v>1944411.2500000005</v>
      </c>
      <c r="E31" s="222">
        <f>SUM(E19:E29)</f>
        <v>132736.25</v>
      </c>
      <c r="F31" s="221">
        <f>SUM(F19:F30)</f>
        <v>4889898.5</v>
      </c>
    </row>
    <row r="32" spans="1:7">
      <c r="C32" s="187"/>
      <c r="D32" s="187"/>
      <c r="E32" s="187"/>
      <c r="F32" s="187"/>
    </row>
    <row r="33" spans="2:6">
      <c r="B33" s="418" t="s">
        <v>458</v>
      </c>
      <c r="C33" s="419"/>
      <c r="D33" s="347">
        <v>12</v>
      </c>
      <c r="E33" s="187"/>
      <c r="F33" s="187"/>
    </row>
    <row r="34" spans="2:6">
      <c r="B34" s="220" t="s">
        <v>457</v>
      </c>
      <c r="C34" s="219"/>
      <c r="D34" s="218">
        <v>0</v>
      </c>
      <c r="E34" s="187"/>
      <c r="F34" s="401"/>
    </row>
    <row r="35" spans="2:6">
      <c r="C35" s="187"/>
      <c r="D35" s="187"/>
      <c r="E35" s="187"/>
      <c r="F35" s="187"/>
    </row>
    <row r="37" spans="2:6">
      <c r="C37" s="333"/>
      <c r="D37" s="333"/>
      <c r="E37" s="333"/>
    </row>
  </sheetData>
  <mergeCells count="6">
    <mergeCell ref="A6:F6"/>
    <mergeCell ref="B33:C33"/>
    <mergeCell ref="A1:F1"/>
    <mergeCell ref="A2:F2"/>
    <mergeCell ref="A4:F4"/>
    <mergeCell ref="A3:F3"/>
  </mergeCells>
  <pageMargins left="0.75" right="0.75" top="1" bottom="1" header="0.5" footer="0.5"/>
  <pageSetup scale="56" orientation="portrait"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2"/>
  <sheetViews>
    <sheetView showGridLines="0" zoomScaleNormal="100" workbookViewId="0"/>
  </sheetViews>
  <sheetFormatPr defaultColWidth="8.88671875" defaultRowHeight="12.75"/>
  <cols>
    <col min="1" max="1" width="3.44140625" style="148" customWidth="1"/>
    <col min="2" max="16384" width="8.88671875" style="148"/>
  </cols>
  <sheetData>
    <row r="1" spans="1:11" ht="15.75">
      <c r="B1" s="413" t="str">
        <f>EntityName</f>
        <v>Blue Earth, MN</v>
      </c>
      <c r="C1" s="413"/>
      <c r="D1" s="413"/>
      <c r="E1" s="413"/>
      <c r="F1" s="413"/>
      <c r="G1" s="413"/>
    </row>
    <row r="2" spans="1:11" ht="15">
      <c r="B2" s="414" t="s">
        <v>408</v>
      </c>
      <c r="C2" s="414"/>
      <c r="D2" s="414"/>
      <c r="E2" s="414"/>
      <c r="F2" s="414"/>
      <c r="G2" s="414"/>
    </row>
    <row r="3" spans="1:11" ht="15">
      <c r="B3" s="414" t="s">
        <v>496</v>
      </c>
      <c r="C3" s="414"/>
      <c r="D3" s="414"/>
      <c r="E3" s="414"/>
      <c r="F3" s="414"/>
      <c r="G3" s="414"/>
    </row>
    <row r="4" spans="1:11" ht="15.75">
      <c r="B4" s="415">
        <f>FilingDate</f>
        <v>43100</v>
      </c>
      <c r="C4" s="415"/>
      <c r="D4" s="415"/>
      <c r="E4" s="415"/>
      <c r="F4" s="415"/>
      <c r="G4" s="415"/>
    </row>
    <row r="5" spans="1:11" ht="15.75">
      <c r="B5" s="242"/>
      <c r="C5" s="242"/>
      <c r="D5" s="242"/>
      <c r="E5" s="242"/>
      <c r="F5" s="242"/>
      <c r="G5" s="242"/>
    </row>
    <row r="6" spans="1:11" ht="18" customHeight="1">
      <c r="B6" s="281" t="s">
        <v>547</v>
      </c>
      <c r="D6" s="310"/>
      <c r="E6" s="310"/>
      <c r="F6" s="310"/>
      <c r="G6" s="310"/>
      <c r="H6" s="311" t="str">
        <f>EntityName</f>
        <v>Blue Earth, MN</v>
      </c>
      <c r="I6" s="312"/>
      <c r="J6" s="241"/>
    </row>
    <row r="7" spans="1:11" ht="18" customHeight="1">
      <c r="A7" s="323">
        <v>1</v>
      </c>
      <c r="B7" s="278" t="s">
        <v>548</v>
      </c>
      <c r="C7" s="278"/>
      <c r="D7" s="278"/>
      <c r="E7" s="278"/>
      <c r="F7" s="278"/>
      <c r="G7" s="278"/>
      <c r="H7" s="278"/>
      <c r="I7" s="278"/>
      <c r="J7" s="278"/>
      <c r="K7" s="280"/>
    </row>
    <row r="8" spans="1:11" ht="18" customHeight="1">
      <c r="A8" s="323"/>
      <c r="B8" s="278" t="s">
        <v>549</v>
      </c>
      <c r="C8" s="278"/>
      <c r="D8" s="278"/>
      <c r="E8" s="278"/>
      <c r="F8" s="278"/>
      <c r="G8" s="278"/>
      <c r="H8" s="278"/>
      <c r="I8" s="278"/>
      <c r="J8" s="278"/>
      <c r="K8" s="280"/>
    </row>
    <row r="9" spans="1:11" ht="18" customHeight="1">
      <c r="A9" s="323"/>
      <c r="B9" s="278" t="s">
        <v>494</v>
      </c>
      <c r="C9" s="278"/>
      <c r="D9" s="278"/>
      <c r="E9" s="278"/>
      <c r="F9" s="278"/>
      <c r="G9" s="278"/>
      <c r="H9" s="278"/>
      <c r="I9" s="278"/>
      <c r="J9" s="278"/>
      <c r="K9" s="280"/>
    </row>
    <row r="10" spans="1:11" ht="18" customHeight="1">
      <c r="A10" s="323">
        <v>2</v>
      </c>
      <c r="B10" s="278" t="s">
        <v>550</v>
      </c>
      <c r="C10" s="278"/>
      <c r="D10" s="278"/>
      <c r="E10" s="278"/>
      <c r="F10" s="278"/>
      <c r="G10" s="278"/>
      <c r="H10" s="278"/>
      <c r="I10" s="278"/>
      <c r="J10" s="278"/>
      <c r="K10" s="280"/>
    </row>
    <row r="11" spans="1:11" ht="18" customHeight="1">
      <c r="A11" s="323"/>
      <c r="B11" s="278" t="s">
        <v>571</v>
      </c>
      <c r="C11" s="278"/>
      <c r="D11" s="278"/>
      <c r="E11" s="278"/>
      <c r="F11" s="278"/>
      <c r="G11" s="278"/>
      <c r="H11" s="278"/>
      <c r="I11" s="278"/>
      <c r="J11" s="278"/>
      <c r="K11" s="280"/>
    </row>
    <row r="12" spans="1:11" ht="18" customHeight="1">
      <c r="A12" s="323"/>
      <c r="B12" s="278" t="s">
        <v>551</v>
      </c>
      <c r="C12" s="278"/>
      <c r="D12" s="278"/>
      <c r="E12" s="278"/>
      <c r="F12" s="278"/>
      <c r="G12" s="278"/>
      <c r="H12" s="278"/>
      <c r="I12" s="278"/>
      <c r="J12" s="278"/>
      <c r="K12" s="280"/>
    </row>
    <row r="13" spans="1:11" ht="18" customHeight="1">
      <c r="A13" s="323"/>
      <c r="B13" s="278" t="s">
        <v>494</v>
      </c>
      <c r="C13" s="278"/>
      <c r="D13" s="278"/>
      <c r="E13" s="278"/>
      <c r="F13" s="278"/>
      <c r="G13" s="278"/>
      <c r="H13" s="278"/>
      <c r="I13" s="278"/>
      <c r="J13" s="278"/>
      <c r="K13" s="280"/>
    </row>
    <row r="14" spans="1:11" ht="18" customHeight="1">
      <c r="A14" s="323">
        <v>3</v>
      </c>
      <c r="B14" s="278" t="s">
        <v>573</v>
      </c>
      <c r="C14" s="278"/>
      <c r="D14" s="278"/>
      <c r="E14" s="278"/>
      <c r="F14" s="278"/>
      <c r="G14" s="278"/>
      <c r="H14" s="278"/>
      <c r="I14" s="278"/>
      <c r="J14" s="278"/>
      <c r="K14" s="280"/>
    </row>
    <row r="15" spans="1:11" ht="18" customHeight="1">
      <c r="A15" s="323"/>
      <c r="B15" s="278" t="s">
        <v>494</v>
      </c>
      <c r="C15" s="278"/>
      <c r="D15" s="278"/>
      <c r="E15" s="278"/>
      <c r="F15" s="278"/>
      <c r="G15" s="278"/>
      <c r="H15" s="278"/>
      <c r="I15" s="278"/>
      <c r="J15" s="278"/>
      <c r="K15" s="280"/>
    </row>
    <row r="16" spans="1:11" ht="18" customHeight="1">
      <c r="A16" s="323">
        <v>4</v>
      </c>
      <c r="B16" s="278" t="s">
        <v>572</v>
      </c>
      <c r="C16" s="278"/>
      <c r="D16" s="278"/>
      <c r="E16" s="278"/>
      <c r="F16" s="278"/>
      <c r="G16" s="278"/>
      <c r="H16" s="278"/>
      <c r="I16" s="278"/>
      <c r="J16" s="278"/>
      <c r="K16" s="280"/>
    </row>
    <row r="17" spans="1:11" ht="18" customHeight="1">
      <c r="A17" s="323"/>
      <c r="B17" s="278" t="s">
        <v>494</v>
      </c>
      <c r="C17" s="278"/>
      <c r="D17" s="278"/>
      <c r="E17" s="278"/>
      <c r="F17" s="278"/>
      <c r="G17" s="278"/>
      <c r="H17" s="278"/>
      <c r="I17" s="278"/>
      <c r="J17" s="278"/>
      <c r="K17" s="280"/>
    </row>
    <row r="18" spans="1:11" ht="18" customHeight="1">
      <c r="A18" s="323">
        <v>5</v>
      </c>
      <c r="B18" s="278" t="s">
        <v>552</v>
      </c>
      <c r="C18" s="278"/>
      <c r="D18" s="278"/>
      <c r="E18" s="278"/>
      <c r="F18" s="278"/>
      <c r="G18" s="278"/>
      <c r="H18" s="278"/>
      <c r="I18" s="278"/>
      <c r="J18" s="278"/>
      <c r="K18" s="280"/>
    </row>
    <row r="19" spans="1:11" ht="18" customHeight="1">
      <c r="A19" s="323"/>
      <c r="B19" s="278" t="s">
        <v>553</v>
      </c>
      <c r="C19" s="278"/>
      <c r="D19" s="278"/>
      <c r="E19" s="278"/>
      <c r="F19" s="278"/>
      <c r="G19" s="278"/>
      <c r="H19" s="278"/>
      <c r="I19" s="278"/>
      <c r="J19" s="278"/>
      <c r="K19" s="280"/>
    </row>
    <row r="20" spans="1:11" ht="18" customHeight="1">
      <c r="A20" s="323"/>
      <c r="B20" s="278" t="s">
        <v>554</v>
      </c>
      <c r="C20" s="278"/>
      <c r="D20" s="278"/>
      <c r="E20" s="278"/>
      <c r="F20" s="278"/>
      <c r="G20" s="278"/>
      <c r="H20" s="278"/>
      <c r="I20" s="278"/>
      <c r="J20" s="278"/>
      <c r="K20" s="280"/>
    </row>
    <row r="21" spans="1:11" ht="18" customHeight="1">
      <c r="A21" s="323"/>
      <c r="B21" s="278" t="s">
        <v>495</v>
      </c>
      <c r="C21" s="278"/>
      <c r="D21" s="278"/>
      <c r="E21" s="278"/>
      <c r="F21" s="278"/>
      <c r="G21" s="278"/>
      <c r="H21" s="278"/>
      <c r="I21" s="278"/>
      <c r="J21" s="278"/>
      <c r="K21" s="280"/>
    </row>
    <row r="22" spans="1:11" ht="18" customHeight="1">
      <c r="A22" s="323"/>
      <c r="B22" s="278"/>
      <c r="C22" s="278"/>
      <c r="D22" s="278"/>
      <c r="E22" s="278"/>
      <c r="F22" s="278"/>
      <c r="G22" s="278"/>
      <c r="H22" s="278"/>
      <c r="I22" s="278"/>
      <c r="J22" s="278"/>
      <c r="K22" s="280"/>
    </row>
    <row r="23" spans="1:11" ht="18" customHeight="1">
      <c r="A23" s="323"/>
      <c r="B23" s="280"/>
      <c r="C23" s="280"/>
      <c r="D23" s="280"/>
      <c r="E23" s="280"/>
      <c r="F23" s="280"/>
      <c r="G23" s="280"/>
      <c r="H23" s="280"/>
      <c r="I23" s="280"/>
      <c r="J23" s="280"/>
      <c r="K23" s="280"/>
    </row>
    <row r="24" spans="1:11" ht="18" customHeight="1">
      <c r="A24" s="323"/>
      <c r="B24" s="321"/>
      <c r="C24" s="279"/>
      <c r="D24" s="279"/>
      <c r="E24" s="279"/>
      <c r="F24" s="279"/>
      <c r="G24" s="279"/>
      <c r="H24" s="279"/>
      <c r="I24" s="279"/>
      <c r="J24" s="279"/>
      <c r="K24" s="279"/>
    </row>
    <row r="25" spans="1:11" ht="18" customHeight="1">
      <c r="A25" s="325"/>
      <c r="B25" s="278"/>
      <c r="C25" s="279"/>
      <c r="D25" s="279"/>
      <c r="E25" s="279"/>
      <c r="F25" s="279"/>
      <c r="G25" s="279"/>
      <c r="H25" s="279"/>
      <c r="I25" s="279"/>
      <c r="J25" s="279"/>
      <c r="K25" s="279"/>
    </row>
    <row r="26" spans="1:11" ht="18" customHeight="1">
      <c r="A26" s="325"/>
      <c r="B26" s="278"/>
      <c r="C26" s="279"/>
      <c r="D26" s="279"/>
      <c r="E26" s="279"/>
      <c r="F26" s="279"/>
      <c r="G26" s="279"/>
      <c r="H26" s="279"/>
      <c r="I26" s="279"/>
      <c r="J26" s="279"/>
      <c r="K26" s="279"/>
    </row>
    <row r="27" spans="1:11" ht="18" customHeight="1">
      <c r="A27" s="325"/>
      <c r="B27" s="278"/>
      <c r="C27" s="279"/>
      <c r="D27" s="279"/>
      <c r="E27" s="279"/>
      <c r="F27" s="279"/>
      <c r="G27" s="279"/>
      <c r="H27" s="279"/>
      <c r="I27" s="279"/>
      <c r="J27" s="279"/>
      <c r="K27" s="279"/>
    </row>
    <row r="28" spans="1:11" ht="18" customHeight="1">
      <c r="A28" s="325"/>
      <c r="B28" s="278"/>
      <c r="C28" s="279"/>
      <c r="D28" s="279"/>
      <c r="E28" s="279"/>
      <c r="F28" s="279"/>
      <c r="G28" s="279"/>
      <c r="H28" s="279"/>
      <c r="I28" s="279"/>
      <c r="J28" s="279"/>
      <c r="K28" s="279"/>
    </row>
    <row r="29" spans="1:11" ht="18" customHeight="1"/>
    <row r="30" spans="1:11" ht="18" customHeight="1"/>
    <row r="31" spans="1:11" ht="18" customHeight="1"/>
    <row r="32" spans="1:11" ht="18" customHeight="1"/>
  </sheetData>
  <mergeCells count="4">
    <mergeCell ref="B1:G1"/>
    <mergeCell ref="B2:G2"/>
    <mergeCell ref="B3:G3"/>
    <mergeCell ref="B4:G4"/>
  </mergeCells>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G24"/>
  <sheetViews>
    <sheetView showGridLines="0" workbookViewId="0"/>
  </sheetViews>
  <sheetFormatPr defaultColWidth="8.88671875" defaultRowHeight="15" customHeight="1"/>
  <cols>
    <col min="1" max="1" width="3.33203125" style="243" customWidth="1"/>
    <col min="2" max="2" width="27.21875" style="243" bestFit="1" customWidth="1"/>
    <col min="3" max="3" width="12.33203125" style="243" bestFit="1" customWidth="1"/>
    <col min="4" max="4" width="11" style="243" bestFit="1" customWidth="1"/>
    <col min="5" max="5" width="9.77734375" style="243" customWidth="1"/>
    <col min="6" max="6" width="12.33203125" style="243" bestFit="1" customWidth="1"/>
    <col min="7" max="7" width="13.21875" style="243" customWidth="1"/>
    <col min="8" max="9" width="9.33203125" style="243" bestFit="1" customWidth="1"/>
    <col min="10" max="10" width="12.33203125" style="243" bestFit="1" customWidth="1"/>
    <col min="11" max="11" width="11.21875" style="243" bestFit="1" customWidth="1"/>
    <col min="12" max="12" width="11.5546875" style="243" bestFit="1" customWidth="1"/>
    <col min="13" max="13" width="13.44140625" style="243" customWidth="1"/>
    <col min="14" max="14" width="1.109375" style="243" customWidth="1"/>
    <col min="15" max="15" width="12.21875" style="243" customWidth="1"/>
    <col min="16" max="16" width="8.33203125" style="243" bestFit="1" customWidth="1"/>
    <col min="17" max="17" width="16.5546875" style="243" customWidth="1"/>
    <col min="18" max="18" width="8.88671875" style="243"/>
    <col min="19" max="19" width="10.44140625" style="243" customWidth="1"/>
    <col min="20" max="20" width="9.77734375" style="243" customWidth="1"/>
    <col min="21" max="21" width="9.33203125" style="243" bestFit="1" customWidth="1"/>
    <col min="22" max="22" width="9.6640625" style="243" customWidth="1"/>
    <col min="23" max="23" width="55.33203125" style="243" customWidth="1"/>
    <col min="24" max="24" width="8.88671875" style="243"/>
    <col min="25" max="25" width="13.77734375" style="243" customWidth="1"/>
    <col min="26" max="26" width="19.44140625" style="243" customWidth="1"/>
    <col min="27" max="27" width="12.6640625" style="243" customWidth="1"/>
    <col min="28" max="28" width="12.109375" style="243" customWidth="1"/>
    <col min="29" max="29" width="14.6640625" style="243" customWidth="1"/>
    <col min="30" max="30" width="10.109375" style="243" customWidth="1"/>
    <col min="31" max="31" width="10.5546875" style="243" customWidth="1"/>
    <col min="32" max="32" width="11.88671875" style="243" customWidth="1"/>
    <col min="33" max="33" width="15.5546875" style="249" customWidth="1"/>
    <col min="34" max="34" width="8.88671875" style="243"/>
    <col min="35" max="35" width="16.33203125" style="243" customWidth="1"/>
    <col min="36" max="36" width="11.109375" style="243" customWidth="1"/>
    <col min="37" max="37" width="10.21875" style="243" customWidth="1"/>
    <col min="38" max="39" width="8.77734375" style="243" customWidth="1"/>
    <col min="40" max="16384" width="8.88671875" style="243"/>
  </cols>
  <sheetData>
    <row r="1" spans="2:33" ht="20.100000000000001" customHeight="1">
      <c r="B1" s="265" t="str">
        <f>EntityName</f>
        <v>Blue Earth, MN</v>
      </c>
      <c r="C1" s="263"/>
      <c r="D1" s="263"/>
      <c r="E1" s="263"/>
      <c r="F1" s="263"/>
      <c r="G1" s="263"/>
      <c r="H1" s="263"/>
      <c r="I1" s="263"/>
      <c r="J1" s="263"/>
      <c r="K1" s="263"/>
      <c r="L1" s="263"/>
      <c r="AG1" s="243"/>
    </row>
    <row r="2" spans="2:33" ht="20.100000000000001" customHeight="1">
      <c r="B2" s="266" t="s">
        <v>512</v>
      </c>
      <c r="C2" s="264"/>
      <c r="D2" s="264"/>
      <c r="E2" s="264"/>
      <c r="F2" s="264"/>
      <c r="G2" s="264"/>
      <c r="H2" s="264"/>
      <c r="I2" s="264"/>
      <c r="J2" s="264"/>
      <c r="K2" s="264"/>
      <c r="L2" s="264"/>
      <c r="AG2" s="243"/>
    </row>
    <row r="3" spans="2:33" ht="20.100000000000001" customHeight="1">
      <c r="B3" s="267">
        <f>FilingDate</f>
        <v>43100</v>
      </c>
      <c r="C3" s="263"/>
      <c r="D3" s="263"/>
      <c r="E3" s="263"/>
      <c r="F3" s="263"/>
      <c r="G3" s="263"/>
      <c r="H3" s="263"/>
      <c r="I3" s="263"/>
      <c r="J3" s="263"/>
      <c r="K3" s="263"/>
      <c r="L3" s="263"/>
      <c r="AG3" s="243"/>
    </row>
    <row r="4" spans="2:33" ht="15" customHeight="1">
      <c r="AG4" s="243"/>
    </row>
    <row r="5" spans="2:33" ht="18" customHeight="1">
      <c r="B5" s="285"/>
      <c r="C5" s="420" t="s">
        <v>514</v>
      </c>
      <c r="D5" s="421"/>
      <c r="E5" s="421"/>
      <c r="F5" s="422"/>
      <c r="G5" s="423" t="s">
        <v>518</v>
      </c>
      <c r="H5" s="424"/>
      <c r="I5" s="424"/>
      <c r="J5" s="425"/>
      <c r="K5" s="286"/>
      <c r="L5" s="285"/>
      <c r="AG5" s="243"/>
    </row>
    <row r="6" spans="2:33" ht="18" customHeight="1">
      <c r="B6" s="287" t="s">
        <v>524</v>
      </c>
      <c r="C6" s="283" t="s">
        <v>515</v>
      </c>
      <c r="D6" s="283" t="s">
        <v>453</v>
      </c>
      <c r="E6" s="283" t="s">
        <v>516</v>
      </c>
      <c r="F6" s="283" t="s">
        <v>517</v>
      </c>
      <c r="G6" s="283" t="s">
        <v>515</v>
      </c>
      <c r="H6" s="283" t="s">
        <v>453</v>
      </c>
      <c r="I6" s="283" t="s">
        <v>516</v>
      </c>
      <c r="J6" s="283" t="s">
        <v>517</v>
      </c>
      <c r="K6" s="283" t="s">
        <v>508</v>
      </c>
      <c r="L6" s="285"/>
      <c r="AG6" s="243"/>
    </row>
    <row r="7" spans="2:33" ht="18" customHeight="1">
      <c r="B7" s="288" t="s">
        <v>521</v>
      </c>
      <c r="C7" s="336">
        <v>5608025.4400000004</v>
      </c>
      <c r="D7" s="336">
        <v>11905</v>
      </c>
      <c r="E7" s="336">
        <v>0</v>
      </c>
      <c r="F7" s="336">
        <v>5619930.4400000004</v>
      </c>
      <c r="G7" s="289">
        <v>2843833.31</v>
      </c>
      <c r="H7" s="336">
        <v>177820.03</v>
      </c>
      <c r="I7" s="289">
        <v>0</v>
      </c>
      <c r="J7" s="289">
        <v>3021653.34</v>
      </c>
      <c r="K7" s="289">
        <v>2598277.1000000006</v>
      </c>
      <c r="L7" s="285"/>
      <c r="AG7" s="243"/>
    </row>
    <row r="8" spans="2:33" ht="18" customHeight="1">
      <c r="B8" s="288" t="s">
        <v>497</v>
      </c>
      <c r="C8" s="336">
        <v>3367571.99</v>
      </c>
      <c r="D8" s="336">
        <v>31285.15</v>
      </c>
      <c r="E8" s="336">
        <v>0</v>
      </c>
      <c r="F8" s="336">
        <v>3398857.14</v>
      </c>
      <c r="G8" s="289">
        <v>2757821.3600000003</v>
      </c>
      <c r="H8" s="336">
        <v>32948.450000000004</v>
      </c>
      <c r="I8" s="289">
        <v>0</v>
      </c>
      <c r="J8" s="289">
        <v>2790769.8100000005</v>
      </c>
      <c r="K8" s="289">
        <v>608087.32999999961</v>
      </c>
      <c r="L8" s="285"/>
      <c r="AG8" s="243"/>
    </row>
    <row r="9" spans="2:33" ht="18" customHeight="1">
      <c r="B9" s="288" t="s">
        <v>522</v>
      </c>
      <c r="C9" s="336">
        <v>9480064.9199999999</v>
      </c>
      <c r="D9" s="336">
        <v>47435.13</v>
      </c>
      <c r="E9" s="336">
        <v>0</v>
      </c>
      <c r="F9" s="336">
        <v>9527500.0500000007</v>
      </c>
      <c r="G9" s="289">
        <v>4145615.48</v>
      </c>
      <c r="H9" s="289">
        <v>357144.53</v>
      </c>
      <c r="I9" s="289">
        <v>0</v>
      </c>
      <c r="J9" s="289">
        <v>4502760.01</v>
      </c>
      <c r="K9" s="289">
        <v>5024740.040000001</v>
      </c>
      <c r="L9" s="285"/>
      <c r="AG9" s="243"/>
    </row>
    <row r="10" spans="2:33" ht="18" customHeight="1">
      <c r="B10" s="288" t="s">
        <v>523</v>
      </c>
      <c r="C10" s="336">
        <v>1636059.75</v>
      </c>
      <c r="D10" s="336">
        <v>312345.84999999998</v>
      </c>
      <c r="E10" s="336">
        <v>0</v>
      </c>
      <c r="F10" s="336">
        <v>1948405.6</v>
      </c>
      <c r="G10" s="289">
        <v>661904.2300000001</v>
      </c>
      <c r="H10" s="289">
        <v>100293.39</v>
      </c>
      <c r="I10" s="289">
        <v>0</v>
      </c>
      <c r="J10" s="289">
        <v>762197.62000000011</v>
      </c>
      <c r="K10" s="289">
        <v>1186207.98</v>
      </c>
      <c r="L10" s="285"/>
      <c r="AG10" s="243"/>
    </row>
    <row r="11" spans="2:33" ht="18" customHeight="1">
      <c r="B11" s="290" t="s">
        <v>542</v>
      </c>
      <c r="C11" s="306">
        <v>20091722.100000001</v>
      </c>
      <c r="D11" s="306">
        <v>402971.13</v>
      </c>
      <c r="E11" s="306">
        <v>0</v>
      </c>
      <c r="F11" s="306">
        <v>20494693.230000004</v>
      </c>
      <c r="G11" s="306">
        <v>10409174.380000001</v>
      </c>
      <c r="H11" s="306">
        <v>668206.4</v>
      </c>
      <c r="I11" s="306">
        <v>0</v>
      </c>
      <c r="J11" s="306">
        <v>11077380.780000001</v>
      </c>
      <c r="K11" s="306">
        <v>9417312.4500000011</v>
      </c>
      <c r="L11" s="285"/>
      <c r="AG11" s="243"/>
    </row>
    <row r="12" spans="2:33" ht="18" customHeight="1">
      <c r="B12" s="288" t="s">
        <v>507</v>
      </c>
      <c r="C12" s="289">
        <v>0</v>
      </c>
      <c r="D12" s="289">
        <v>0</v>
      </c>
      <c r="E12" s="289">
        <v>0</v>
      </c>
      <c r="F12" s="289">
        <v>0</v>
      </c>
      <c r="G12" s="289"/>
      <c r="H12" s="289"/>
      <c r="I12" s="289"/>
      <c r="J12" s="289">
        <v>0</v>
      </c>
      <c r="K12" s="289">
        <v>0</v>
      </c>
      <c r="L12" s="285"/>
      <c r="AG12" s="243"/>
    </row>
    <row r="13" spans="2:33" ht="18" customHeight="1">
      <c r="B13" s="290" t="s">
        <v>541</v>
      </c>
      <c r="C13" s="306">
        <v>20091722.100000001</v>
      </c>
      <c r="D13" s="306">
        <v>402971.13</v>
      </c>
      <c r="E13" s="306">
        <v>0</v>
      </c>
      <c r="F13" s="306">
        <v>20494693.230000004</v>
      </c>
      <c r="G13" s="306">
        <v>10409174.380000001</v>
      </c>
      <c r="H13" s="306">
        <v>668206.4</v>
      </c>
      <c r="I13" s="306">
        <v>0</v>
      </c>
      <c r="J13" s="306">
        <v>11077380.780000001</v>
      </c>
      <c r="K13" s="306">
        <v>9417312.4500000011</v>
      </c>
      <c r="AG13" s="243"/>
    </row>
    <row r="14" spans="2:33" ht="18" customHeight="1">
      <c r="B14" s="285"/>
      <c r="C14" s="285"/>
      <c r="D14" s="285"/>
      <c r="E14" s="285"/>
      <c r="F14" s="295" t="s">
        <v>577</v>
      </c>
      <c r="G14" s="285"/>
      <c r="H14" s="285"/>
      <c r="I14" s="285"/>
      <c r="J14" s="295" t="s">
        <v>577</v>
      </c>
      <c r="K14" s="295" t="s">
        <v>577</v>
      </c>
      <c r="L14" s="285"/>
      <c r="AG14" s="243"/>
    </row>
    <row r="15" spans="2:33" ht="18" customHeight="1">
      <c r="B15" s="285"/>
      <c r="C15" s="285"/>
      <c r="D15" s="285"/>
      <c r="E15" s="285"/>
      <c r="F15" s="285"/>
      <c r="G15" s="285" t="s">
        <v>578</v>
      </c>
      <c r="H15" s="285"/>
      <c r="I15" s="285"/>
      <c r="J15" s="285"/>
      <c r="K15" s="285"/>
      <c r="L15" s="285"/>
      <c r="AG15" s="243"/>
    </row>
    <row r="16" spans="2:33" ht="18" customHeight="1">
      <c r="B16" s="285"/>
      <c r="C16" s="285"/>
      <c r="D16" s="285"/>
      <c r="E16" s="285"/>
      <c r="F16" s="328"/>
      <c r="G16" s="285"/>
      <c r="H16" s="285"/>
      <c r="I16" s="285"/>
      <c r="J16" s="285"/>
      <c r="K16" s="285"/>
      <c r="L16" s="285"/>
      <c r="AG16" s="243"/>
    </row>
    <row r="17" spans="2:33" ht="18" customHeight="1">
      <c r="B17" s="287" t="s">
        <v>545</v>
      </c>
      <c r="C17" s="363" t="s">
        <v>7</v>
      </c>
      <c r="D17" s="285"/>
      <c r="E17" s="285"/>
      <c r="F17" s="285"/>
      <c r="G17" s="285"/>
      <c r="H17" s="285"/>
      <c r="I17" s="285"/>
      <c r="J17" s="285"/>
      <c r="K17" s="285"/>
      <c r="L17" s="285"/>
      <c r="AG17" s="243"/>
    </row>
    <row r="18" spans="2:33" ht="18" customHeight="1">
      <c r="B18" s="288" t="s">
        <v>521</v>
      </c>
      <c r="C18" s="336">
        <v>25324</v>
      </c>
      <c r="D18" s="285"/>
      <c r="E18" s="285"/>
      <c r="F18" s="285"/>
      <c r="G18" s="285"/>
      <c r="H18" s="285"/>
      <c r="I18" s="285"/>
      <c r="J18" s="285"/>
      <c r="K18" s="285"/>
      <c r="L18" s="285"/>
      <c r="AG18" s="243"/>
    </row>
    <row r="19" spans="2:33" ht="18" customHeight="1">
      <c r="B19" s="288" t="s">
        <v>664</v>
      </c>
      <c r="C19" s="336">
        <v>100000</v>
      </c>
      <c r="D19" s="285"/>
      <c r="E19" s="285"/>
      <c r="F19" s="328"/>
      <c r="G19" s="285"/>
      <c r="H19" s="285"/>
      <c r="I19" s="285"/>
      <c r="J19" s="285"/>
      <c r="K19" s="285"/>
      <c r="L19" s="285"/>
      <c r="AG19" s="243"/>
    </row>
    <row r="20" spans="2:33" ht="18" customHeight="1">
      <c r="B20" s="288" t="s">
        <v>497</v>
      </c>
      <c r="C20" s="336">
        <v>34347</v>
      </c>
      <c r="D20" s="285"/>
      <c r="E20" s="328"/>
      <c r="F20" s="285"/>
      <c r="G20" s="285"/>
      <c r="H20" s="285"/>
      <c r="I20" s="285"/>
      <c r="J20" s="285"/>
      <c r="K20" s="285"/>
      <c r="L20" s="285"/>
      <c r="AG20" s="243"/>
    </row>
    <row r="21" spans="2:33" ht="18" customHeight="1">
      <c r="B21" s="288" t="s">
        <v>522</v>
      </c>
      <c r="C21" s="336">
        <v>37600</v>
      </c>
      <c r="D21" s="285"/>
      <c r="E21" s="285"/>
      <c r="F21" s="285"/>
      <c r="G21" s="285"/>
      <c r="H21" s="285"/>
      <c r="I21" s="285"/>
      <c r="J21" s="285"/>
      <c r="K21" s="285"/>
      <c r="L21" s="285"/>
      <c r="AG21" s="243"/>
    </row>
    <row r="22" spans="2:33" ht="18" customHeight="1">
      <c r="B22" s="288" t="s">
        <v>523</v>
      </c>
      <c r="C22" s="336">
        <v>0</v>
      </c>
      <c r="D22" s="285"/>
      <c r="E22" s="285"/>
      <c r="AG22" s="243"/>
    </row>
    <row r="23" spans="2:33" ht="15" customHeight="1">
      <c r="D23" s="285"/>
      <c r="AG23" s="243"/>
    </row>
    <row r="24" spans="2:33" ht="15" customHeight="1">
      <c r="C24" s="305"/>
      <c r="AG24" s="243"/>
    </row>
  </sheetData>
  <mergeCells count="2">
    <mergeCell ref="C5:F5"/>
    <mergeCell ref="G5:J5"/>
  </mergeCells>
  <pageMargins left="0.75" right="0.75" top="1" bottom="1" header="0.5" footer="0.5"/>
  <pageSetup scale="86"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J41"/>
  <sheetViews>
    <sheetView showGridLines="0" workbookViewId="0"/>
  </sheetViews>
  <sheetFormatPr defaultColWidth="8.88671875" defaultRowHeight="15" customHeight="1"/>
  <cols>
    <col min="1" max="1" width="3.33203125" style="243" customWidth="1"/>
    <col min="2" max="2" width="19.77734375" style="244" customWidth="1"/>
    <col min="3" max="3" width="12.88671875" style="243" hidden="1" customWidth="1"/>
    <col min="4" max="4" width="14.33203125" style="243" hidden="1" customWidth="1"/>
    <col min="5" max="5" width="13.77734375" style="243" hidden="1" customWidth="1"/>
    <col min="6" max="6" width="13.33203125" style="243" hidden="1" customWidth="1"/>
    <col min="7" max="7" width="13.109375" style="243" customWidth="1"/>
    <col min="8" max="8" width="12.88671875" style="243" bestFit="1" customWidth="1"/>
    <col min="9" max="16384" width="8.88671875" style="243"/>
  </cols>
  <sheetData>
    <row r="1" spans="2:10" ht="20.100000000000001" customHeight="1">
      <c r="B1" s="265" t="str">
        <f>EntityName</f>
        <v>Blue Earth, MN</v>
      </c>
      <c r="C1" s="269"/>
      <c r="D1" s="269"/>
    </row>
    <row r="2" spans="2:10" ht="20.100000000000001" customHeight="1">
      <c r="B2" s="266" t="s">
        <v>509</v>
      </c>
      <c r="C2" s="271"/>
      <c r="D2" s="271"/>
      <c r="E2" s="262"/>
      <c r="F2" s="262"/>
    </row>
    <row r="3" spans="2:10" ht="20.100000000000001" customHeight="1">
      <c r="B3" s="267">
        <f>FilingDate</f>
        <v>43100</v>
      </c>
      <c r="C3" s="269"/>
      <c r="D3" s="269"/>
    </row>
    <row r="4" spans="2:10" ht="20.100000000000001" customHeight="1">
      <c r="B4" s="270"/>
      <c r="C4" s="269"/>
      <c r="D4" s="269"/>
    </row>
    <row r="5" spans="2:10" ht="20.100000000000001" customHeight="1">
      <c r="B5" s="352">
        <f>G11+H11</f>
        <v>15808</v>
      </c>
      <c r="C5" s="276" t="s">
        <v>570</v>
      </c>
      <c r="D5" s="269"/>
      <c r="G5" s="276" t="s">
        <v>570</v>
      </c>
      <c r="H5" s="276"/>
    </row>
    <row r="6" spans="2:10" ht="20.100000000000001" customHeight="1">
      <c r="B6" s="352">
        <f>G15</f>
        <v>695179</v>
      </c>
      <c r="C6" s="276" t="s">
        <v>538</v>
      </c>
      <c r="D6" s="269"/>
      <c r="G6" s="276" t="s">
        <v>538</v>
      </c>
      <c r="H6" s="276"/>
    </row>
    <row r="7" spans="2:10" ht="15" customHeight="1">
      <c r="B7" s="248"/>
      <c r="C7" s="248"/>
    </row>
    <row r="8" spans="2:10" ht="18" customHeight="1">
      <c r="B8" s="248"/>
      <c r="C8" s="248"/>
      <c r="F8" s="291" t="s">
        <v>672</v>
      </c>
    </row>
    <row r="9" spans="2:10" ht="18" customHeight="1">
      <c r="B9" s="427" t="s">
        <v>503</v>
      </c>
      <c r="C9" s="427"/>
      <c r="D9" s="427"/>
      <c r="E9" s="427"/>
      <c r="F9" s="427"/>
      <c r="G9" s="285"/>
      <c r="H9" s="285"/>
      <c r="I9" s="285"/>
      <c r="J9" s="285"/>
    </row>
    <row r="10" spans="2:10" ht="18" customHeight="1">
      <c r="B10" s="283" t="s">
        <v>501</v>
      </c>
      <c r="C10" s="284" t="s">
        <v>500</v>
      </c>
      <c r="D10" s="284" t="s">
        <v>499</v>
      </c>
      <c r="E10" s="284" t="s">
        <v>586</v>
      </c>
      <c r="F10" s="284" t="s">
        <v>667</v>
      </c>
      <c r="G10" s="284" t="s">
        <v>498</v>
      </c>
      <c r="H10" s="284" t="s">
        <v>569</v>
      </c>
      <c r="I10" s="285"/>
      <c r="J10" s="285"/>
    </row>
    <row r="11" spans="2:10" ht="18" customHeight="1">
      <c r="B11" s="350" t="s">
        <v>671</v>
      </c>
      <c r="C11" s="351"/>
      <c r="D11" s="351"/>
      <c r="E11" s="351"/>
      <c r="F11" s="351"/>
      <c r="G11" s="351">
        <v>15341</v>
      </c>
      <c r="H11" s="407">
        <v>467</v>
      </c>
      <c r="I11" s="285"/>
      <c r="J11" s="285"/>
    </row>
    <row r="12" spans="2:10" ht="18" customHeight="1">
      <c r="B12" s="292"/>
      <c r="C12" s="293"/>
      <c r="D12" s="293"/>
      <c r="E12" s="293"/>
      <c r="F12" s="293"/>
      <c r="G12" s="285"/>
      <c r="H12" s="285"/>
      <c r="I12" s="285"/>
      <c r="J12" s="285"/>
    </row>
    <row r="13" spans="2:10" ht="18" customHeight="1">
      <c r="B13" s="426" t="s">
        <v>502</v>
      </c>
      <c r="C13" s="426"/>
      <c r="D13" s="426"/>
      <c r="E13" s="426"/>
      <c r="F13" s="426"/>
      <c r="G13" s="285"/>
      <c r="H13" s="285"/>
      <c r="I13" s="285"/>
      <c r="J13" s="285"/>
    </row>
    <row r="14" spans="2:10" ht="18" customHeight="1">
      <c r="B14" s="283" t="s">
        <v>501</v>
      </c>
      <c r="C14" s="284" t="s">
        <v>500</v>
      </c>
      <c r="D14" s="284" t="s">
        <v>499</v>
      </c>
      <c r="E14" s="284" t="s">
        <v>586</v>
      </c>
      <c r="F14" s="284" t="s">
        <v>667</v>
      </c>
      <c r="G14" s="284" t="s">
        <v>498</v>
      </c>
      <c r="H14" s="294"/>
      <c r="I14" s="285"/>
      <c r="J14" s="285"/>
    </row>
    <row r="15" spans="2:10" ht="18" customHeight="1">
      <c r="B15" s="353" t="s">
        <v>534</v>
      </c>
      <c r="C15" s="354"/>
      <c r="D15" s="354"/>
      <c r="E15" s="354"/>
      <c r="F15" s="351"/>
      <c r="G15" s="351">
        <v>695179</v>
      </c>
      <c r="H15" s="285" t="s">
        <v>579</v>
      </c>
      <c r="I15" s="285"/>
      <c r="J15" s="285"/>
    </row>
    <row r="16" spans="2:10" ht="18" customHeight="1">
      <c r="B16" s="295"/>
      <c r="C16" s="285"/>
      <c r="D16" s="285"/>
      <c r="E16" s="285"/>
      <c r="F16" s="285"/>
      <c r="G16" s="285"/>
      <c r="H16" s="285"/>
      <c r="I16" s="285"/>
      <c r="J16" s="285"/>
    </row>
    <row r="17" spans="2:10" ht="18" customHeight="1">
      <c r="B17" s="295"/>
      <c r="C17" s="285"/>
      <c r="D17" s="291" t="s">
        <v>580</v>
      </c>
      <c r="E17" s="285"/>
      <c r="F17" s="285"/>
      <c r="G17" s="285"/>
      <c r="H17" s="285"/>
      <c r="I17" s="285"/>
      <c r="J17" s="285"/>
    </row>
    <row r="18" spans="2:10" ht="18" customHeight="1">
      <c r="F18" s="246"/>
    </row>
    <row r="19" spans="2:10" ht="18" customHeight="1">
      <c r="B19" s="291" t="s">
        <v>580</v>
      </c>
      <c r="F19" s="246"/>
    </row>
    <row r="20" spans="2:10" ht="18" customHeight="1">
      <c r="F20" s="246"/>
    </row>
    <row r="21" spans="2:10" ht="18" customHeight="1">
      <c r="F21" s="246"/>
    </row>
    <row r="28" spans="2:10" ht="15" customHeight="1">
      <c r="B28" s="243"/>
    </row>
    <row r="29" spans="2:10" ht="15" customHeight="1">
      <c r="B29" s="243"/>
    </row>
    <row r="30" spans="2:10" ht="15" customHeight="1">
      <c r="B30" s="243"/>
    </row>
    <row r="31" spans="2:10" ht="15" customHeight="1">
      <c r="B31" s="243"/>
    </row>
    <row r="32" spans="2:10" ht="15" customHeight="1">
      <c r="B32" s="243"/>
    </row>
    <row r="33" spans="2:2" ht="15" customHeight="1">
      <c r="B33" s="243"/>
    </row>
    <row r="34" spans="2:2" ht="15" customHeight="1">
      <c r="B34" s="243"/>
    </row>
    <row r="35" spans="2:2" ht="15" customHeight="1">
      <c r="B35" s="243"/>
    </row>
    <row r="36" spans="2:2" ht="15" customHeight="1">
      <c r="B36" s="243"/>
    </row>
    <row r="37" spans="2:2" ht="15" customHeight="1">
      <c r="B37" s="243"/>
    </row>
    <row r="38" spans="2:2" ht="15" customHeight="1">
      <c r="B38" s="243"/>
    </row>
    <row r="39" spans="2:2" ht="15" customHeight="1">
      <c r="B39" s="243"/>
    </row>
    <row r="40" spans="2:2" ht="15" customHeight="1">
      <c r="B40" s="245"/>
    </row>
    <row r="41" spans="2:2" ht="15" customHeight="1">
      <c r="B41" s="245"/>
    </row>
  </sheetData>
  <mergeCells count="2">
    <mergeCell ref="B13:F13"/>
    <mergeCell ref="B9:F9"/>
  </mergeCells>
  <pageMargins left="0.75" right="0.75" top="1" bottom="1" header="0.5" footer="0.5"/>
  <pageSetup scale="8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I20"/>
  <sheetViews>
    <sheetView showGridLines="0" workbookViewId="0"/>
  </sheetViews>
  <sheetFormatPr defaultColWidth="8.88671875" defaultRowHeight="15" customHeight="1"/>
  <cols>
    <col min="1" max="1" width="3.33203125" style="243" customWidth="1"/>
    <col min="2" max="2" width="14" style="243" customWidth="1"/>
    <col min="3" max="3" width="13.33203125" style="243" customWidth="1"/>
    <col min="4" max="4" width="14.44140625" style="243" customWidth="1"/>
    <col min="5" max="5" width="11" style="243" bestFit="1" customWidth="1"/>
    <col min="6" max="6" width="9.6640625" style="243" bestFit="1" customWidth="1"/>
    <col min="7" max="7" width="8.88671875" style="243"/>
    <col min="8" max="8" width="1.33203125" style="243" customWidth="1"/>
    <col min="9" max="16384" width="8.88671875" style="243"/>
  </cols>
  <sheetData>
    <row r="1" spans="2:9" ht="20.100000000000001" customHeight="1">
      <c r="B1" s="265" t="str">
        <f>EntityName</f>
        <v>Blue Earth, MN</v>
      </c>
      <c r="C1" s="269"/>
      <c r="D1" s="269"/>
      <c r="E1" s="269"/>
      <c r="F1" s="269"/>
      <c r="G1" s="269"/>
      <c r="H1" s="269"/>
      <c r="I1" s="269"/>
    </row>
    <row r="2" spans="2:9" ht="20.100000000000001" customHeight="1">
      <c r="B2" s="266" t="s">
        <v>511</v>
      </c>
      <c r="C2" s="271"/>
      <c r="D2" s="271"/>
      <c r="E2" s="271"/>
      <c r="F2" s="271"/>
      <c r="G2" s="271"/>
      <c r="H2" s="271"/>
      <c r="I2" s="269"/>
    </row>
    <row r="3" spans="2:9" ht="20.100000000000001" customHeight="1">
      <c r="B3" s="267">
        <f>FilingDate</f>
        <v>43100</v>
      </c>
      <c r="C3" s="269"/>
      <c r="D3" s="269"/>
      <c r="E3" s="269"/>
      <c r="F3" s="269"/>
      <c r="G3" s="269"/>
      <c r="H3" s="269"/>
      <c r="I3" s="269"/>
    </row>
    <row r="4" spans="2:9" ht="15" customHeight="1">
      <c r="B4" s="270"/>
      <c r="C4" s="269"/>
      <c r="D4" s="269"/>
      <c r="E4" s="269"/>
      <c r="F4" s="269"/>
      <c r="G4" s="269"/>
      <c r="H4" s="269"/>
      <c r="I4" s="269"/>
    </row>
    <row r="5" spans="2:9" ht="18" customHeight="1">
      <c r="B5" s="283" t="s">
        <v>526</v>
      </c>
      <c r="C5" s="283" t="s">
        <v>525</v>
      </c>
      <c r="D5" s="283" t="s">
        <v>527</v>
      </c>
      <c r="E5" s="300" t="s">
        <v>2</v>
      </c>
      <c r="F5" s="282"/>
      <c r="G5" s="269"/>
      <c r="H5" s="269"/>
      <c r="I5" s="269"/>
    </row>
    <row r="6" spans="2:9" ht="18" customHeight="1">
      <c r="B6" s="288" t="s">
        <v>673</v>
      </c>
      <c r="C6" s="301">
        <f>+ProductionLabor/(LaborTotal-AdminLabor)</f>
        <v>5.0528752530993211E-2</v>
      </c>
      <c r="D6" s="361">
        <v>21989.1</v>
      </c>
      <c r="E6" s="282"/>
      <c r="F6" s="282"/>
      <c r="G6" s="269"/>
      <c r="H6" s="269"/>
      <c r="I6" s="269"/>
    </row>
    <row r="7" spans="2:9" ht="18" customHeight="1">
      <c r="B7" s="288" t="s">
        <v>45</v>
      </c>
      <c r="C7" s="301">
        <f>+TransmissionLabor/(LaborTotal-AdminLabor)</f>
        <v>0.1903147192328139</v>
      </c>
      <c r="D7" s="361">
        <v>82821.149999999994</v>
      </c>
      <c r="E7" s="300"/>
      <c r="F7" s="282"/>
      <c r="G7" s="269"/>
      <c r="H7" s="269"/>
      <c r="I7" s="269"/>
    </row>
    <row r="8" spans="2:9" ht="18" customHeight="1">
      <c r="B8" s="288" t="s">
        <v>674</v>
      </c>
      <c r="C8" s="301">
        <f>+DistributionLabor/(LaborTotal-AdminLabor)</f>
        <v>0.61608536882271348</v>
      </c>
      <c r="D8" s="361">
        <v>268108</v>
      </c>
      <c r="E8" s="282"/>
      <c r="F8" s="282"/>
      <c r="G8" s="269"/>
      <c r="H8" s="269"/>
      <c r="I8" s="269"/>
    </row>
    <row r="9" spans="2:9" ht="18" customHeight="1">
      <c r="B9" s="288" t="s">
        <v>675</v>
      </c>
      <c r="C9" s="301">
        <f>+OtherLabor/(LaborTotal-AdminLabor)</f>
        <v>0.14307115941347939</v>
      </c>
      <c r="D9" s="361">
        <v>62261.7</v>
      </c>
      <c r="E9" s="282"/>
      <c r="F9" s="282"/>
      <c r="G9" s="269"/>
      <c r="H9" s="269"/>
      <c r="I9" s="269"/>
    </row>
    <row r="10" spans="2:9" ht="18" customHeight="1">
      <c r="B10" s="288" t="s">
        <v>676</v>
      </c>
      <c r="C10" s="301">
        <v>0</v>
      </c>
      <c r="D10" s="361">
        <v>126960.32000000001</v>
      </c>
      <c r="E10" s="282"/>
      <c r="F10" s="282"/>
      <c r="G10" s="269"/>
      <c r="H10" s="269"/>
      <c r="I10" s="269"/>
    </row>
    <row r="11" spans="2:9" ht="18" customHeight="1">
      <c r="B11" s="307" t="s">
        <v>519</v>
      </c>
      <c r="C11" s="308">
        <f>SUM(C6:C10)</f>
        <v>0.99999999999999989</v>
      </c>
      <c r="D11" s="309">
        <f>SUM(D6:D10)</f>
        <v>562140.27</v>
      </c>
      <c r="F11" s="282"/>
      <c r="G11" s="269"/>
      <c r="H11" s="269"/>
      <c r="I11" s="269"/>
    </row>
    <row r="12" spans="2:9" ht="18" customHeight="1">
      <c r="B12" s="269"/>
      <c r="C12" s="269"/>
      <c r="D12" s="269"/>
      <c r="E12" s="269"/>
      <c r="F12" s="269"/>
      <c r="G12" s="269"/>
      <c r="H12" s="269"/>
      <c r="I12" s="269"/>
    </row>
    <row r="13" spans="2:9" ht="18" customHeight="1">
      <c r="B13" s="329" t="s">
        <v>592</v>
      </c>
      <c r="D13" s="362"/>
      <c r="F13" s="269"/>
      <c r="G13" s="269"/>
      <c r="H13" s="269"/>
      <c r="I13" s="269"/>
    </row>
    <row r="14" spans="2:9" ht="15" customHeight="1">
      <c r="B14" s="282" t="s">
        <v>587</v>
      </c>
      <c r="C14" s="282"/>
      <c r="D14" s="364">
        <v>59623</v>
      </c>
      <c r="E14" s="269"/>
      <c r="F14" s="269"/>
      <c r="G14" s="269"/>
      <c r="H14" s="269"/>
      <c r="I14" s="269"/>
    </row>
    <row r="15" spans="2:9" ht="15" customHeight="1">
      <c r="B15" s="282" t="s">
        <v>588</v>
      </c>
      <c r="C15" s="282"/>
      <c r="D15" s="364">
        <v>36405</v>
      </c>
      <c r="E15" s="269"/>
      <c r="F15" s="269"/>
      <c r="G15" s="269"/>
      <c r="H15" s="269"/>
      <c r="I15" s="269"/>
    </row>
    <row r="16" spans="2:9" ht="15" customHeight="1">
      <c r="B16" s="282" t="s">
        <v>589</v>
      </c>
      <c r="C16" s="282"/>
      <c r="D16" s="364">
        <v>1571</v>
      </c>
      <c r="E16" s="269"/>
    </row>
    <row r="17" spans="2:5" ht="15" customHeight="1">
      <c r="B17" s="285" t="s">
        <v>590</v>
      </c>
      <c r="C17" s="285"/>
      <c r="D17" s="365">
        <v>26725</v>
      </c>
    </row>
    <row r="18" spans="2:5" ht="15" customHeight="1">
      <c r="B18" s="258" t="s">
        <v>591</v>
      </c>
      <c r="C18" s="285"/>
      <c r="D18" s="365">
        <v>686464.27</v>
      </c>
      <c r="E18" s="282" t="s">
        <v>561</v>
      </c>
    </row>
    <row r="20" spans="2:5" ht="15" customHeight="1">
      <c r="D20" s="305"/>
    </row>
  </sheetData>
  <pageMargins left="0.75" right="0.75" top="1" bottom="1" header="0.5" footer="0.5"/>
  <pageSetup scale="9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33</vt:i4>
      </vt:variant>
    </vt:vector>
  </HeadingPairs>
  <TitlesOfParts>
    <vt:vector size="48" baseType="lpstr">
      <vt:lpstr>Nonlevelized_EIA412</vt:lpstr>
      <vt:lpstr>412BS</vt:lpstr>
      <vt:lpstr>412IS</vt:lpstr>
      <vt:lpstr>412Plant</vt:lpstr>
      <vt:lpstr>412OM</vt:lpstr>
      <vt:lpstr>412Notes</vt:lpstr>
      <vt:lpstr>S1_Plant</vt:lpstr>
      <vt:lpstr>S2_Debt</vt:lpstr>
      <vt:lpstr>S3_Labor</vt:lpstr>
      <vt:lpstr>S4_TransOM</vt:lpstr>
      <vt:lpstr>S5_A&amp;G</vt:lpstr>
      <vt:lpstr>S6_Other</vt:lpstr>
      <vt:lpstr>Rev_7&amp;8</vt:lpstr>
      <vt:lpstr>Rev_9</vt:lpstr>
      <vt:lpstr>PeakLoad</vt:lpstr>
      <vt:lpstr>AdminGeneralTotal</vt:lpstr>
      <vt:lpstr>AdminLabor</vt:lpstr>
      <vt:lpstr>AttachO_Fees</vt:lpstr>
      <vt:lpstr>AveragePeak</vt:lpstr>
      <vt:lpstr>CWIP</vt:lpstr>
      <vt:lpstr>Debt</vt:lpstr>
      <vt:lpstr>DistributionLabor</vt:lpstr>
      <vt:lpstr>DistributionPlant</vt:lpstr>
      <vt:lpstr>DistributionPlantAD</vt:lpstr>
      <vt:lpstr>EntityName</vt:lpstr>
      <vt:lpstr>Equity</vt:lpstr>
      <vt:lpstr>FilingDate</vt:lpstr>
      <vt:lpstr>GeneralDepreciation</vt:lpstr>
      <vt:lpstr>GeneralPlant</vt:lpstr>
      <vt:lpstr>GeneralPlantAD</vt:lpstr>
      <vt:lpstr>InterestExpense</vt:lpstr>
      <vt:lpstr>LaborTotal</vt:lpstr>
      <vt:lpstr>NetworkRevenue</vt:lpstr>
      <vt:lpstr>NonNetworkRevenue</vt:lpstr>
      <vt:lpstr>OtherLabor</vt:lpstr>
      <vt:lpstr>PayrollTaxes</vt:lpstr>
      <vt:lpstr>PILOT</vt:lpstr>
      <vt:lpstr>Prepayments</vt:lpstr>
      <vt:lpstr>Nonlevelized_EIA412!Print_Area</vt:lpstr>
      <vt:lpstr>ProductionLabor</vt:lpstr>
      <vt:lpstr>ProductionPlant</vt:lpstr>
      <vt:lpstr>ProductionPlantAD</vt:lpstr>
      <vt:lpstr>TransmissionDepreciation</vt:lpstr>
      <vt:lpstr>TransmissionLabor</vt:lpstr>
      <vt:lpstr>TransmissionOM</vt:lpstr>
      <vt:lpstr>TransmissionPlant</vt:lpstr>
      <vt:lpstr>TransmissionPlantAD</vt:lpstr>
      <vt:lpstr>TransmissionRent</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Haselhorst</dc:creator>
  <cp:lastModifiedBy>Malinda Hibben</cp:lastModifiedBy>
  <cp:lastPrinted>2017-03-29T18:04:33Z</cp:lastPrinted>
  <dcterms:created xsi:type="dcterms:W3CDTF">2008-03-20T17:17:49Z</dcterms:created>
  <dcterms:modified xsi:type="dcterms:W3CDTF">2019-04-29T15:52:34Z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{6ABFB920-2EC2-4352-9A12-7EF4A218163E}</vt:lpwstr>
  </property>
</Properties>
</file>