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APX2020\MISO TRANSMISSION OWNER FILINGS\Blue Earth\BLUE EARTH 2014 DATA\"/>
    </mc:Choice>
  </mc:AlternateContent>
  <bookViews>
    <workbookView xWindow="0" yWindow="0" windowWidth="20415" windowHeight="9090" tabRatio="597" firstSheet="1" activeTab="3"/>
  </bookViews>
  <sheets>
    <sheet name="Attachment O" sheetId="23" r:id="rId1"/>
    <sheet name="EIA412 BALANCE SHEET" sheetId="30" r:id="rId2"/>
    <sheet name="EIA412 INCOME STATEMENT" sheetId="29" r:id="rId3"/>
    <sheet name="EIA412 ELECTRIC PLANT" sheetId="28" r:id="rId4"/>
    <sheet name="EIA412 TAXES" sheetId="27" r:id="rId5"/>
    <sheet name="EIA412 OP &amp; MAINT" sheetId="26" r:id="rId6"/>
    <sheet name="EIA412 SALES FOR RESALE" sheetId="25" r:id="rId7"/>
    <sheet name="EIA412 PURCHASED POWER" sheetId="33" r:id="rId8"/>
    <sheet name="EIA412 NOTES" sheetId="32" r:id="rId9"/>
    <sheet name="BES1_Debt Summary" sheetId="7" r:id="rId10"/>
    <sheet name="BES2_Debt Detail" sheetId="5" r:id="rId11"/>
    <sheet name="BES3_ Trans O&amp;M" sheetId="8" r:id="rId12"/>
    <sheet name="BES4_W&amp;S Allocator" sheetId="9" r:id="rId13"/>
    <sheet name="BES5_Depreciation" sheetId="10" r:id="rId14"/>
    <sheet name="BES6_13 CP Load Data" sheetId="21" r:id="rId15"/>
    <sheet name="BES8_FIXED ASSET SUMMARY" sheetId="18" r:id="rId16"/>
    <sheet name="BES12_A&amp;G Detail" sheetId="20" r:id="rId17"/>
    <sheet name="BES13_Payment in Lieu of Taxes" sheetId="22" r:id="rId18"/>
    <sheet name="TRANS TARIFF REV &amp; EXP" sheetId="36" r:id="rId19"/>
    <sheet name="Sheet1" sheetId="37" r:id="rId20"/>
  </sheets>
  <definedNames>
    <definedName name="_xlnm.Print_Area" localSheetId="16">'BES12_A&amp;G Detail'!$C$4:$H$26</definedName>
    <definedName name="_xlnm.Print_Area" localSheetId="10">'BES2_Debt Detail'!$B$3:$M$39</definedName>
    <definedName name="_xlnm.Print_Area" localSheetId="11">'BES3_ Trans O&amp;M'!$B$3:$J$44</definedName>
    <definedName name="_xlnm.Print_Area" localSheetId="12">'BES4_W&amp;S Allocator'!$B$3:$I$29</definedName>
    <definedName name="_xlnm.Print_Area" localSheetId="13">BES5_Depreciation!$C$3:$I$20</definedName>
    <definedName name="_xlnm.Print_Area" localSheetId="14">'BES6_13 CP Load Data'!$C$2:$L$20</definedName>
    <definedName name="Print_Area_MI">#REF!</definedName>
    <definedName name="_xlnm.Print_Titles" localSheetId="18">'TRANS TARIFF REV &amp; EXP'!$A:$D,'TRANS TARIFF REV &amp; EXP'!$1:$1</definedName>
    <definedName name="QB_COLUMN_1" localSheetId="18" hidden="1">'TRANS TARIFF REV &amp; EXP'!$E$1</definedName>
    <definedName name="QB_COLUMN_14" localSheetId="18" hidden="1">'TRANS TARIFF REV &amp; EXP'!$Q$1</definedName>
    <definedName name="QB_COLUMN_140" localSheetId="18" hidden="1">'TRANS TARIFF REV &amp; EXP'!$U$1</definedName>
    <definedName name="QB_COLUMN_26" localSheetId="18" hidden="1">'TRANS TARIFF REV &amp; EXP'!$S$1</definedName>
    <definedName name="QB_COLUMN_27" localSheetId="18" hidden="1">'TRANS TARIFF REV &amp; EXP'!$W$1</definedName>
    <definedName name="QB_COLUMN_3" localSheetId="18" hidden="1">'TRANS TARIFF REV &amp; EXP'!$G$1</definedName>
    <definedName name="QB_COLUMN_30" localSheetId="18" hidden="1">'TRANS TARIFF REV &amp; EXP'!$Y$1</definedName>
    <definedName name="QB_COLUMN_31" localSheetId="18" hidden="1">'TRANS TARIFF REV &amp; EXP'!#REF!</definedName>
    <definedName name="QB_COLUMN_4" localSheetId="18" hidden="1">'TRANS TARIFF REV &amp; EXP'!$I$1</definedName>
    <definedName name="QB_COLUMN_5" localSheetId="18" hidden="1">'TRANS TARIFF REV &amp; EXP'!$K$1</definedName>
    <definedName name="QB_COLUMN_7" localSheetId="18" hidden="1">'TRANS TARIFF REV &amp; EXP'!$O$1</definedName>
    <definedName name="QB_COLUMN_8" localSheetId="18" hidden="1">'TRANS TARIFF REV &amp; EXP'!$M$1</definedName>
    <definedName name="QB_DATA_0" localSheetId="18" hidden="1">'TRANS TARIFF REV &amp; EXP'!$5:$5,'TRANS TARIFF REV &amp; EXP'!$6:$6,'TRANS TARIFF REV &amp; EXP'!$7:$7,'TRANS TARIFF REV &amp; EXP'!$8:$8,'TRANS TARIFF REV &amp; EXP'!$9:$9,'TRANS TARIFF REV &amp; EXP'!$10:$10,'TRANS TARIFF REV &amp; EXP'!$11:$11,'TRANS TARIFF REV &amp; EXP'!$12:$12,'TRANS TARIFF REV &amp; EXP'!$13:$13,'TRANS TARIFF REV &amp; EXP'!$14:$14,'TRANS TARIFF REV &amp; EXP'!$15:$15,'TRANS TARIFF REV &amp; EXP'!$16:$16,'TRANS TARIFF REV &amp; EXP'!$19:$19,'TRANS TARIFF REV &amp; EXP'!$20:$20,'TRANS TARIFF REV &amp; EXP'!$21:$21,'TRANS TARIFF REV &amp; EXP'!$22:$22</definedName>
    <definedName name="QB_DATA_1" localSheetId="18" hidden="1">'TRANS TARIFF REV &amp; EXP'!$23:$23,'TRANS TARIFF REV &amp; EXP'!$24:$24,'TRANS TARIFF REV &amp; EXP'!$25:$25,'TRANS TARIFF REV &amp; EXP'!$26:$26,'TRANS TARIFF REV &amp; EXP'!$27:$27,'TRANS TARIFF REV &amp; EXP'!$28:$28,'TRANS TARIFF REV &amp; EXP'!$29:$29,'TRANS TARIFF REV &amp; EXP'!$30:$30,'TRANS TARIFF REV &amp; EXP'!$33:$33,'TRANS TARIFF REV &amp; EXP'!$34:$34,'TRANS TARIFF REV &amp; EXP'!$35:$35,'TRANS TARIFF REV &amp; EXP'!$36:$36,'TRANS TARIFF REV &amp; EXP'!$37:$37,'TRANS TARIFF REV &amp; EXP'!$38:$38,'TRANS TARIFF REV &amp; EXP'!$39:$39,'TRANS TARIFF REV &amp; EXP'!$40:$40</definedName>
    <definedName name="QB_DATA_2" localSheetId="18" hidden="1">'TRANS TARIFF REV &amp; EXP'!$41:$41,'TRANS TARIFF REV &amp; EXP'!$42:$42,'TRANS TARIFF REV &amp; EXP'!$43:$43,'TRANS TARIFF REV &amp; EXP'!$44:$44,'TRANS TARIFF REV &amp; EXP'!$47:$47,'TRANS TARIFF REV &amp; EXP'!$48:$48,'TRANS TARIFF REV &amp; EXP'!$49:$49,'TRANS TARIFF REV &amp; EXP'!$50:$50,'TRANS TARIFF REV &amp; EXP'!$51:$51,'TRANS TARIFF REV &amp; EXP'!$52:$52,'TRANS TARIFF REV &amp; EXP'!$53:$53,'TRANS TARIFF REV &amp; EXP'!$54:$54,'TRANS TARIFF REV &amp; EXP'!$55:$55,'TRANS TARIFF REV &amp; EXP'!$56:$56,'TRANS TARIFF REV &amp; EXP'!$57:$57,'TRANS TARIFF REV &amp; EXP'!$58:$58</definedName>
    <definedName name="QB_DATA_3" localSheetId="18" hidden="1">'TRANS TARIFF REV &amp; EXP'!$59:$59</definedName>
    <definedName name="QB_FORMULA_0" localSheetId="18" hidden="1">'TRANS TARIFF REV &amp; EXP'!$Y$5,'TRANS TARIFF REV &amp; EXP'!#REF!,'TRANS TARIFF REV &amp; EXP'!$Y$6,'TRANS TARIFF REV &amp; EXP'!#REF!,'TRANS TARIFF REV &amp; EXP'!$Y$7,'TRANS TARIFF REV &amp; EXP'!#REF!,'TRANS TARIFF REV &amp; EXP'!$Y$8,'TRANS TARIFF REV &amp; EXP'!#REF!,'TRANS TARIFF REV &amp; EXP'!$Y$9,'TRANS TARIFF REV &amp; EXP'!#REF!,'TRANS TARIFF REV &amp; EXP'!$Y$10,'TRANS TARIFF REV &amp; EXP'!#REF!,'TRANS TARIFF REV &amp; EXP'!$Y$11,'TRANS TARIFF REV &amp; EXP'!#REF!,'TRANS TARIFF REV &amp; EXP'!$Y$12,'TRANS TARIFF REV &amp; EXP'!#REF!</definedName>
    <definedName name="QB_FORMULA_1" localSheetId="18" hidden="1">'TRANS TARIFF REV &amp; EXP'!$Y$13,'TRANS TARIFF REV &amp; EXP'!#REF!,'TRANS TARIFF REV &amp; EXP'!$Y$14,'TRANS TARIFF REV &amp; EXP'!#REF!,'TRANS TARIFF REV &amp; EXP'!$Y$15,'TRANS TARIFF REV &amp; EXP'!#REF!,'TRANS TARIFF REV &amp; EXP'!$Y$16,'TRANS TARIFF REV &amp; EXP'!#REF!,'TRANS TARIFF REV &amp; EXP'!$S$17,'TRANS TARIFF REV &amp; EXP'!$Y$17,'TRANS TARIFF REV &amp; EXP'!#REF!,'TRANS TARIFF REV &amp; EXP'!$Y$19,'TRANS TARIFF REV &amp; EXP'!#REF!,'TRANS TARIFF REV &amp; EXP'!$Y$20,'TRANS TARIFF REV &amp; EXP'!#REF!,'TRANS TARIFF REV &amp; EXP'!$Y$21</definedName>
    <definedName name="QB_FORMULA_2" localSheetId="18" hidden="1">'TRANS TARIFF REV &amp; EXP'!#REF!,'TRANS TARIFF REV &amp; EXP'!$Y$22,'TRANS TARIFF REV &amp; EXP'!#REF!,'TRANS TARIFF REV &amp; EXP'!$Y$23,'TRANS TARIFF REV &amp; EXP'!#REF!,'TRANS TARIFF REV &amp; EXP'!$Y$24,'TRANS TARIFF REV &amp; EXP'!#REF!,'TRANS TARIFF REV &amp; EXP'!$Y$25,'TRANS TARIFF REV &amp; EXP'!#REF!,'TRANS TARIFF REV &amp; EXP'!$Y$26,'TRANS TARIFF REV &amp; EXP'!#REF!,'TRANS TARIFF REV &amp; EXP'!$Y$27,'TRANS TARIFF REV &amp; EXP'!#REF!,'TRANS TARIFF REV &amp; EXP'!$Y$28,'TRANS TARIFF REV &amp; EXP'!#REF!,'TRANS TARIFF REV &amp; EXP'!$Y$29</definedName>
    <definedName name="QB_FORMULA_3" localSheetId="18" hidden="1">'TRANS TARIFF REV &amp; EXP'!#REF!,'TRANS TARIFF REV &amp; EXP'!$Y$30,'TRANS TARIFF REV &amp; EXP'!#REF!,'TRANS TARIFF REV &amp; EXP'!$S$31,'TRANS TARIFF REV &amp; EXP'!$Y$31,'TRANS TARIFF REV &amp; EXP'!#REF!,'TRANS TARIFF REV &amp; EXP'!$Y$33,'TRANS TARIFF REV &amp; EXP'!#REF!,'TRANS TARIFF REV &amp; EXP'!$Y$34,'TRANS TARIFF REV &amp; EXP'!#REF!,'TRANS TARIFF REV &amp; EXP'!$Y$35,'TRANS TARIFF REV &amp; EXP'!#REF!,'TRANS TARIFF REV &amp; EXP'!$Y$36,'TRANS TARIFF REV &amp; EXP'!#REF!,'TRANS TARIFF REV &amp; EXP'!$Y$37,'TRANS TARIFF REV &amp; EXP'!#REF!</definedName>
    <definedName name="QB_FORMULA_4" localSheetId="18" hidden="1">'TRANS TARIFF REV &amp; EXP'!$Y$38,'TRANS TARIFF REV &amp; EXP'!#REF!,'TRANS TARIFF REV &amp; EXP'!$Y$39,'TRANS TARIFF REV &amp; EXP'!#REF!,'TRANS TARIFF REV &amp; EXP'!$Y$40,'TRANS TARIFF REV &amp; EXP'!#REF!,'TRANS TARIFF REV &amp; EXP'!$Y$41,'TRANS TARIFF REV &amp; EXP'!#REF!,'TRANS TARIFF REV &amp; EXP'!$Y$42,'TRANS TARIFF REV &amp; EXP'!#REF!,'TRANS TARIFF REV &amp; EXP'!$Y$43,'TRANS TARIFF REV &amp; EXP'!#REF!,'TRANS TARIFF REV &amp; EXP'!$Y$44,'TRANS TARIFF REV &amp; EXP'!#REF!,'TRANS TARIFF REV &amp; EXP'!$S$45,'TRANS TARIFF REV &amp; EXP'!$Y$45</definedName>
    <definedName name="QB_FORMULA_5" localSheetId="18" hidden="1">'TRANS TARIFF REV &amp; EXP'!#REF!,'TRANS TARIFF REV &amp; EXP'!$Y$47,'TRANS TARIFF REV &amp; EXP'!#REF!,'TRANS TARIFF REV &amp; EXP'!$Y$48,'TRANS TARIFF REV &amp; EXP'!#REF!,'TRANS TARIFF REV &amp; EXP'!$Y$49,'TRANS TARIFF REV &amp; EXP'!#REF!,'TRANS TARIFF REV &amp; EXP'!$Y$50,'TRANS TARIFF REV &amp; EXP'!#REF!,'TRANS TARIFF REV &amp; EXP'!$Y$51,'TRANS TARIFF REV &amp; EXP'!#REF!,'TRANS TARIFF REV &amp; EXP'!$Y$52,'TRANS TARIFF REV &amp; EXP'!#REF!,'TRANS TARIFF REV &amp; EXP'!$Y$53,'TRANS TARIFF REV &amp; EXP'!#REF!,'TRANS TARIFF REV &amp; EXP'!$Y$54</definedName>
    <definedName name="QB_FORMULA_6" localSheetId="18" hidden="1">'TRANS TARIFF REV &amp; EXP'!#REF!,'TRANS TARIFF REV &amp; EXP'!$Y$55,'TRANS TARIFF REV &amp; EXP'!#REF!,'TRANS TARIFF REV &amp; EXP'!$Y$56,'TRANS TARIFF REV &amp; EXP'!#REF!,'TRANS TARIFF REV &amp; EXP'!$Y$57,'TRANS TARIFF REV &amp; EXP'!#REF!,'TRANS TARIFF REV &amp; EXP'!$Y$58,'TRANS TARIFF REV &amp; EXP'!#REF!,'TRANS TARIFF REV &amp; EXP'!$Y$59,'TRANS TARIFF REV &amp; EXP'!#REF!,'TRANS TARIFF REV &amp; EXP'!$S$60,'TRANS TARIFF REV &amp; EXP'!$Y$60,'TRANS TARIFF REV &amp; EXP'!#REF!,'TRANS TARIFF REV &amp; EXP'!$S$61,'TRANS TARIFF REV &amp; EXP'!$Y$61</definedName>
    <definedName name="QB_FORMULA_7" localSheetId="18" hidden="1">'TRANS TARIFF REV &amp; EXP'!#REF!,'TRANS TARIFF REV &amp; EXP'!$S$62,'TRANS TARIFF REV &amp; EXP'!$Y$62,'TRANS TARIFF REV &amp; EXP'!#REF!,'TRANS TARIFF REV &amp; EXP'!$S$63,'TRANS TARIFF REV &amp; EXP'!$Y$63,'TRANS TARIFF REV &amp; EXP'!#REF!</definedName>
    <definedName name="QB_ROW_1207020" localSheetId="18" hidden="1">'TRANS TARIFF REV &amp; EXP'!$C$3</definedName>
    <definedName name="QB_ROW_1207320" localSheetId="18" hidden="1">'TRANS TARIFF REV &amp; EXP'!$C$61</definedName>
    <definedName name="QB_ROW_1235030" localSheetId="18" hidden="1">'TRANS TARIFF REV &amp; EXP'!$D$4</definedName>
    <definedName name="QB_ROW_1235330" localSheetId="18" hidden="1">'TRANS TARIFF REV &amp; EXP'!$D$17</definedName>
    <definedName name="QB_ROW_1237030" localSheetId="18" hidden="1">'TRANS TARIFF REV &amp; EXP'!$D$32</definedName>
    <definedName name="QB_ROW_1237330" localSheetId="18" hidden="1">'TRANS TARIFF REV &amp; EXP'!$D$45</definedName>
    <definedName name="QB_ROW_1239030" localSheetId="18" hidden="1">'TRANS TARIFF REV &amp; EXP'!$D$46</definedName>
    <definedName name="QB_ROW_1239330" localSheetId="18" hidden="1">'TRANS TARIFF REV &amp; EXP'!$D$60</definedName>
    <definedName name="QB_ROW_1241030" localSheetId="18" hidden="1">'TRANS TARIFF REV &amp; EXP'!$D$18</definedName>
    <definedName name="QB_ROW_1241330" localSheetId="18" hidden="1">'TRANS TARIFF REV &amp; EXP'!$D$31</definedName>
    <definedName name="QB_ROW_46301" localSheetId="18" hidden="1">'TRANS TARIFF REV &amp; EXP'!$A$63</definedName>
    <definedName name="QB_ROW_49011" localSheetId="18" hidden="1">'TRANS TARIFF REV &amp; EXP'!$B$2</definedName>
    <definedName name="QB_ROW_49311" localSheetId="18" hidden="1">'TRANS TARIFF REV &amp; EXP'!$B$62</definedName>
    <definedName name="QBCANSUPPORTUPDATE" localSheetId="18">TRUE</definedName>
    <definedName name="QBCOMPANYFILENAME" localSheetId="18">"\\Be-server2016\quickbooks\UTILITIES PLUS.QBW"</definedName>
    <definedName name="QBENDDATE" localSheetId="18">20141231</definedName>
    <definedName name="QBHEADERSONSCREEN" localSheetId="18">FALSE</definedName>
    <definedName name="QBMETADATASIZE" localSheetId="18">7466</definedName>
    <definedName name="QBPRESERVECOLOR" localSheetId="18">TRUE</definedName>
    <definedName name="QBPRESERVEFONT" localSheetId="18">TRUE</definedName>
    <definedName name="QBPRESERVEROWHEIGHT" localSheetId="18">TRUE</definedName>
    <definedName name="QBPRESERVESPACE" localSheetId="18">TRUE</definedName>
    <definedName name="QBREPORTCOLAXIS" localSheetId="18">0</definedName>
    <definedName name="QBREPORTCOMPANYID" localSheetId="18">"bf4546971b1f46298ba13004a1d6ad14"</definedName>
    <definedName name="QBREPORTCOMPARECOL_ANNUALBUDGET" localSheetId="18">FALSE</definedName>
    <definedName name="QBREPORTCOMPARECOL_AVGCOGS" localSheetId="18">FALSE</definedName>
    <definedName name="QBREPORTCOMPARECOL_AVGPRICE" localSheetId="18">FALSE</definedName>
    <definedName name="QBREPORTCOMPARECOL_BUDDIFF" localSheetId="18">FALSE</definedName>
    <definedName name="QBREPORTCOMPARECOL_BUDGET" localSheetId="18">FALSE</definedName>
    <definedName name="QBREPORTCOMPARECOL_BUDPCT" localSheetId="18">FALSE</definedName>
    <definedName name="QBREPORTCOMPARECOL_COGS" localSheetId="18">FALSE</definedName>
    <definedName name="QBREPORTCOMPARECOL_EXCLUDEAMOUNT" localSheetId="18">FALSE</definedName>
    <definedName name="QBREPORTCOMPARECOL_EXCLUDECURPERIOD" localSheetId="18">FALSE</definedName>
    <definedName name="QBREPORTCOMPARECOL_FORECAST" localSheetId="18">FALSE</definedName>
    <definedName name="QBREPORTCOMPARECOL_GROSSMARGIN" localSheetId="18">FALSE</definedName>
    <definedName name="QBREPORTCOMPARECOL_GROSSMARGINPCT" localSheetId="18">FALSE</definedName>
    <definedName name="QBREPORTCOMPARECOL_HOURS" localSheetId="18">FALSE</definedName>
    <definedName name="QBREPORTCOMPARECOL_PCTCOL" localSheetId="18">FALSE</definedName>
    <definedName name="QBREPORTCOMPARECOL_PCTEXPENSE" localSheetId="18">FALSE</definedName>
    <definedName name="QBREPORTCOMPARECOL_PCTINCOME" localSheetId="18">FALSE</definedName>
    <definedName name="QBREPORTCOMPARECOL_PCTOFSALES" localSheetId="18">FALSE</definedName>
    <definedName name="QBREPORTCOMPARECOL_PCTROW" localSheetId="18">FALSE</definedName>
    <definedName name="QBREPORTCOMPARECOL_PPDIFF" localSheetId="18">FALSE</definedName>
    <definedName name="QBREPORTCOMPARECOL_PPPCT" localSheetId="18">FALSE</definedName>
    <definedName name="QBREPORTCOMPARECOL_PREVPERIOD" localSheetId="18">FALSE</definedName>
    <definedName name="QBREPORTCOMPARECOL_PREVYEAR" localSheetId="18">FALSE</definedName>
    <definedName name="QBREPORTCOMPARECOL_PYDIFF" localSheetId="18">FALSE</definedName>
    <definedName name="QBREPORTCOMPARECOL_PYPCT" localSheetId="18">FALSE</definedName>
    <definedName name="QBREPORTCOMPARECOL_QTY" localSheetId="18">FALSE</definedName>
    <definedName name="QBREPORTCOMPARECOL_RATE" localSheetId="18">FALSE</definedName>
    <definedName name="QBREPORTCOMPARECOL_TRIPBILLEDMILES" localSheetId="18">FALSE</definedName>
    <definedName name="QBREPORTCOMPARECOL_TRIPBILLINGAMOUNT" localSheetId="18">FALSE</definedName>
    <definedName name="QBREPORTCOMPARECOL_TRIPMILES" localSheetId="18">FALSE</definedName>
    <definedName name="QBREPORTCOMPARECOL_TRIPNOTBILLABLEMILES" localSheetId="18">FALSE</definedName>
    <definedName name="QBREPORTCOMPARECOL_TRIPTAXDEDUCTIBLEAMOUNT" localSheetId="18">FALSE</definedName>
    <definedName name="QBREPORTCOMPARECOL_TRIPUNBILLEDMILES" localSheetId="18">FALSE</definedName>
    <definedName name="QBREPORTCOMPARECOL_YTD" localSheetId="18">FALSE</definedName>
    <definedName name="QBREPORTCOMPARECOL_YTDBUDGET" localSheetId="18">FALSE</definedName>
    <definedName name="QBREPORTCOMPARECOL_YTDPCT" localSheetId="18">FALSE</definedName>
    <definedName name="QBREPORTROWAXIS" localSheetId="18">21</definedName>
    <definedName name="QBREPORTSUBCOLAXIS" localSheetId="18">0</definedName>
    <definedName name="QBREPORTTYPE" localSheetId="18">11</definedName>
    <definedName name="QBROWHEADERS" localSheetId="18">4</definedName>
    <definedName name="QBSTARTDATE" localSheetId="18">20140101</definedName>
  </definedNames>
  <calcPr calcId="152511"/>
</workbook>
</file>

<file path=xl/calcChain.xml><?xml version="1.0" encoding="utf-8"?>
<calcChain xmlns="http://schemas.openxmlformats.org/spreadsheetml/2006/main">
  <c r="I29" i="28" l="1"/>
  <c r="D18" i="26" l="1"/>
  <c r="E21" i="26"/>
  <c r="I265" i="23"/>
  <c r="I264" i="23"/>
  <c r="F39" i="20"/>
  <c r="S60" i="36"/>
  <c r="Y59" i="36"/>
  <c r="Y58" i="36"/>
  <c r="Y57" i="36"/>
  <c r="Y56" i="36"/>
  <c r="Y55" i="36"/>
  <c r="Y54" i="36"/>
  <c r="Y53" i="36"/>
  <c r="Y52" i="36"/>
  <c r="Y51" i="36"/>
  <c r="Y50" i="36"/>
  <c r="Y49" i="36"/>
  <c r="Y48" i="36"/>
  <c r="Y60" i="36" s="1"/>
  <c r="Y47" i="36"/>
  <c r="S45" i="36"/>
  <c r="Y44" i="36"/>
  <c r="Y43" i="36"/>
  <c r="Y42" i="36"/>
  <c r="Y41" i="36"/>
  <c r="Y40" i="36"/>
  <c r="Y39" i="36"/>
  <c r="Y38" i="36"/>
  <c r="Y37" i="36"/>
  <c r="Y36" i="36"/>
  <c r="Y35" i="36"/>
  <c r="Y34" i="36"/>
  <c r="Y33" i="36"/>
  <c r="Y45" i="36" s="1"/>
  <c r="S31" i="36"/>
  <c r="Y30" i="36"/>
  <c r="Y29" i="36"/>
  <c r="Y28" i="36"/>
  <c r="Y27" i="36"/>
  <c r="Y26" i="36"/>
  <c r="Y25" i="36"/>
  <c r="Y24" i="36"/>
  <c r="Y23" i="36"/>
  <c r="Y22" i="36"/>
  <c r="Y21" i="36"/>
  <c r="Y20" i="36"/>
  <c r="Y31" i="36" s="1"/>
  <c r="Y19" i="36"/>
  <c r="S17" i="36"/>
  <c r="S61" i="36" s="1"/>
  <c r="S62" i="36" s="1"/>
  <c r="S63" i="36" s="1"/>
  <c r="Y16" i="36"/>
  <c r="Y15" i="36"/>
  <c r="Y14" i="36"/>
  <c r="Y13" i="36"/>
  <c r="Y12" i="36"/>
  <c r="Y11" i="36"/>
  <c r="Y10" i="36"/>
  <c r="Y9" i="36"/>
  <c r="Y8" i="36"/>
  <c r="Y7" i="36"/>
  <c r="Y6" i="36"/>
  <c r="Y5" i="36"/>
  <c r="Y17" i="36" s="1"/>
  <c r="Y61" i="36" l="1"/>
  <c r="Y62" i="36" s="1"/>
  <c r="Y63" i="36" s="1"/>
  <c r="D276" i="23"/>
  <c r="D275" i="23"/>
  <c r="I274" i="23"/>
  <c r="C274" i="23"/>
  <c r="B274" i="23"/>
  <c r="I27" i="23"/>
  <c r="T3" i="21"/>
  <c r="H578" i="21"/>
  <c r="G578" i="21"/>
  <c r="H577" i="21"/>
  <c r="G577" i="21"/>
  <c r="H576" i="21"/>
  <c r="G576" i="21"/>
  <c r="H575" i="21"/>
  <c r="G575" i="21"/>
  <c r="H574" i="21"/>
  <c r="G574" i="21"/>
  <c r="H573" i="21"/>
  <c r="G573" i="21"/>
  <c r="H572" i="21"/>
  <c r="G572" i="21"/>
  <c r="H571" i="21"/>
  <c r="G571" i="21"/>
  <c r="H570" i="21"/>
  <c r="G570" i="21"/>
  <c r="H569" i="21"/>
  <c r="G569" i="21"/>
  <c r="H568" i="21"/>
  <c r="G568" i="21"/>
  <c r="H567" i="21"/>
  <c r="G567" i="21"/>
  <c r="H566" i="21"/>
  <c r="G566" i="21"/>
  <c r="H565" i="21"/>
  <c r="G565" i="21"/>
  <c r="H564" i="21"/>
  <c r="G564" i="21"/>
  <c r="H563" i="21"/>
  <c r="G563" i="21"/>
  <c r="H562" i="21"/>
  <c r="G562" i="21"/>
  <c r="H561" i="21"/>
  <c r="G561" i="21"/>
  <c r="H560" i="21"/>
  <c r="G560" i="21"/>
  <c r="H559" i="21"/>
  <c r="G559" i="21"/>
  <c r="H558" i="21"/>
  <c r="G558" i="21"/>
  <c r="H557" i="21"/>
  <c r="G557" i="21"/>
  <c r="H556" i="21"/>
  <c r="G556" i="21"/>
  <c r="H555" i="21"/>
  <c r="G555" i="21"/>
  <c r="H554" i="21"/>
  <c r="G554" i="21"/>
  <c r="H553" i="21"/>
  <c r="G553" i="21"/>
  <c r="H552" i="21"/>
  <c r="G552" i="21"/>
  <c r="H551" i="21"/>
  <c r="G551" i="21"/>
  <c r="H550" i="21"/>
  <c r="G550" i="21"/>
  <c r="H549" i="21"/>
  <c r="G549" i="21"/>
  <c r="H548" i="21"/>
  <c r="G548" i="21"/>
  <c r="H547" i="21"/>
  <c r="G547" i="21"/>
  <c r="H546" i="21"/>
  <c r="G546" i="21"/>
  <c r="H545" i="21"/>
  <c r="G545" i="21"/>
  <c r="H544" i="21"/>
  <c r="G544" i="21"/>
  <c r="H543" i="21"/>
  <c r="G543" i="21"/>
  <c r="H542" i="21"/>
  <c r="G542" i="21"/>
  <c r="H541" i="21"/>
  <c r="G541" i="21"/>
  <c r="H540" i="21"/>
  <c r="G540" i="21"/>
  <c r="H539" i="21"/>
  <c r="G539" i="21"/>
  <c r="H538" i="21"/>
  <c r="G538" i="21"/>
  <c r="H537" i="21"/>
  <c r="G537" i="21"/>
  <c r="H536" i="21"/>
  <c r="G536" i="21"/>
  <c r="H535" i="21"/>
  <c r="G535" i="21"/>
  <c r="H534" i="21"/>
  <c r="G534" i="21"/>
  <c r="H533" i="21"/>
  <c r="G533" i="21"/>
  <c r="H532" i="21"/>
  <c r="G532" i="21"/>
  <c r="H531" i="21"/>
  <c r="G531" i="21"/>
  <c r="H530" i="21"/>
  <c r="G530" i="21"/>
  <c r="H529" i="21"/>
  <c r="G529" i="21"/>
  <c r="H528" i="21"/>
  <c r="G528" i="21"/>
  <c r="H527" i="21"/>
  <c r="G527" i="21"/>
  <c r="H526" i="21"/>
  <c r="G526" i="21"/>
  <c r="H525" i="21"/>
  <c r="G525" i="21"/>
  <c r="H524" i="21"/>
  <c r="G524" i="21"/>
  <c r="H523" i="21"/>
  <c r="G523" i="21"/>
  <c r="H522" i="21"/>
  <c r="G522" i="21"/>
  <c r="H521" i="21"/>
  <c r="G521" i="21"/>
  <c r="H520" i="21"/>
  <c r="G520" i="21"/>
  <c r="H519" i="21"/>
  <c r="G519" i="21"/>
  <c r="H518" i="21"/>
  <c r="G518" i="21"/>
  <c r="H517" i="21"/>
  <c r="G517" i="21"/>
  <c r="H516" i="21"/>
  <c r="G516" i="21"/>
  <c r="H515" i="21"/>
  <c r="G515" i="21"/>
  <c r="H514" i="21"/>
  <c r="G514" i="21"/>
  <c r="H513" i="21"/>
  <c r="G513" i="21"/>
  <c r="H512" i="21"/>
  <c r="G512" i="21"/>
  <c r="H511" i="21"/>
  <c r="G511" i="21"/>
  <c r="H510" i="21"/>
  <c r="G510" i="21"/>
  <c r="H509" i="21"/>
  <c r="G509" i="21"/>
  <c r="H508" i="21"/>
  <c r="G508" i="21"/>
  <c r="H507" i="21"/>
  <c r="G507" i="21"/>
  <c r="H506" i="21"/>
  <c r="G506" i="21"/>
  <c r="H505" i="21"/>
  <c r="G505" i="21"/>
  <c r="H504" i="21"/>
  <c r="G504" i="21"/>
  <c r="H503" i="21"/>
  <c r="G503" i="21"/>
  <c r="H502" i="21"/>
  <c r="G502" i="21"/>
  <c r="H501" i="21"/>
  <c r="G501" i="21"/>
  <c r="H500" i="21"/>
  <c r="G500" i="21"/>
  <c r="H499" i="21"/>
  <c r="G499" i="21"/>
  <c r="H498" i="21"/>
  <c r="G498" i="21"/>
  <c r="H497" i="21"/>
  <c r="G497" i="21"/>
  <c r="H496" i="21"/>
  <c r="G496" i="21"/>
  <c r="H495" i="21"/>
  <c r="G495" i="21"/>
  <c r="H494" i="21"/>
  <c r="G494" i="21"/>
  <c r="H493" i="21"/>
  <c r="G493" i="21"/>
  <c r="H492" i="21"/>
  <c r="G492" i="21"/>
  <c r="H491" i="21"/>
  <c r="G491" i="21"/>
  <c r="H490" i="21"/>
  <c r="G490" i="21"/>
  <c r="H489" i="21"/>
  <c r="G489" i="21"/>
  <c r="H488" i="21"/>
  <c r="G488" i="21"/>
  <c r="H487" i="21"/>
  <c r="G487" i="21"/>
  <c r="H486" i="21"/>
  <c r="G486" i="21"/>
  <c r="H485" i="21"/>
  <c r="G485" i="21"/>
  <c r="H484" i="21"/>
  <c r="G484" i="21"/>
  <c r="H483" i="21"/>
  <c r="G483" i="21"/>
  <c r="H482" i="21"/>
  <c r="G482" i="21"/>
  <c r="H481" i="21"/>
  <c r="G481" i="21"/>
  <c r="H480" i="21"/>
  <c r="G480" i="21"/>
  <c r="H479" i="21"/>
  <c r="G479" i="21"/>
  <c r="H478" i="21"/>
  <c r="G478" i="21"/>
  <c r="H477" i="21"/>
  <c r="G477" i="21"/>
  <c r="H476" i="21"/>
  <c r="G476" i="21"/>
  <c r="H475" i="21"/>
  <c r="G475" i="21"/>
  <c r="H474" i="21"/>
  <c r="G474" i="21"/>
  <c r="H473" i="21"/>
  <c r="G473" i="21"/>
  <c r="H472" i="21"/>
  <c r="G472" i="21"/>
  <c r="H471" i="21"/>
  <c r="G471" i="21"/>
  <c r="H470" i="21"/>
  <c r="G470" i="21"/>
  <c r="H469" i="21"/>
  <c r="G469" i="21"/>
  <c r="H468" i="21"/>
  <c r="G468" i="21"/>
  <c r="H467" i="21"/>
  <c r="G467" i="21"/>
  <c r="H466" i="21"/>
  <c r="G466" i="21"/>
  <c r="H465" i="21"/>
  <c r="G465" i="21"/>
  <c r="H464" i="21"/>
  <c r="G464" i="21"/>
  <c r="H463" i="21"/>
  <c r="G463" i="21"/>
  <c r="H462" i="21"/>
  <c r="G462" i="21"/>
  <c r="H461" i="21"/>
  <c r="G461" i="21"/>
  <c r="H460" i="21"/>
  <c r="G460" i="21"/>
  <c r="H459" i="21"/>
  <c r="G459" i="21"/>
  <c r="H458" i="21"/>
  <c r="G458" i="21"/>
  <c r="H457" i="21"/>
  <c r="G457" i="21"/>
  <c r="H456" i="21"/>
  <c r="G456" i="21"/>
  <c r="H455" i="21"/>
  <c r="G455" i="21"/>
  <c r="H454" i="21"/>
  <c r="G454" i="21"/>
  <c r="H453" i="21"/>
  <c r="G453" i="21"/>
  <c r="H452" i="21"/>
  <c r="G452" i="21"/>
  <c r="H451" i="21"/>
  <c r="G451" i="21"/>
  <c r="H450" i="21"/>
  <c r="G450" i="21"/>
  <c r="H449" i="21"/>
  <c r="G449" i="21"/>
  <c r="H448" i="21"/>
  <c r="G448" i="21"/>
  <c r="H447" i="21"/>
  <c r="G447" i="21"/>
  <c r="H446" i="21"/>
  <c r="G446" i="21"/>
  <c r="H445" i="21"/>
  <c r="G445" i="21"/>
  <c r="H444" i="21"/>
  <c r="G444" i="21"/>
  <c r="H443" i="21"/>
  <c r="G443" i="21"/>
  <c r="H442" i="21"/>
  <c r="G442" i="21"/>
  <c r="H441" i="21"/>
  <c r="G441" i="21"/>
  <c r="H440" i="21"/>
  <c r="G440" i="21"/>
  <c r="H439" i="21"/>
  <c r="G439" i="21"/>
  <c r="H438" i="21"/>
  <c r="G438" i="21"/>
  <c r="H437" i="21"/>
  <c r="G437" i="21"/>
  <c r="H436" i="21"/>
  <c r="G436" i="21"/>
  <c r="H435" i="21"/>
  <c r="G435" i="21"/>
  <c r="H434" i="21"/>
  <c r="G434" i="21"/>
  <c r="H433" i="21"/>
  <c r="G433" i="21"/>
  <c r="H432" i="21"/>
  <c r="G432" i="21"/>
  <c r="H431" i="21"/>
  <c r="G431" i="21"/>
  <c r="H430" i="21"/>
  <c r="G430" i="21"/>
  <c r="H429" i="21"/>
  <c r="G429" i="21"/>
  <c r="H428" i="21"/>
  <c r="G428" i="21"/>
  <c r="H427" i="21"/>
  <c r="G427" i="21"/>
  <c r="H426" i="21"/>
  <c r="G426" i="21"/>
  <c r="H425" i="21"/>
  <c r="G425" i="21"/>
  <c r="H424" i="21"/>
  <c r="G424" i="21"/>
  <c r="H423" i="21"/>
  <c r="G423" i="21"/>
  <c r="H422" i="21"/>
  <c r="G422" i="21"/>
  <c r="H421" i="21"/>
  <c r="G421" i="21"/>
  <c r="H420" i="21"/>
  <c r="G420" i="21"/>
  <c r="H419" i="21"/>
  <c r="G419" i="21"/>
  <c r="H418" i="21"/>
  <c r="G418" i="21"/>
  <c r="H417" i="21"/>
  <c r="G417" i="21"/>
  <c r="H416" i="21"/>
  <c r="G416" i="21"/>
  <c r="H415" i="21"/>
  <c r="G415" i="21"/>
  <c r="H414" i="21"/>
  <c r="G414" i="21"/>
  <c r="H413" i="21"/>
  <c r="G413" i="21"/>
  <c r="H412" i="21"/>
  <c r="G412" i="21"/>
  <c r="H411" i="21"/>
  <c r="G411" i="21"/>
  <c r="H410" i="21"/>
  <c r="G410" i="21"/>
  <c r="H409" i="21"/>
  <c r="G409" i="21"/>
  <c r="H408" i="21"/>
  <c r="G408" i="21"/>
  <c r="H407" i="21"/>
  <c r="G407" i="21"/>
  <c r="H406" i="21"/>
  <c r="G406" i="21"/>
  <c r="H405" i="21"/>
  <c r="G405" i="21"/>
  <c r="H404" i="21"/>
  <c r="G404" i="21"/>
  <c r="H403" i="21"/>
  <c r="G403" i="21"/>
  <c r="H402" i="21"/>
  <c r="G402" i="21"/>
  <c r="H401" i="21"/>
  <c r="G401" i="21"/>
  <c r="H400" i="21"/>
  <c r="G400" i="21"/>
  <c r="H399" i="21"/>
  <c r="G399" i="21"/>
  <c r="H398" i="21"/>
  <c r="G398" i="21"/>
  <c r="H397" i="21"/>
  <c r="G397" i="21"/>
  <c r="H396" i="21"/>
  <c r="G396" i="21"/>
  <c r="H395" i="21"/>
  <c r="G395" i="21"/>
  <c r="H394" i="21"/>
  <c r="G394" i="21"/>
  <c r="H393" i="21"/>
  <c r="G393" i="21"/>
  <c r="H392" i="21"/>
  <c r="G392" i="21"/>
  <c r="H391" i="21"/>
  <c r="G391" i="21"/>
  <c r="H390" i="21"/>
  <c r="G390" i="21"/>
  <c r="H389" i="21"/>
  <c r="G389" i="21"/>
  <c r="H388" i="21"/>
  <c r="G388" i="21"/>
  <c r="H387" i="21"/>
  <c r="G387" i="21"/>
  <c r="H386" i="21"/>
  <c r="G386" i="21"/>
  <c r="H385" i="21"/>
  <c r="G385" i="21"/>
  <c r="H384" i="21"/>
  <c r="G384" i="21"/>
  <c r="H383" i="21"/>
  <c r="G383" i="21"/>
  <c r="H382" i="21"/>
  <c r="G382" i="21"/>
  <c r="H381" i="21"/>
  <c r="G381" i="21"/>
  <c r="H380" i="21"/>
  <c r="G380" i="21"/>
  <c r="H379" i="21"/>
  <c r="G379" i="21"/>
  <c r="H378" i="21"/>
  <c r="G378" i="21"/>
  <c r="H377" i="21"/>
  <c r="G377" i="21"/>
  <c r="H376" i="21"/>
  <c r="G376" i="21"/>
  <c r="H375" i="21"/>
  <c r="G375" i="21"/>
  <c r="H374" i="21"/>
  <c r="G374" i="21"/>
  <c r="H373" i="21"/>
  <c r="G373" i="21"/>
  <c r="H372" i="21"/>
  <c r="G372" i="21"/>
  <c r="H371" i="21"/>
  <c r="G371" i="21"/>
  <c r="H370" i="21"/>
  <c r="G370" i="21"/>
  <c r="H369" i="21"/>
  <c r="G369" i="21"/>
  <c r="H368" i="21"/>
  <c r="G368" i="21"/>
  <c r="H367" i="21"/>
  <c r="G367" i="21"/>
  <c r="H366" i="21"/>
  <c r="G366" i="21"/>
  <c r="H365" i="21"/>
  <c r="G365" i="21"/>
  <c r="H364" i="21"/>
  <c r="G364" i="21"/>
  <c r="H363" i="21"/>
  <c r="G363" i="21"/>
  <c r="H362" i="21"/>
  <c r="G362" i="21"/>
  <c r="H361" i="21"/>
  <c r="G361" i="21"/>
  <c r="H360" i="21"/>
  <c r="G360" i="21"/>
  <c r="H359" i="21"/>
  <c r="G359" i="21"/>
  <c r="H358" i="21"/>
  <c r="G358" i="21"/>
  <c r="H357" i="21"/>
  <c r="G357" i="21"/>
  <c r="H356" i="21"/>
  <c r="G356" i="21"/>
  <c r="H355" i="21"/>
  <c r="G355" i="21"/>
  <c r="H354" i="21"/>
  <c r="G354" i="21"/>
  <c r="H353" i="21"/>
  <c r="G353" i="21"/>
  <c r="H352" i="21"/>
  <c r="G352" i="21"/>
  <c r="H351" i="21"/>
  <c r="G351" i="21"/>
  <c r="H350" i="21"/>
  <c r="G350" i="21"/>
  <c r="H349" i="21"/>
  <c r="G349" i="21"/>
  <c r="H348" i="21"/>
  <c r="G348" i="21"/>
  <c r="H347" i="21"/>
  <c r="G347" i="21"/>
  <c r="H346" i="21"/>
  <c r="G346" i="21"/>
  <c r="H345" i="21"/>
  <c r="G345" i="21"/>
  <c r="H344" i="21"/>
  <c r="G344" i="21"/>
  <c r="H343" i="21"/>
  <c r="G343" i="21"/>
  <c r="H342" i="21"/>
  <c r="G342" i="21"/>
  <c r="H341" i="21"/>
  <c r="G341" i="21"/>
  <c r="H340" i="21"/>
  <c r="G340" i="21"/>
  <c r="H339" i="21"/>
  <c r="G339" i="21"/>
  <c r="H338" i="21"/>
  <c r="G338" i="21"/>
  <c r="H337" i="21"/>
  <c r="G337" i="21"/>
  <c r="H336" i="21"/>
  <c r="G336" i="21"/>
  <c r="H335" i="21"/>
  <c r="G335" i="21"/>
  <c r="H334" i="21"/>
  <c r="G334" i="21"/>
  <c r="H333" i="21"/>
  <c r="G333" i="21"/>
  <c r="H332" i="21"/>
  <c r="G332" i="21"/>
  <c r="H331" i="21"/>
  <c r="G331" i="21"/>
  <c r="H330" i="21"/>
  <c r="G330" i="21"/>
  <c r="H329" i="21"/>
  <c r="G329" i="21"/>
  <c r="H328" i="21"/>
  <c r="G328" i="21"/>
  <c r="H327" i="21"/>
  <c r="G327" i="21"/>
  <c r="H326" i="21"/>
  <c r="G326" i="21"/>
  <c r="H325" i="21"/>
  <c r="G325" i="21"/>
  <c r="H324" i="21"/>
  <c r="G324" i="21"/>
  <c r="H323" i="21"/>
  <c r="G323" i="21"/>
  <c r="H322" i="21"/>
  <c r="G322" i="21"/>
  <c r="H321" i="21"/>
  <c r="G321" i="21"/>
  <c r="H320" i="21"/>
  <c r="G320" i="21"/>
  <c r="H319" i="21"/>
  <c r="G319" i="21"/>
  <c r="H318" i="21"/>
  <c r="G318" i="21"/>
  <c r="H317" i="21"/>
  <c r="G317" i="21"/>
  <c r="H316" i="21"/>
  <c r="G316" i="21"/>
  <c r="H315" i="21"/>
  <c r="G315" i="21"/>
  <c r="H314" i="21"/>
  <c r="G314" i="21"/>
  <c r="H313" i="21"/>
  <c r="G313" i="21"/>
  <c r="H312" i="21"/>
  <c r="G312" i="21"/>
  <c r="H311" i="21"/>
  <c r="G311" i="21"/>
  <c r="H310" i="21"/>
  <c r="G310" i="21"/>
  <c r="H309" i="21"/>
  <c r="G309" i="21"/>
  <c r="H308" i="21"/>
  <c r="G308" i="21"/>
  <c r="H307" i="21"/>
  <c r="G307" i="21"/>
  <c r="H306" i="21"/>
  <c r="G306" i="21"/>
  <c r="H305" i="21"/>
  <c r="G305" i="21"/>
  <c r="H304" i="21"/>
  <c r="G304" i="21"/>
  <c r="H303" i="21"/>
  <c r="G303" i="21"/>
  <c r="H302" i="21"/>
  <c r="G302" i="21"/>
  <c r="H301" i="21"/>
  <c r="G301" i="21"/>
  <c r="H300" i="21"/>
  <c r="G300" i="21"/>
  <c r="H299" i="21"/>
  <c r="G299" i="21"/>
  <c r="H298" i="21"/>
  <c r="G298" i="21"/>
  <c r="H297" i="21"/>
  <c r="G297" i="21"/>
  <c r="H296" i="21"/>
  <c r="G296" i="21"/>
  <c r="H295" i="21"/>
  <c r="G295" i="21"/>
  <c r="H294" i="21"/>
  <c r="G294" i="21"/>
  <c r="H293" i="21"/>
  <c r="G293" i="21"/>
  <c r="H292" i="21"/>
  <c r="G292" i="21"/>
  <c r="H291" i="21"/>
  <c r="G291" i="21"/>
  <c r="H290" i="21"/>
  <c r="G290" i="21"/>
  <c r="H289" i="21"/>
  <c r="G289" i="21"/>
  <c r="H288" i="21"/>
  <c r="G288" i="21"/>
  <c r="H287" i="21"/>
  <c r="G287" i="21"/>
  <c r="H286" i="21"/>
  <c r="G286" i="21"/>
  <c r="H285" i="21"/>
  <c r="G285" i="21"/>
  <c r="H284" i="21"/>
  <c r="G284" i="21"/>
  <c r="H283" i="21"/>
  <c r="G283" i="21"/>
  <c r="H282" i="21"/>
  <c r="G282" i="21"/>
  <c r="H281" i="21"/>
  <c r="G281" i="21"/>
  <c r="H280" i="21"/>
  <c r="G280" i="21"/>
  <c r="H279" i="21"/>
  <c r="G279" i="21"/>
  <c r="H278" i="21"/>
  <c r="G278" i="21"/>
  <c r="H277" i="21"/>
  <c r="G277" i="21"/>
  <c r="H276" i="21"/>
  <c r="G276" i="21"/>
  <c r="H275" i="21"/>
  <c r="G275" i="21"/>
  <c r="H274" i="21"/>
  <c r="G274" i="21"/>
  <c r="H273" i="21"/>
  <c r="G273" i="21"/>
  <c r="H272" i="21"/>
  <c r="G272" i="21"/>
  <c r="H271" i="21"/>
  <c r="G271" i="21"/>
  <c r="H270" i="21"/>
  <c r="G270" i="21"/>
  <c r="H269" i="21"/>
  <c r="G269" i="21"/>
  <c r="H268" i="21"/>
  <c r="G268" i="21"/>
  <c r="H267" i="21"/>
  <c r="G267" i="21"/>
  <c r="H266" i="21"/>
  <c r="G266" i="21"/>
  <c r="H265" i="21"/>
  <c r="G265" i="21"/>
  <c r="H264" i="21"/>
  <c r="G264" i="21"/>
  <c r="H263" i="21"/>
  <c r="G263" i="21"/>
  <c r="H262" i="21"/>
  <c r="G262" i="21"/>
  <c r="H261" i="21"/>
  <c r="G261" i="21"/>
  <c r="H260" i="21"/>
  <c r="G260" i="21"/>
  <c r="H259" i="21"/>
  <c r="G259" i="21"/>
  <c r="H258" i="21"/>
  <c r="G258" i="21"/>
  <c r="H257" i="21"/>
  <c r="G257" i="21"/>
  <c r="H256" i="21"/>
  <c r="G256" i="21"/>
  <c r="H255" i="21"/>
  <c r="G255" i="21"/>
  <c r="H254" i="21"/>
  <c r="G254" i="21"/>
  <c r="H253" i="21"/>
  <c r="G253" i="21"/>
  <c r="H252" i="21"/>
  <c r="G252" i="21"/>
  <c r="H251" i="21"/>
  <c r="G251" i="21"/>
  <c r="H250" i="21"/>
  <c r="G250" i="21"/>
  <c r="H249" i="21"/>
  <c r="G249" i="21"/>
  <c r="H248" i="21"/>
  <c r="G248" i="21"/>
  <c r="H247" i="21"/>
  <c r="G247" i="21"/>
  <c r="H246" i="21"/>
  <c r="G246" i="21"/>
  <c r="H245" i="21"/>
  <c r="G245" i="21"/>
  <c r="H244" i="21"/>
  <c r="G244" i="21"/>
  <c r="H243" i="21"/>
  <c r="G243" i="21"/>
  <c r="H242" i="21"/>
  <c r="G242" i="21"/>
  <c r="H241" i="21"/>
  <c r="G241" i="21"/>
  <c r="H240" i="21"/>
  <c r="G240" i="21"/>
  <c r="H239" i="21"/>
  <c r="G239" i="21"/>
  <c r="H238" i="21"/>
  <c r="G238" i="21"/>
  <c r="H237" i="21"/>
  <c r="G237" i="21"/>
  <c r="H236" i="21"/>
  <c r="G236" i="21"/>
  <c r="H235" i="21"/>
  <c r="G235" i="21"/>
  <c r="H234" i="21"/>
  <c r="G234" i="21"/>
  <c r="H233" i="21"/>
  <c r="G233" i="21"/>
  <c r="H232" i="21"/>
  <c r="G232" i="21"/>
  <c r="H231" i="21"/>
  <c r="G231" i="21"/>
  <c r="H230" i="21"/>
  <c r="G230" i="21"/>
  <c r="H229" i="21"/>
  <c r="G229" i="21"/>
  <c r="H228" i="21"/>
  <c r="G228" i="21"/>
  <c r="H227" i="21"/>
  <c r="G227" i="21"/>
  <c r="H226" i="21"/>
  <c r="G226" i="21"/>
  <c r="H225" i="21"/>
  <c r="G225" i="21"/>
  <c r="H224" i="21"/>
  <c r="G224" i="21"/>
  <c r="H223" i="21"/>
  <c r="G223" i="21"/>
  <c r="H222" i="21"/>
  <c r="G222" i="21"/>
  <c r="H221" i="21"/>
  <c r="G221" i="21"/>
  <c r="H220" i="21"/>
  <c r="G220" i="21"/>
  <c r="H219" i="21"/>
  <c r="G219" i="21"/>
  <c r="H218" i="21"/>
  <c r="G218" i="21"/>
  <c r="H217" i="21"/>
  <c r="G217" i="21"/>
  <c r="H216" i="21"/>
  <c r="G216" i="21"/>
  <c r="H215" i="21"/>
  <c r="G215" i="21"/>
  <c r="H214" i="21"/>
  <c r="G214" i="21"/>
  <c r="H213" i="21"/>
  <c r="G213" i="21"/>
  <c r="H212" i="21"/>
  <c r="G212" i="21"/>
  <c r="H211" i="21"/>
  <c r="G211" i="21"/>
  <c r="H210" i="21"/>
  <c r="G210" i="21"/>
  <c r="H209" i="21"/>
  <c r="G209" i="21"/>
  <c r="H208" i="21"/>
  <c r="G208" i="21"/>
  <c r="H207" i="21"/>
  <c r="G207" i="21"/>
  <c r="H206" i="21"/>
  <c r="G206" i="21"/>
  <c r="H205" i="21"/>
  <c r="G205" i="21"/>
  <c r="H204" i="21"/>
  <c r="G204" i="21"/>
  <c r="H203" i="21"/>
  <c r="G203" i="21"/>
  <c r="H202" i="21"/>
  <c r="G202" i="21"/>
  <c r="H201" i="21"/>
  <c r="G201" i="21"/>
  <c r="H200" i="21"/>
  <c r="G200" i="21"/>
  <c r="H199" i="21"/>
  <c r="G199" i="21"/>
  <c r="H198" i="21"/>
  <c r="G198" i="21"/>
  <c r="H197" i="21"/>
  <c r="G197" i="21"/>
  <c r="H196" i="21"/>
  <c r="G196" i="21"/>
  <c r="H195" i="21"/>
  <c r="G195" i="21"/>
  <c r="H194" i="21"/>
  <c r="G194" i="21"/>
  <c r="H193" i="21"/>
  <c r="G193" i="21"/>
  <c r="H192" i="21"/>
  <c r="G192" i="21"/>
  <c r="H191" i="21"/>
  <c r="G191" i="21"/>
  <c r="H190" i="21"/>
  <c r="G190" i="21"/>
  <c r="H189" i="21"/>
  <c r="G189" i="21"/>
  <c r="H188" i="21"/>
  <c r="G188" i="21"/>
  <c r="H187" i="21"/>
  <c r="G187" i="21"/>
  <c r="H186" i="21"/>
  <c r="G186" i="21"/>
  <c r="H185" i="21"/>
  <c r="G185" i="21"/>
  <c r="H184" i="21"/>
  <c r="G184" i="21"/>
  <c r="H183" i="21"/>
  <c r="G183" i="21"/>
  <c r="H182" i="21"/>
  <c r="G182" i="21"/>
  <c r="H181" i="21"/>
  <c r="G181" i="21"/>
  <c r="H180" i="21"/>
  <c r="G180" i="21"/>
  <c r="H179" i="21"/>
  <c r="G179" i="21"/>
  <c r="H178" i="21"/>
  <c r="G178" i="21"/>
  <c r="H177" i="21"/>
  <c r="G177" i="21"/>
  <c r="H176" i="21"/>
  <c r="G176" i="21"/>
  <c r="H175" i="21"/>
  <c r="G175" i="21"/>
  <c r="H174" i="21"/>
  <c r="G174" i="21"/>
  <c r="H173" i="21"/>
  <c r="G173" i="21"/>
  <c r="H172" i="21"/>
  <c r="G172" i="21"/>
  <c r="H171" i="21"/>
  <c r="G171" i="21"/>
  <c r="H170" i="21"/>
  <c r="G170" i="21"/>
  <c r="H169" i="21"/>
  <c r="G169" i="21"/>
  <c r="H168" i="21"/>
  <c r="G168" i="21"/>
  <c r="H167" i="21"/>
  <c r="G167" i="21"/>
  <c r="H166" i="21"/>
  <c r="G166" i="21"/>
  <c r="H165" i="21"/>
  <c r="G165" i="21"/>
  <c r="H164" i="21"/>
  <c r="G164" i="21"/>
  <c r="H163" i="21"/>
  <c r="G163" i="21"/>
  <c r="H162" i="21"/>
  <c r="G162" i="21"/>
  <c r="H161" i="21"/>
  <c r="G161" i="21"/>
  <c r="H160" i="21"/>
  <c r="G160" i="21"/>
  <c r="H159" i="21"/>
  <c r="G159" i="21"/>
  <c r="H158" i="21"/>
  <c r="G158" i="21"/>
  <c r="H157" i="21"/>
  <c r="G157" i="21"/>
  <c r="H156" i="21"/>
  <c r="G156" i="21"/>
  <c r="H155" i="21"/>
  <c r="G155" i="21"/>
  <c r="H154" i="21"/>
  <c r="G154" i="21"/>
  <c r="H153" i="21"/>
  <c r="G153" i="21"/>
  <c r="H152" i="21"/>
  <c r="G152" i="21"/>
  <c r="H151" i="21"/>
  <c r="G151" i="21"/>
  <c r="H150" i="21"/>
  <c r="G150" i="21"/>
  <c r="H149" i="21"/>
  <c r="G149" i="21"/>
  <c r="H148" i="21"/>
  <c r="G148" i="21"/>
  <c r="H147" i="21"/>
  <c r="G147" i="21"/>
  <c r="H146" i="21"/>
  <c r="G146" i="21"/>
  <c r="H145" i="21"/>
  <c r="G145" i="21"/>
  <c r="H144" i="21"/>
  <c r="G144" i="21"/>
  <c r="H143" i="21"/>
  <c r="G143" i="21"/>
  <c r="H142" i="21"/>
  <c r="G142" i="21"/>
  <c r="H141" i="21"/>
  <c r="G141" i="21"/>
  <c r="H140" i="21"/>
  <c r="G140" i="21"/>
  <c r="H139" i="21"/>
  <c r="G139" i="21"/>
  <c r="H138" i="21"/>
  <c r="G138" i="21"/>
  <c r="H137" i="21"/>
  <c r="G137" i="21"/>
  <c r="H136" i="21"/>
  <c r="G136" i="21"/>
  <c r="H135" i="21"/>
  <c r="G135" i="21"/>
  <c r="H134" i="21"/>
  <c r="G134" i="21"/>
  <c r="H133" i="21"/>
  <c r="G133" i="21"/>
  <c r="H132" i="21"/>
  <c r="G132" i="21"/>
  <c r="H131" i="21"/>
  <c r="G131" i="21"/>
  <c r="H130" i="21"/>
  <c r="G130" i="21"/>
  <c r="H129" i="21"/>
  <c r="G129" i="21"/>
  <c r="H128" i="21"/>
  <c r="G128" i="21"/>
  <c r="H127" i="21"/>
  <c r="G127" i="21"/>
  <c r="H126" i="21"/>
  <c r="G126" i="21"/>
  <c r="H125" i="21"/>
  <c r="G125" i="21"/>
  <c r="H124" i="21"/>
  <c r="G124" i="21"/>
  <c r="H123" i="21"/>
  <c r="G123" i="21"/>
  <c r="H122" i="21"/>
  <c r="G122" i="21"/>
  <c r="H121" i="21"/>
  <c r="G121" i="21"/>
  <c r="H120" i="21"/>
  <c r="G120" i="21"/>
  <c r="H119" i="21"/>
  <c r="G119" i="21"/>
  <c r="H118" i="21"/>
  <c r="G118" i="21"/>
  <c r="H117" i="21"/>
  <c r="G117" i="21"/>
  <c r="H116" i="21"/>
  <c r="G116" i="21"/>
  <c r="H115" i="21"/>
  <c r="G115" i="21"/>
  <c r="H114" i="21"/>
  <c r="G114" i="21"/>
  <c r="H113" i="21"/>
  <c r="G113" i="21"/>
  <c r="H112" i="21"/>
  <c r="G112" i="21"/>
  <c r="H111" i="21"/>
  <c r="G111" i="21"/>
  <c r="H110" i="21"/>
  <c r="G110" i="21"/>
  <c r="H109" i="21"/>
  <c r="G109" i="21"/>
  <c r="H108" i="21"/>
  <c r="G108" i="21"/>
  <c r="H107" i="21"/>
  <c r="G107" i="21"/>
  <c r="H106" i="21"/>
  <c r="G106" i="21"/>
  <c r="H105" i="21"/>
  <c r="G105" i="21"/>
  <c r="H104" i="21"/>
  <c r="G104" i="21"/>
  <c r="H103" i="21"/>
  <c r="G103" i="21"/>
  <c r="H102" i="21"/>
  <c r="G102" i="21"/>
  <c r="H101" i="21"/>
  <c r="G101" i="21"/>
  <c r="H100" i="21"/>
  <c r="G100" i="21"/>
  <c r="H99" i="21"/>
  <c r="G99" i="21"/>
  <c r="H98" i="21"/>
  <c r="G98" i="21"/>
  <c r="H97" i="21"/>
  <c r="G97" i="21"/>
  <c r="H96" i="21"/>
  <c r="G96" i="21"/>
  <c r="H95" i="21"/>
  <c r="G95" i="21"/>
  <c r="H94" i="21"/>
  <c r="G94" i="21"/>
  <c r="H93" i="21"/>
  <c r="G93" i="21"/>
  <c r="H92" i="21"/>
  <c r="G92" i="21"/>
  <c r="H91" i="21"/>
  <c r="G91" i="21"/>
  <c r="H90" i="21"/>
  <c r="G90" i="21"/>
  <c r="H89" i="21"/>
  <c r="G89" i="21"/>
  <c r="H88" i="21"/>
  <c r="G88" i="21"/>
  <c r="H87" i="21"/>
  <c r="G87" i="21"/>
  <c r="H86" i="21"/>
  <c r="G86" i="21"/>
  <c r="H85" i="21"/>
  <c r="G85" i="21"/>
  <c r="H84" i="21"/>
  <c r="G84" i="21"/>
  <c r="H83" i="21"/>
  <c r="G83" i="21"/>
  <c r="H82" i="21"/>
  <c r="G82" i="21"/>
  <c r="H81" i="21"/>
  <c r="G81" i="21"/>
  <c r="H80" i="21"/>
  <c r="G80" i="21"/>
  <c r="H79" i="21"/>
  <c r="G79" i="21"/>
  <c r="H78" i="21"/>
  <c r="G78" i="21"/>
  <c r="H77" i="21"/>
  <c r="G77" i="21"/>
  <c r="H76" i="21"/>
  <c r="G76" i="21"/>
  <c r="H75" i="21"/>
  <c r="G75" i="21"/>
  <c r="H74" i="21"/>
  <c r="G74" i="21"/>
  <c r="H73" i="21"/>
  <c r="G73" i="21"/>
  <c r="H72" i="21"/>
  <c r="G72" i="21"/>
  <c r="H71" i="21"/>
  <c r="G71" i="21"/>
  <c r="H70" i="21"/>
  <c r="G70" i="21"/>
  <c r="H69" i="21"/>
  <c r="G69" i="21"/>
  <c r="H68" i="21"/>
  <c r="G68" i="21"/>
  <c r="H67" i="21"/>
  <c r="G67" i="21"/>
  <c r="H66" i="21"/>
  <c r="G66" i="21"/>
  <c r="H65" i="21"/>
  <c r="G65" i="21"/>
  <c r="H64" i="21"/>
  <c r="G64" i="21"/>
  <c r="H63" i="21"/>
  <c r="G63" i="21"/>
  <c r="H62" i="21"/>
  <c r="G62" i="21"/>
  <c r="H61" i="21"/>
  <c r="G61" i="21"/>
  <c r="H60" i="21"/>
  <c r="G60" i="21"/>
  <c r="H59" i="21"/>
  <c r="G59" i="21"/>
  <c r="H58" i="21"/>
  <c r="G58" i="21"/>
  <c r="H57" i="21"/>
  <c r="G57" i="21"/>
  <c r="H56" i="21"/>
  <c r="G56" i="21"/>
  <c r="H55" i="21"/>
  <c r="G55" i="21"/>
  <c r="H54" i="21"/>
  <c r="G54" i="21"/>
  <c r="H53" i="21"/>
  <c r="G53" i="21"/>
  <c r="H52" i="21"/>
  <c r="G52" i="21"/>
  <c r="H51" i="21"/>
  <c r="G51" i="21"/>
  <c r="H50" i="21"/>
  <c r="G50" i="21"/>
  <c r="H49" i="21"/>
  <c r="G49" i="21"/>
  <c r="H48" i="21"/>
  <c r="G48" i="21"/>
  <c r="H47" i="21"/>
  <c r="G47" i="21"/>
  <c r="H46" i="21"/>
  <c r="G46" i="21"/>
  <c r="H45" i="21"/>
  <c r="G45" i="21"/>
  <c r="H44" i="21"/>
  <c r="G44" i="21"/>
  <c r="H43" i="21"/>
  <c r="G43" i="21"/>
  <c r="H42" i="21"/>
  <c r="G42" i="21"/>
  <c r="H41" i="21"/>
  <c r="G41" i="21"/>
  <c r="H40" i="21"/>
  <c r="G40" i="21"/>
  <c r="H39" i="21"/>
  <c r="G39" i="21"/>
  <c r="H38" i="21"/>
  <c r="G38" i="21"/>
  <c r="H37" i="21"/>
  <c r="G37" i="21"/>
  <c r="H36" i="21"/>
  <c r="G36" i="21"/>
  <c r="H35" i="21"/>
  <c r="G35" i="21"/>
  <c r="H34" i="21"/>
  <c r="G34" i="21"/>
  <c r="H33" i="21"/>
  <c r="G33" i="21"/>
  <c r="H32" i="21"/>
  <c r="G32" i="21"/>
  <c r="H31" i="21"/>
  <c r="G31" i="21"/>
  <c r="H30" i="21"/>
  <c r="G30" i="21"/>
  <c r="H29" i="21"/>
  <c r="G29" i="21"/>
  <c r="H28" i="21"/>
  <c r="G28" i="21"/>
  <c r="H27" i="21"/>
  <c r="G27" i="21"/>
  <c r="H26" i="21"/>
  <c r="G26" i="21"/>
  <c r="H25" i="21"/>
  <c r="G25" i="21"/>
  <c r="H24" i="21"/>
  <c r="G24" i="21"/>
  <c r="H23" i="21"/>
  <c r="G23" i="21"/>
  <c r="H22" i="21"/>
  <c r="G22" i="21"/>
  <c r="H21" i="21"/>
  <c r="G21" i="21"/>
  <c r="H20" i="21"/>
  <c r="G20" i="21"/>
  <c r="H19" i="21"/>
  <c r="G19" i="21"/>
  <c r="H18" i="21"/>
  <c r="G18" i="21"/>
  <c r="H17" i="21"/>
  <c r="G17" i="21"/>
  <c r="H16" i="21"/>
  <c r="G16" i="21"/>
  <c r="H15" i="21"/>
  <c r="G15" i="21"/>
  <c r="H14" i="21"/>
  <c r="G14" i="21"/>
  <c r="H13" i="21"/>
  <c r="G13" i="21"/>
  <c r="H12" i="21"/>
  <c r="G12" i="21"/>
  <c r="H11" i="21"/>
  <c r="G11" i="21"/>
  <c r="H10" i="21"/>
  <c r="G10" i="21"/>
  <c r="H9" i="21"/>
  <c r="G9" i="21"/>
  <c r="H8" i="21"/>
  <c r="G8" i="21"/>
  <c r="H7" i="21"/>
  <c r="G7" i="21"/>
  <c r="H6" i="21"/>
  <c r="G6" i="21"/>
  <c r="H5" i="21"/>
  <c r="G5" i="21"/>
  <c r="U4" i="21"/>
  <c r="T4" i="21"/>
  <c r="S4" i="21"/>
  <c r="R4" i="21"/>
  <c r="H4" i="21"/>
  <c r="G4" i="21"/>
  <c r="H3" i="21"/>
  <c r="G3" i="21"/>
  <c r="I22" i="23"/>
  <c r="C32" i="29" l="1"/>
  <c r="F33" i="26"/>
  <c r="C23" i="29"/>
  <c r="C38" i="30"/>
  <c r="D19" i="28"/>
  <c r="D18" i="28"/>
  <c r="D27" i="28"/>
  <c r="F29" i="20"/>
  <c r="F22" i="20"/>
  <c r="O35" i="8"/>
  <c r="O34" i="8"/>
  <c r="O33" i="8"/>
  <c r="O32" i="8"/>
  <c r="O31" i="8"/>
  <c r="O30" i="8"/>
  <c r="O29" i="8"/>
  <c r="O28" i="8"/>
  <c r="O27" i="8"/>
  <c r="O26" i="8"/>
  <c r="O25" i="8"/>
  <c r="O24" i="8"/>
  <c r="O23" i="8"/>
  <c r="O22" i="8"/>
  <c r="O21" i="8"/>
  <c r="O20" i="8"/>
  <c r="O19" i="8"/>
  <c r="O18" i="8"/>
  <c r="O17" i="8"/>
  <c r="O16" i="8"/>
  <c r="O15" i="8"/>
  <c r="O14" i="8"/>
  <c r="O13" i="8"/>
  <c r="O12" i="8"/>
  <c r="O11" i="8"/>
  <c r="O10" i="8"/>
  <c r="O9" i="8"/>
  <c r="O8" i="8"/>
  <c r="O7" i="8"/>
  <c r="O6" i="8"/>
  <c r="O5" i="8"/>
  <c r="O4" i="8"/>
  <c r="I15" i="5"/>
  <c r="K15" i="5" s="1"/>
  <c r="H38" i="5"/>
  <c r="D8" i="7" s="1"/>
  <c r="F38" i="5"/>
  <c r="E38" i="5"/>
  <c r="D7" i="7" s="1"/>
  <c r="F7" i="7" s="1"/>
  <c r="G9" i="33"/>
  <c r="E15" i="26"/>
  <c r="C15" i="26"/>
  <c r="C10" i="27"/>
  <c r="C19" i="29"/>
  <c r="C18" i="29"/>
  <c r="C8" i="29"/>
  <c r="F47" i="30"/>
  <c r="F46" i="30"/>
  <c r="F44" i="30"/>
  <c r="F41" i="30"/>
  <c r="F21" i="30"/>
  <c r="F11" i="30"/>
  <c r="C56" i="30"/>
  <c r="C51" i="30"/>
  <c r="C46" i="30"/>
  <c r="C44" i="30"/>
  <c r="C39" i="30"/>
  <c r="C36" i="30"/>
  <c r="C32" i="30"/>
  <c r="O36" i="8" l="1"/>
  <c r="I32" i="5"/>
  <c r="I31" i="5"/>
  <c r="I30" i="5"/>
  <c r="I29" i="5"/>
  <c r="I38" i="5" s="1"/>
  <c r="H28" i="5"/>
  <c r="I28" i="5"/>
  <c r="O37" i="8" l="1"/>
  <c r="L37" i="8" l="1"/>
  <c r="H27" i="5"/>
  <c r="I27" i="5" s="1"/>
  <c r="E14" i="5"/>
  <c r="I14" i="5" s="1"/>
  <c r="K14" i="5" s="1"/>
  <c r="H17" i="5"/>
  <c r="H14" i="5"/>
  <c r="G38" i="5"/>
  <c r="R46" i="5"/>
  <c r="P57" i="5"/>
  <c r="O58" i="5" s="1"/>
  <c r="O57" i="5"/>
  <c r="P43" i="5"/>
  <c r="P44" i="5" s="1"/>
  <c r="O44" i="5"/>
  <c r="O43" i="5"/>
  <c r="P42" i="5"/>
  <c r="O42" i="5"/>
  <c r="P41" i="5"/>
  <c r="O41" i="5"/>
  <c r="N41" i="5"/>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L4" i="8"/>
  <c r="P58" i="5" l="1"/>
  <c r="P45" i="5"/>
  <c r="O45" i="5"/>
  <c r="L36" i="8"/>
  <c r="P59" i="5" l="1"/>
  <c r="O59" i="5"/>
  <c r="O46" i="5"/>
  <c r="P46" i="5"/>
  <c r="C8" i="10"/>
  <c r="E8" i="10" s="1"/>
  <c r="C7" i="10"/>
  <c r="E7" i="10" s="1"/>
  <c r="C6" i="10"/>
  <c r="E6" i="10" s="1"/>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I5" i="8"/>
  <c r="I4" i="8"/>
  <c r="D8" i="18"/>
  <c r="F36" i="8"/>
  <c r="F13" i="5"/>
  <c r="E19" i="26"/>
  <c r="D5" i="18"/>
  <c r="D6" i="18"/>
  <c r="I15" i="28"/>
  <c r="D15" i="28"/>
  <c r="D20" i="28" s="1"/>
  <c r="D25" i="28" s="1"/>
  <c r="D28" i="28" s="1"/>
  <c r="C57" i="30"/>
  <c r="H72" i="23"/>
  <c r="H138" i="23" s="1"/>
  <c r="H205" i="23" s="1"/>
  <c r="I34" i="23"/>
  <c r="G9" i="9"/>
  <c r="F26" i="9" s="1"/>
  <c r="I261" i="23"/>
  <c r="D14" i="23" s="1"/>
  <c r="G27" i="28"/>
  <c r="C10" i="18" s="1"/>
  <c r="D9" i="7"/>
  <c r="F32" i="30"/>
  <c r="D248" i="23" s="1"/>
  <c r="F8" i="7"/>
  <c r="D161" i="23"/>
  <c r="K15" i="28"/>
  <c r="C5" i="10" s="1"/>
  <c r="C12" i="27"/>
  <c r="G17" i="5"/>
  <c r="F17" i="5"/>
  <c r="E17" i="5"/>
  <c r="L15" i="28"/>
  <c r="L17" i="28"/>
  <c r="L18" i="28"/>
  <c r="L19" i="28"/>
  <c r="G18" i="28"/>
  <c r="D85" i="23" s="1"/>
  <c r="G19" i="28"/>
  <c r="D86" i="23" s="1"/>
  <c r="G17" i="28"/>
  <c r="D84" i="23" s="1"/>
  <c r="I215" i="23" s="1"/>
  <c r="I218" i="23" s="1"/>
  <c r="I220" i="23" s="1"/>
  <c r="G14" i="28"/>
  <c r="E15" i="28"/>
  <c r="E20" i="28" s="1"/>
  <c r="E25" i="28" s="1"/>
  <c r="E28" i="28" s="1"/>
  <c r="F15" i="28"/>
  <c r="F20" i="28" s="1"/>
  <c r="F25" i="28" s="1"/>
  <c r="F28" i="28" s="1"/>
  <c r="G13" i="9"/>
  <c r="F24" i="9" s="1"/>
  <c r="G15" i="9"/>
  <c r="F23" i="9" s="1"/>
  <c r="F36" i="20"/>
  <c r="D168" i="23"/>
  <c r="F38" i="20"/>
  <c r="D28" i="26" s="1"/>
  <c r="F28" i="26" s="1"/>
  <c r="F37" i="20"/>
  <c r="F19" i="20"/>
  <c r="D38" i="20"/>
  <c r="D37" i="20"/>
  <c r="H9" i="33"/>
  <c r="F48" i="30"/>
  <c r="C49" i="30"/>
  <c r="G11" i="28"/>
  <c r="G12" i="28"/>
  <c r="G13" i="28"/>
  <c r="D119" i="23"/>
  <c r="G249" i="23"/>
  <c r="I150" i="23"/>
  <c r="I151" i="23"/>
  <c r="I157" i="23"/>
  <c r="D103" i="23"/>
  <c r="D178" i="23"/>
  <c r="D182" i="23" s="1"/>
  <c r="D186" i="23" s="1"/>
  <c r="I194" i="23"/>
  <c r="I8" i="5"/>
  <c r="K8" i="5"/>
  <c r="D112" i="23"/>
  <c r="C33" i="30"/>
  <c r="A3" i="32"/>
  <c r="A1" i="32"/>
  <c r="A3" i="33"/>
  <c r="A1" i="33"/>
  <c r="A3" i="25"/>
  <c r="A1" i="25"/>
  <c r="A1" i="28"/>
  <c r="A1" i="27"/>
  <c r="A1" i="26"/>
  <c r="A3" i="26"/>
  <c r="A3" i="27"/>
  <c r="A4" i="28"/>
  <c r="H10" i="33"/>
  <c r="H11" i="33"/>
  <c r="H12" i="33"/>
  <c r="H13" i="33"/>
  <c r="H14" i="33"/>
  <c r="H15" i="33"/>
  <c r="H16" i="33"/>
  <c r="H17" i="33"/>
  <c r="H18" i="33"/>
  <c r="H19" i="33"/>
  <c r="H20" i="33"/>
  <c r="H21" i="33"/>
  <c r="H22" i="33"/>
  <c r="H23" i="33"/>
  <c r="H24" i="33"/>
  <c r="H25" i="33"/>
  <c r="H26" i="33"/>
  <c r="H27" i="33"/>
  <c r="H28" i="33"/>
  <c r="H29" i="33"/>
  <c r="H30" i="33"/>
  <c r="H31" i="33"/>
  <c r="H32" i="33"/>
  <c r="H33" i="33"/>
  <c r="H34" i="33"/>
  <c r="H35" i="33"/>
  <c r="H36" i="33"/>
  <c r="H37" i="33"/>
  <c r="H38" i="33"/>
  <c r="H39" i="33"/>
  <c r="H40" i="33"/>
  <c r="H41" i="33"/>
  <c r="H42" i="33"/>
  <c r="H43" i="33"/>
  <c r="G44" i="33"/>
  <c r="F44" i="33"/>
  <c r="E44" i="33"/>
  <c r="D44" i="33"/>
  <c r="H9" i="25"/>
  <c r="H10" i="25"/>
  <c r="H11" i="25"/>
  <c r="H12" i="25"/>
  <c r="H13" i="25"/>
  <c r="H14" i="25"/>
  <c r="H15" i="25"/>
  <c r="H16" i="25"/>
  <c r="H17" i="25"/>
  <c r="H18" i="25"/>
  <c r="H19" i="25"/>
  <c r="H20" i="25"/>
  <c r="H21" i="25"/>
  <c r="H22" i="25"/>
  <c r="H23" i="25"/>
  <c r="H24" i="25"/>
  <c r="H25" i="25"/>
  <c r="H26" i="25"/>
  <c r="H27" i="25"/>
  <c r="H28" i="25"/>
  <c r="H29" i="25"/>
  <c r="H30" i="25"/>
  <c r="H31" i="25"/>
  <c r="H32" i="25"/>
  <c r="H33" i="25"/>
  <c r="H34" i="25"/>
  <c r="H35" i="25"/>
  <c r="H36" i="25"/>
  <c r="H37" i="25"/>
  <c r="H38" i="25"/>
  <c r="H39" i="25"/>
  <c r="H40" i="25"/>
  <c r="H41" i="25"/>
  <c r="H42" i="25"/>
  <c r="H43" i="25"/>
  <c r="G44" i="25"/>
  <c r="F44" i="25"/>
  <c r="E44" i="25"/>
  <c r="D44" i="25"/>
  <c r="F27" i="26"/>
  <c r="F12" i="26"/>
  <c r="F10" i="26"/>
  <c r="F9" i="26"/>
  <c r="C24" i="27"/>
  <c r="C31" i="27" s="1"/>
  <c r="C30" i="27"/>
  <c r="C15" i="27"/>
  <c r="G24" i="28"/>
  <c r="G23" i="28"/>
  <c r="G22" i="28"/>
  <c r="G9" i="28"/>
  <c r="A3" i="29"/>
  <c r="A1" i="29"/>
  <c r="F36" i="30"/>
  <c r="F57" i="30"/>
  <c r="I7" i="5"/>
  <c r="K7" i="5" s="1"/>
  <c r="I21" i="5"/>
  <c r="I22" i="5"/>
  <c r="I23" i="5"/>
  <c r="I24" i="5"/>
  <c r="I25" i="5"/>
  <c r="I26" i="5"/>
  <c r="I13" i="5"/>
  <c r="I12" i="5"/>
  <c r="I17" i="5" s="1"/>
  <c r="I11" i="5"/>
  <c r="J11" i="5" s="1"/>
  <c r="I10" i="5"/>
  <c r="I9" i="5"/>
  <c r="J9" i="5"/>
  <c r="I20" i="5"/>
  <c r="I259" i="23"/>
  <c r="D211" i="23"/>
  <c r="D209" i="23"/>
  <c r="I208" i="23"/>
  <c r="D208" i="23"/>
  <c r="B208" i="23"/>
  <c r="F173" i="23"/>
  <c r="F169" i="23"/>
  <c r="B163" i="23"/>
  <c r="B161" i="23"/>
  <c r="F155" i="23"/>
  <c r="F153" i="23"/>
  <c r="F154" i="23" s="1"/>
  <c r="D144" i="23"/>
  <c r="D142" i="23"/>
  <c r="I141" i="23"/>
  <c r="D141" i="23"/>
  <c r="B141" i="23"/>
  <c r="F92" i="23"/>
  <c r="F114" i="23" s="1"/>
  <c r="F110" i="23"/>
  <c r="B95" i="23"/>
  <c r="B103" i="23" s="1"/>
  <c r="B94" i="23"/>
  <c r="B102" i="23" s="1"/>
  <c r="B93" i="23"/>
  <c r="B101" i="23" s="1"/>
  <c r="B92" i="23"/>
  <c r="B100" i="23" s="1"/>
  <c r="B91" i="23"/>
  <c r="B99" i="23" s="1"/>
  <c r="F95" i="23"/>
  <c r="F94" i="23"/>
  <c r="G93" i="23"/>
  <c r="F93" i="23"/>
  <c r="G91" i="23"/>
  <c r="F91" i="23"/>
  <c r="D78" i="23"/>
  <c r="D76" i="23"/>
  <c r="I75" i="23"/>
  <c r="D75" i="23"/>
  <c r="B75" i="23"/>
  <c r="I46" i="23"/>
  <c r="I45" i="23"/>
  <c r="F15" i="23"/>
  <c r="G17" i="9"/>
  <c r="F25" i="9" s="1"/>
  <c r="D92" i="23"/>
  <c r="D93" i="23"/>
  <c r="G47" i="18"/>
  <c r="D94" i="23"/>
  <c r="J10" i="5"/>
  <c r="E9" i="7"/>
  <c r="D162" i="23"/>
  <c r="D249" i="23"/>
  <c r="F15" i="30"/>
  <c r="O38" i="8" l="1"/>
  <c r="O39" i="8" s="1"/>
  <c r="L38" i="8"/>
  <c r="L39" i="8" s="1"/>
  <c r="D164" i="23"/>
  <c r="K20" i="28"/>
  <c r="C11" i="29" s="1"/>
  <c r="P60" i="5"/>
  <c r="O60" i="5"/>
  <c r="P47" i="5"/>
  <c r="O47" i="5"/>
  <c r="C11" i="30"/>
  <c r="D7" i="18"/>
  <c r="D9" i="18" s="1"/>
  <c r="D13" i="18" s="1"/>
  <c r="I20" i="28"/>
  <c r="C14" i="30" s="1"/>
  <c r="D91" i="23"/>
  <c r="D96" i="23" s="1"/>
  <c r="F15" i="26"/>
  <c r="H44" i="25"/>
  <c r="C9" i="10"/>
  <c r="C35" i="29"/>
  <c r="C26" i="29"/>
  <c r="D245" i="23"/>
  <c r="G248" i="23" s="1"/>
  <c r="G15" i="28"/>
  <c r="H44" i="33"/>
  <c r="C16" i="26" s="1"/>
  <c r="C19" i="26" s="1"/>
  <c r="C5" i="18"/>
  <c r="C18" i="27"/>
  <c r="C13" i="29" s="1"/>
  <c r="C36" i="29" s="1"/>
  <c r="F9" i="7"/>
  <c r="C6" i="18"/>
  <c r="E6" i="18" s="1"/>
  <c r="C8" i="18"/>
  <c r="E8" i="18" s="1"/>
  <c r="G18" i="9"/>
  <c r="G20" i="9" s="1"/>
  <c r="D23" i="26"/>
  <c r="F23" i="26" s="1"/>
  <c r="D234" i="23"/>
  <c r="G234" i="23" s="1"/>
  <c r="D232" i="23"/>
  <c r="G232" i="23" s="1"/>
  <c r="D235" i="23"/>
  <c r="G235" i="23" s="1"/>
  <c r="D25" i="26"/>
  <c r="F25" i="26" s="1"/>
  <c r="D233" i="23"/>
  <c r="E5" i="10"/>
  <c r="E9" i="10" s="1"/>
  <c r="I36" i="8"/>
  <c r="I39" i="8" s="1"/>
  <c r="F21" i="26" s="1"/>
  <c r="D149" i="23" s="1"/>
  <c r="I223" i="23" s="1"/>
  <c r="I225" i="23" s="1"/>
  <c r="I227" i="23" s="1"/>
  <c r="D101" i="23"/>
  <c r="F58" i="30"/>
  <c r="D102" i="23"/>
  <c r="I268" i="23"/>
  <c r="D15" i="23" s="1"/>
  <c r="D100" i="23"/>
  <c r="D250" i="23"/>
  <c r="E249" i="23" s="1"/>
  <c r="I249" i="23" s="1"/>
  <c r="G84" i="23"/>
  <c r="I84" i="23" s="1"/>
  <c r="I228" i="23"/>
  <c r="E233" i="23"/>
  <c r="G14" i="23"/>
  <c r="F16" i="26" l="1"/>
  <c r="D19" i="26"/>
  <c r="G25" i="9"/>
  <c r="F27" i="9"/>
  <c r="D174" i="23"/>
  <c r="D175" i="23" s="1"/>
  <c r="O61" i="5"/>
  <c r="P61" i="5"/>
  <c r="P48" i="5"/>
  <c r="O48" i="5"/>
  <c r="G26" i="9"/>
  <c r="G23" i="9"/>
  <c r="G24" i="9"/>
  <c r="D83" i="23"/>
  <c r="C7" i="18"/>
  <c r="E7" i="18" s="1"/>
  <c r="G20" i="28"/>
  <c r="D236" i="23"/>
  <c r="E5" i="18"/>
  <c r="G233" i="23"/>
  <c r="G236" i="23" s="1"/>
  <c r="E31" i="26"/>
  <c r="C10" i="29" s="1"/>
  <c r="I229" i="23"/>
  <c r="G118" i="23" s="1"/>
  <c r="I118" i="23" s="1"/>
  <c r="C31" i="26"/>
  <c r="G25" i="28"/>
  <c r="C10" i="30" s="1"/>
  <c r="C15" i="30" s="1"/>
  <c r="C21" i="30" s="1"/>
  <c r="C58" i="30" s="1"/>
  <c r="F60" i="30" s="1"/>
  <c r="G28" i="28"/>
  <c r="I28" i="28" s="1"/>
  <c r="G92" i="23"/>
  <c r="I92" i="23" s="1"/>
  <c r="E248" i="23"/>
  <c r="E250" i="23" s="1"/>
  <c r="G16" i="23"/>
  <c r="I16" i="23" s="1"/>
  <c r="I14" i="23"/>
  <c r="G15" i="23"/>
  <c r="I15" i="23" s="1"/>
  <c r="G17" i="23"/>
  <c r="I17" i="23" s="1"/>
  <c r="C9" i="18" l="1"/>
  <c r="C13" i="18" s="1"/>
  <c r="E13" i="18" s="1"/>
  <c r="I236" i="23"/>
  <c r="G153" i="23" s="1"/>
  <c r="I153" i="23" s="1"/>
  <c r="F21" i="20"/>
  <c r="F24" i="20" s="1"/>
  <c r="F40" i="20" s="1"/>
  <c r="D29" i="26" s="1"/>
  <c r="F29" i="26" s="1"/>
  <c r="D152" i="23" s="1"/>
  <c r="D158" i="23" s="1"/>
  <c r="D117" i="23" s="1"/>
  <c r="D120" i="23" s="1"/>
  <c r="F28" i="9"/>
  <c r="G28" i="9"/>
  <c r="E9" i="18"/>
  <c r="P62" i="5"/>
  <c r="O62" i="5"/>
  <c r="P49" i="5"/>
  <c r="O49" i="5"/>
  <c r="F18" i="26"/>
  <c r="D99" i="23"/>
  <c r="D104" i="23" s="1"/>
  <c r="D88" i="23"/>
  <c r="D239" i="23" s="1"/>
  <c r="D242" i="23" s="1"/>
  <c r="G240" i="23" s="1"/>
  <c r="G149" i="23"/>
  <c r="I149" i="23" s="1"/>
  <c r="F19" i="26"/>
  <c r="G114" i="23"/>
  <c r="I114" i="23" s="1"/>
  <c r="I248" i="23"/>
  <c r="I250" i="23" s="1"/>
  <c r="I100" i="23"/>
  <c r="I18" i="23"/>
  <c r="I240" i="23" l="1"/>
  <c r="K240" i="23" s="1"/>
  <c r="G87" i="23" s="1"/>
  <c r="I87" i="23" s="1"/>
  <c r="G152" i="23"/>
  <c r="G162" i="23" s="1"/>
  <c r="G168" i="23" s="1"/>
  <c r="G154" i="23"/>
  <c r="I154" i="23" s="1"/>
  <c r="G86" i="23"/>
  <c r="G94" i="23" s="1"/>
  <c r="I94" i="23" s="1"/>
  <c r="D122" i="23"/>
  <c r="D189" i="23" s="1"/>
  <c r="D31" i="26"/>
  <c r="G161" i="23"/>
  <c r="I161" i="23" s="1"/>
  <c r="P63" i="5"/>
  <c r="O63" i="5"/>
  <c r="P50" i="5"/>
  <c r="O50" i="5"/>
  <c r="G155" i="23"/>
  <c r="I155" i="23" s="1"/>
  <c r="I253" i="23"/>
  <c r="D179" i="23"/>
  <c r="I152" i="23" l="1"/>
  <c r="I86" i="23"/>
  <c r="I102" i="23" s="1"/>
  <c r="C9" i="29"/>
  <c r="C14" i="29" s="1"/>
  <c r="C15" i="29" s="1"/>
  <c r="C17" i="29" s="1"/>
  <c r="C22" i="29" s="1"/>
  <c r="C27" i="29" s="1"/>
  <c r="C30" i="29" s="1"/>
  <c r="F31" i="26"/>
  <c r="F35" i="26" s="1"/>
  <c r="G95" i="23"/>
  <c r="I95" i="23" s="1"/>
  <c r="I96" i="23" s="1"/>
  <c r="G156" i="23"/>
  <c r="I156" i="23" s="1"/>
  <c r="P64" i="5"/>
  <c r="O64" i="5"/>
  <c r="P51" i="5"/>
  <c r="O51" i="5"/>
  <c r="D185" i="23"/>
  <c r="D187" i="23" s="1"/>
  <c r="D192" i="23" s="1"/>
  <c r="D201" i="23" s="1"/>
  <c r="I162" i="23"/>
  <c r="G169" i="23"/>
  <c r="I169" i="23" s="1"/>
  <c r="I168" i="23"/>
  <c r="I88" i="23" l="1"/>
  <c r="G88" i="23" s="1"/>
  <c r="G119" i="23" s="1"/>
  <c r="I119" i="23" s="1"/>
  <c r="I158" i="23"/>
  <c r="I117" i="23" s="1"/>
  <c r="I103" i="23"/>
  <c r="I104" i="23" s="1"/>
  <c r="G104" i="23" s="1"/>
  <c r="G108" i="23" s="1"/>
  <c r="G109" i="23" s="1"/>
  <c r="G163" i="23"/>
  <c r="I163" i="23" s="1"/>
  <c r="I164" i="23" s="1"/>
  <c r="O65" i="5"/>
  <c r="P65" i="5"/>
  <c r="O52" i="5"/>
  <c r="P52" i="5"/>
  <c r="G171" i="23" l="1"/>
  <c r="I171" i="23" s="1"/>
  <c r="I120" i="23"/>
  <c r="I108" i="23"/>
  <c r="G186" i="23"/>
  <c r="I186" i="23" s="1"/>
  <c r="O66" i="5"/>
  <c r="P66" i="5"/>
  <c r="P53" i="5"/>
  <c r="O53" i="5"/>
  <c r="G173" i="23"/>
  <c r="G110" i="23"/>
  <c r="I110" i="23" s="1"/>
  <c r="I109" i="23"/>
  <c r="G111" i="23"/>
  <c r="I111" i="23" s="1"/>
  <c r="P67" i="5" l="1"/>
  <c r="O67" i="5"/>
  <c r="O54" i="5"/>
  <c r="P54" i="5"/>
  <c r="I112" i="23"/>
  <c r="I122" i="23" s="1"/>
  <c r="I189" i="23" s="1"/>
  <c r="I185" i="23" s="1"/>
  <c r="I187" i="23" s="1"/>
  <c r="G174" i="23"/>
  <c r="I174" i="23" s="1"/>
  <c r="I173" i="23"/>
  <c r="P68" i="5" l="1"/>
  <c r="O68" i="5"/>
  <c r="P55" i="5"/>
  <c r="O55" i="5"/>
  <c r="I175" i="23"/>
  <c r="I192" i="23" s="1"/>
  <c r="I201" i="23" s="1"/>
  <c r="I11" i="23" s="1"/>
  <c r="I24" i="23" l="1"/>
  <c r="D36" i="23" s="1"/>
  <c r="O69" i="5"/>
  <c r="P69" i="5"/>
  <c r="P56" i="5"/>
  <c r="O56" i="5"/>
  <c r="D41" i="23" l="1"/>
  <c r="I42" i="23"/>
  <c r="I40" i="23"/>
  <c r="I41" i="23"/>
  <c r="D42" i="23"/>
  <c r="D40" i="23"/>
  <c r="D37" i="23"/>
  <c r="O70" i="5"/>
  <c r="P70" i="5"/>
  <c r="P71" i="5" l="1"/>
  <c r="O71" i="5"/>
  <c r="P72" i="5" l="1"/>
  <c r="O72" i="5"/>
  <c r="P73" i="5" l="1"/>
  <c r="O73" i="5"/>
  <c r="O74" i="5" l="1"/>
  <c r="P74" i="5"/>
  <c r="P75" i="5" l="1"/>
  <c r="O75" i="5"/>
  <c r="P76" i="5" l="1"/>
  <c r="O76" i="5"/>
  <c r="O77" i="5" l="1"/>
  <c r="P77" i="5"/>
  <c r="O78" i="5" l="1"/>
  <c r="P78" i="5"/>
  <c r="P79" i="5" l="1"/>
  <c r="O79" i="5"/>
  <c r="P80" i="5" l="1"/>
  <c r="O80" i="5"/>
  <c r="P81" i="5" l="1"/>
  <c r="O81" i="5"/>
  <c r="O82" i="5" l="1"/>
  <c r="P82" i="5"/>
  <c r="P83" i="5" l="1"/>
  <c r="O83" i="5"/>
  <c r="P84" i="5" l="1"/>
  <c r="O84" i="5"/>
  <c r="O85" i="5" l="1"/>
  <c r="P85" i="5"/>
  <c r="O86" i="5" l="1"/>
  <c r="P86" i="5"/>
  <c r="P87" i="5" l="1"/>
  <c r="O87" i="5"/>
  <c r="P88" i="5" l="1"/>
  <c r="O88" i="5"/>
  <c r="P89" i="5" l="1"/>
  <c r="O89" i="5"/>
  <c r="O90" i="5" l="1"/>
  <c r="P90" i="5"/>
  <c r="P91" i="5" l="1"/>
  <c r="O91" i="5"/>
  <c r="P92" i="5" l="1"/>
  <c r="O92" i="5"/>
  <c r="O93" i="5" l="1"/>
  <c r="P93" i="5"/>
  <c r="O94" i="5" l="1"/>
  <c r="P94" i="5"/>
  <c r="P95" i="5" l="1"/>
  <c r="O95" i="5"/>
  <c r="P96" i="5" l="1"/>
  <c r="O96" i="5"/>
  <c r="P97" i="5" l="1"/>
  <c r="O97" i="5"/>
  <c r="O98" i="5" l="1"/>
  <c r="P98" i="5"/>
  <c r="P99" i="5" l="1"/>
  <c r="O99" i="5"/>
  <c r="P100" i="5" l="1"/>
  <c r="O100" i="5"/>
</calcChain>
</file>

<file path=xl/comments1.xml><?xml version="1.0" encoding="utf-8"?>
<comments xmlns="http://schemas.openxmlformats.org/spreadsheetml/2006/main">
  <authors>
    <author>Paul Leland</author>
  </authors>
  <commentList>
    <comment ref="E8" authorId="0" shapeId="0">
      <text>
        <r>
          <rPr>
            <b/>
            <sz val="8"/>
            <color indexed="81"/>
            <rFont val="Tahoma"/>
            <family val="2"/>
          </rPr>
          <t>Paul Leland:</t>
        </r>
        <r>
          <rPr>
            <sz val="8"/>
            <color indexed="81"/>
            <rFont val="Tahoma"/>
            <family val="2"/>
          </rPr>
          <t xml:space="preserve">
estimated at 61% of the total 2004 debt refinancing</t>
        </r>
      </text>
    </comment>
  </commentList>
</comments>
</file>

<file path=xl/sharedStrings.xml><?xml version="1.0" encoding="utf-8"?>
<sst xmlns="http://schemas.openxmlformats.org/spreadsheetml/2006/main" count="2465" uniqueCount="816">
  <si>
    <t>CIP Expenses</t>
  </si>
  <si>
    <t>to Sales Expenses</t>
  </si>
  <si>
    <t>to Customer Account Expenses</t>
  </si>
  <si>
    <t>Transmission/Substation Expense</t>
  </si>
  <si>
    <t>Employee Benefits ex PR Taxes</t>
  </si>
  <si>
    <t>Total A&amp;G less selling expenses</t>
  </si>
  <si>
    <t>Removes dollar amount of transmission expenses included in the OATT ancillary services rates, including Account Nos. 561.1, 561.2, 561.3, and 561.BA.</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</si>
  <si>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</si>
  <si>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Line 29 must equal zero since all short-term power sales must be unbundled and the transmission component reflected in Account No. 456.1 and all other uses are to be included in the divisor.</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</si>
  <si>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</si>
  <si>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V</t>
  </si>
  <si>
    <t>W</t>
  </si>
  <si>
    <r>
      <t>Misc Interest</t>
    </r>
    <r>
      <rPr>
        <vertAlign val="superscript"/>
        <sz val="8"/>
        <rFont val="Tahoma"/>
        <family val="2"/>
      </rPr>
      <t>1</t>
    </r>
  </si>
  <si>
    <t>A&amp;G</t>
  </si>
  <si>
    <t>1a</t>
  </si>
  <si>
    <t xml:space="preserve">     Less LSE Expenses included in Transmission O&amp;M Accounts (Note V)</t>
  </si>
  <si>
    <t>TOTAL O&amp;M (sum lines 1, 3, 5a, 6, 7 less 1a,2, 4, 5)</t>
  </si>
  <si>
    <t>LESS ATTACHMENT GG ADJUSTMENT (Attachment GG, page 2, line 3, column 10)  Note W</t>
  </si>
  <si>
    <t>included in Attachment GG)</t>
  </si>
  <si>
    <t>REV. REQUIREMENT TO BE COLLECTED UNDER ATTACHMENT O</t>
  </si>
  <si>
    <t>GROSS REVENUE REQUIREMENT  (page 3, line 31)</t>
  </si>
  <si>
    <t>Xcel Energy,Alliant, MISO</t>
  </si>
  <si>
    <t>NBV</t>
  </si>
  <si>
    <t>General &amp; Administrative</t>
  </si>
  <si>
    <t>Electric - Distribution</t>
  </si>
  <si>
    <t>Electric - Generation</t>
  </si>
  <si>
    <t>Electric - Transmission</t>
  </si>
  <si>
    <t xml:space="preserve">  Total Electric</t>
  </si>
  <si>
    <t xml:space="preserve">   Total</t>
  </si>
  <si>
    <t>electric system</t>
  </si>
  <si>
    <t>Electric - G&amp;A assets</t>
  </si>
  <si>
    <t>cwip</t>
  </si>
  <si>
    <t>A&amp;G Wages</t>
  </si>
  <si>
    <t>Bad debt expense</t>
  </si>
  <si>
    <t>Telephone</t>
  </si>
  <si>
    <t>Office supplies and equipment</t>
  </si>
  <si>
    <t>Postage</t>
  </si>
  <si>
    <t>Legal and Professional</t>
  </si>
  <si>
    <t>Meetings, travel and mileage</t>
  </si>
  <si>
    <t>Advertising and promotional</t>
  </si>
  <si>
    <t>Director's fees and expenses</t>
  </si>
  <si>
    <t>Bank charges and credit card</t>
  </si>
  <si>
    <t>Dues and subscriptions</t>
  </si>
  <si>
    <t>Computer and Data processing</t>
  </si>
  <si>
    <t>Conservation/Rebate program</t>
  </si>
  <si>
    <t>Subtotal</t>
  </si>
  <si>
    <t>Total A&amp;G</t>
  </si>
  <si>
    <t>Date</t>
  </si>
  <si>
    <t>Blue Earth</t>
  </si>
  <si>
    <t>Taxes in Lieu of Property Taxes Explanation:</t>
  </si>
  <si>
    <t>Insurance</t>
  </si>
  <si>
    <t>Page 1 of 5</t>
  </si>
  <si>
    <t xml:space="preserve">Formula Rate - Non-Levelized </t>
  </si>
  <si>
    <t xml:space="preserve">   Rate Formula Template</t>
  </si>
  <si>
    <t xml:space="preserve"> </t>
  </si>
  <si>
    <t>Utilizing EIA Form 412 Data</t>
  </si>
  <si>
    <t>Line</t>
  </si>
  <si>
    <t>Allocated</t>
  </si>
  <si>
    <t>No.</t>
  </si>
  <si>
    <t>Amount</t>
  </si>
  <si>
    <t xml:space="preserve">REVENUE CREDITS </t>
  </si>
  <si>
    <t>(Note T)</t>
  </si>
  <si>
    <t>Allocator</t>
  </si>
  <si>
    <t xml:space="preserve">  Account No. 454</t>
  </si>
  <si>
    <t>(page 4, line 30)</t>
  </si>
  <si>
    <t>TP</t>
  </si>
  <si>
    <t>(page 4, line 33)</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</si>
  <si>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</si>
  <si>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</si>
  <si>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</si>
  <si>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</si>
  <si>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</si>
  <si>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</si>
  <si>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</si>
  <si>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</si>
  <si>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</si>
  <si>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</si>
  <si>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</si>
  <si>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</si>
  <si>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</si>
  <si>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</si>
  <si>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</si>
  <si>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12 CP or Contract Demands from service over one year provided by ISO at a discount (enter negative)</t>
  </si>
  <si>
    <t>Divisor (sum lines 8-14)</t>
  </si>
  <si>
    <t>Annual Cost ($/kW/Yr)</t>
  </si>
  <si>
    <t>(line 7/ line 15)</t>
  </si>
  <si>
    <t>Network &amp; P-to-P Rate ($/kW/Mo) (line 11/ 12)</t>
  </si>
  <si>
    <t>Peak Rate</t>
  </si>
  <si>
    <t>Off-Peak Rate</t>
  </si>
  <si>
    <t>Point-To-Point Rate ($/kW/Wk)</t>
  </si>
  <si>
    <t>(line 16 / 52; line 16/ 52)</t>
  </si>
  <si>
    <t>Point-To-Point Rate ($/kW/Day)</t>
  </si>
  <si>
    <t xml:space="preserve"> Capped at weekly rate</t>
  </si>
  <si>
    <t>Point-To-Point Rate ($/MWh)</t>
  </si>
  <si>
    <t xml:space="preserve"> Capped at weekly</t>
  </si>
  <si>
    <t xml:space="preserve"> and daily rates</t>
  </si>
  <si>
    <t>FERC Annual Charge($/MWh)</t>
  </si>
  <si>
    <t xml:space="preserve">          (Note E)</t>
  </si>
  <si>
    <t>Short Term</t>
  </si>
  <si>
    <t>Long Term</t>
  </si>
  <si>
    <t>Page 2 of 5</t>
  </si>
  <si>
    <t>(1)</t>
  </si>
  <si>
    <t>(2)</t>
  </si>
  <si>
    <t>(3)</t>
  </si>
  <si>
    <t>(4)</t>
  </si>
  <si>
    <t>(5)</t>
  </si>
  <si>
    <t>EIA 412</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</si>
  <si>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</si>
  <si>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</si>
  <si>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</si>
  <si>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</si>
  <si>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</si>
  <si>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</si>
  <si>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</si>
  <si>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</si>
  <si>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</si>
  <si>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</si>
  <si>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</si>
  <si>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</si>
  <si>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</si>
  <si>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TOTAL GROSS PLANT (sum lines 1-5)</t>
  </si>
  <si>
    <t>GP=</t>
  </si>
  <si>
    <t>TOTAL ACCUM. DEPRECIATION (sum lines 7-11)</t>
  </si>
  <si>
    <t>NET PLANT IN SERVICE</t>
  </si>
  <si>
    <t xml:space="preserve"> (line 1- line 7)</t>
  </si>
  <si>
    <t xml:space="preserve"> (line 2- line 8)</t>
  </si>
  <si>
    <t xml:space="preserve"> (line 3 - line 9)</t>
  </si>
  <si>
    <t xml:space="preserve"> (line 4 - line 10)</t>
  </si>
  <si>
    <t xml:space="preserve"> (line 5 - line 11)</t>
  </si>
  <si>
    <t>TOTAL NET PLANT (sum lines 13-17)</t>
  </si>
  <si>
    <t>NP=</t>
  </si>
  <si>
    <t>ADJUSTMENTS TO RATE BASE       (Note F)</t>
  </si>
  <si>
    <t xml:space="preserve">  Account No. 281 (enter negative) </t>
  </si>
  <si>
    <t>zero</t>
  </si>
  <si>
    <t xml:space="preserve">  Account No. 282 (enter negative)</t>
  </si>
  <si>
    <t>NP</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</si>
  <si>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</si>
  <si>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</si>
  <si>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</si>
  <si>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</si>
  <si>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</si>
  <si>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</si>
  <si>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(Note H)</t>
  </si>
  <si>
    <t xml:space="preserve">  CWC</t>
  </si>
  <si>
    <t xml:space="preserve">  Materials &amp; Supplies</t>
  </si>
  <si>
    <t xml:space="preserve"> (Note G)</t>
  </si>
  <si>
    <t>TE</t>
  </si>
  <si>
    <t xml:space="preserve">  Prepayments</t>
  </si>
  <si>
    <t>GP</t>
  </si>
  <si>
    <t>TOTAL WORKING CAPITAL (sum lines 26 - 28)</t>
  </si>
  <si>
    <t>RATE BASE  (sum lines 18, 24, 25, and 29)</t>
  </si>
  <si>
    <t>Page 3 of 5</t>
  </si>
  <si>
    <t xml:space="preserve">  Transmission </t>
  </si>
  <si>
    <t xml:space="preserve">     Less Account 565</t>
  </si>
  <si>
    <t xml:space="preserve">  A&amp;G</t>
  </si>
  <si>
    <t xml:space="preserve">     Less FERC Annual Fees</t>
  </si>
  <si>
    <t>5a</t>
  </si>
  <si>
    <t xml:space="preserve">     Plus Transmission Related Reg. Comm. Exp. (Note I)</t>
  </si>
  <si>
    <t xml:space="preserve">  Transmission Lease Payments</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</si>
  <si>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</si>
  <si>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</si>
  <si>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</si>
  <si>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</si>
  <si>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</si>
  <si>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</si>
  <si>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</si>
  <si>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</si>
  <si>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</si>
  <si>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</si>
  <si>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</si>
  <si>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</si>
  <si>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 (Note K)</t>
  </si>
  <si>
    <t xml:space="preserve">     T=1 - {[(1 - SIT) * (1 - FIT)] / (1 - SIT * FIT * p)} =</t>
  </si>
  <si>
    <t xml:space="preserve">     CIT=(T/1-T) * (1-(WCLTD/R)) =</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</si>
  <si>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</si>
  <si>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</si>
  <si>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</si>
  <si>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</si>
  <si>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</si>
  <si>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</si>
  <si>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</si>
  <si>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</si>
  <si>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 Rate Base (page 2, line 30) * Rate of Return (page 4, line 24)]</t>
  </si>
  <si>
    <t>REV. REQUIREMENT  (sum lines 8, 12,20,27,28)</t>
  </si>
  <si>
    <t>Page 4 of 5</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</si>
  <si>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</si>
  <si>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</si>
  <si>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</si>
  <si>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</si>
  <si>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</si>
  <si>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</si>
  <si>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</si>
  <si>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</si>
  <si>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</si>
  <si>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</si>
  <si>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</si>
  <si>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</si>
  <si>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</si>
  <si>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</si>
  <si>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TE=</t>
  </si>
  <si>
    <t>Work paper BES4</t>
  </si>
  <si>
    <t>X</t>
  </si>
  <si>
    <t>Customer Accounts Receivable (142)</t>
  </si>
  <si>
    <t>payroll taxes</t>
  </si>
  <si>
    <t>WAGES &amp; SALARY ALLOCATOR   (W&amp;S)</t>
  </si>
  <si>
    <t>$</t>
  </si>
  <si>
    <t>Allocation</t>
  </si>
  <si>
    <t>W&amp;S Allocator</t>
  </si>
  <si>
    <t xml:space="preserve">  Other</t>
  </si>
  <si>
    <t>($ / Allocation)</t>
  </si>
  <si>
    <t xml:space="preserve">  Total (sum lines 12-15)</t>
  </si>
  <si>
    <t>=</t>
  </si>
  <si>
    <t xml:space="preserve">  =</t>
  </si>
  <si>
    <t>COMMON PLANT ALLOCATOR  (CE)   (Note O)</t>
  </si>
  <si>
    <t>% Electric</t>
  </si>
  <si>
    <t>Labor Ratio</t>
  </si>
  <si>
    <t xml:space="preserve">  Electric</t>
  </si>
  <si>
    <t>(line 17 / line 20)</t>
  </si>
  <si>
    <t>(line 16)</t>
  </si>
  <si>
    <t xml:space="preserve">  Gas</t>
  </si>
  <si>
    <t>*</t>
  </si>
  <si>
    <t xml:space="preserve">  Water</t>
  </si>
  <si>
    <t xml:space="preserve">  Total  (sum lines 17-19)</t>
  </si>
  <si>
    <t>RETURN (R)</t>
  </si>
  <si>
    <t xml:space="preserve">              Long Term Interest  </t>
  </si>
  <si>
    <t>Cost</t>
  </si>
  <si>
    <t>%</t>
  </si>
  <si>
    <t>(Note P)</t>
  </si>
  <si>
    <t>Weighted</t>
  </si>
  <si>
    <t xml:space="preserve">  Long Term Debt</t>
  </si>
  <si>
    <t>=WCLTD</t>
  </si>
  <si>
    <t xml:space="preserve">  Proprietary Capital</t>
  </si>
  <si>
    <t>Total  (sum lines 22, 23)</t>
  </si>
  <si>
    <t>=R</t>
  </si>
  <si>
    <t xml:space="preserve">                               Proprietary Capital Cost Rate =</t>
  </si>
  <si>
    <t xml:space="preserve">                TIER =</t>
  </si>
  <si>
    <t>REVENUE CREDITS</t>
  </si>
  <si>
    <t>Load</t>
  </si>
  <si>
    <t>ACCOUNT 447 (SALES FOR RESALE)</t>
  </si>
  <si>
    <t xml:space="preserve">  a. Bundled Non-RQ Sales for Resale</t>
  </si>
  <si>
    <t>(Note Q)</t>
  </si>
  <si>
    <t xml:space="preserve">  b. Bundled Sales for Resale included in Divisor on page 1 </t>
  </si>
  <si>
    <t xml:space="preserve">  Total of (a)-(b)</t>
  </si>
  <si>
    <t>ACCOUNT 454 (RENT FROM ELECTRIC PROPERTY)    (Note R)</t>
  </si>
  <si>
    <t xml:space="preserve">  a. Transmission charges for all transmission transactions </t>
  </si>
  <si>
    <t xml:space="preserve">  b. Transmission charges for all transmission transactions included in Divisor on page 1</t>
  </si>
  <si>
    <t>Page 5 of 5</t>
  </si>
  <si>
    <t>General Note:  References to pages in this formulary rate are indicated as:  (page#, line#, col.#)</t>
  </si>
  <si>
    <t>Note</t>
  </si>
  <si>
    <t>Letter</t>
  </si>
  <si>
    <t>A</t>
  </si>
  <si>
    <t>B</t>
  </si>
  <si>
    <t>C</t>
  </si>
  <si>
    <t>D</t>
  </si>
  <si>
    <t>E</t>
  </si>
  <si>
    <t>F</t>
  </si>
  <si>
    <t>G</t>
  </si>
  <si>
    <t>Transmission related only.</t>
  </si>
  <si>
    <t>H</t>
  </si>
  <si>
    <t>I</t>
  </si>
  <si>
    <t>J</t>
  </si>
  <si>
    <t>K</t>
  </si>
  <si>
    <t>FIT =</t>
  </si>
  <si>
    <t>SIT=</t>
  </si>
  <si>
    <t xml:space="preserve">  (State Income Tax Rate or Composite SIT)</t>
  </si>
  <si>
    <t>p =</t>
  </si>
  <si>
    <t xml:space="preserve">  (percent of federal income tax deductible for state purposes)</t>
  </si>
  <si>
    <t>L</t>
  </si>
  <si>
    <t>M</t>
  </si>
  <si>
    <t>N</t>
  </si>
  <si>
    <t>O</t>
  </si>
  <si>
    <t>Enter dollar amounts</t>
  </si>
  <si>
    <t>P</t>
  </si>
  <si>
    <t>Q</t>
  </si>
  <si>
    <t>R</t>
  </si>
  <si>
    <t>Includes income related only to transmission facilities, such as pole attachments, rentals and special use.</t>
  </si>
  <si>
    <t>S</t>
  </si>
  <si>
    <t>T</t>
  </si>
  <si>
    <t>U</t>
  </si>
  <si>
    <r>
      <t>I</t>
    </r>
    <r>
      <rPr>
        <sz val="12"/>
        <rFont val="Arial"/>
        <family val="2"/>
      </rPr>
      <t>I.20.b</t>
    </r>
  </si>
  <si>
    <t xml:space="preserve">calculate a franchise fee as a proxy for the assessment necessary to </t>
  </si>
  <si>
    <t>calculate the payment in lieu of taxes.</t>
  </si>
  <si>
    <t>EIA-412</t>
  </si>
  <si>
    <t>Schedule 2 - ELECTRIC BALANCE SHEET</t>
  </si>
  <si>
    <t>AMOUNT</t>
  </si>
  <si>
    <t>ASSETS and OTHER DEBITS</t>
  </si>
  <si>
    <t>(Dollars)</t>
  </si>
  <si>
    <t>No</t>
  </si>
  <si>
    <t>LIABILITIES and OTHER CREDITS</t>
  </si>
  <si>
    <t>ELECTRIC PLANT</t>
  </si>
  <si>
    <t>PROPRIETARY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</si>
  <si>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</si>
  <si>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</si>
  <si>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</si>
  <si>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</si>
  <si>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</si>
  <si>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</si>
  <si>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</si>
  <si>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</si>
  <si>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</si>
  <si>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</si>
  <si>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Net Electric Plant (sum lines 1-2 less 3)</t>
  </si>
  <si>
    <t>TOTAL PROPRIETARY CAPITAL            (sum lines 29-31)</t>
  </si>
  <si>
    <t>Nuclear Fuel (120.1-120.4, 120.6)</t>
  </si>
  <si>
    <t>LONG TERM DEBT</t>
  </si>
  <si>
    <t>Amortization of Nuclear Fuel</t>
  </si>
  <si>
    <t>Bonds (221, 222) (sum lins 33a-d, include</t>
  </si>
  <si>
    <t>Assemblies (120.5)</t>
  </si>
  <si>
    <t>current portion)</t>
  </si>
  <si>
    <t>Net Electric Plant including Nuclear</t>
  </si>
  <si>
    <t>33a</t>
  </si>
  <si>
    <t>Senior Lien</t>
  </si>
  <si>
    <t>Fuel (sum lines 4-5 less line 6)</t>
  </si>
  <si>
    <t>33b</t>
  </si>
  <si>
    <t>Subordinate Lien</t>
  </si>
  <si>
    <t>OTHER PROPERTY &amp; INVESTMENTS</t>
  </si>
  <si>
    <t>33c</t>
  </si>
  <si>
    <t>Third Lien</t>
  </si>
  <si>
    <t>Non-Electric Plant Property (121)</t>
  </si>
  <si>
    <t>33d</t>
  </si>
  <si>
    <t>Project</t>
  </si>
  <si>
    <t>Depreciation and Amortization (122)</t>
  </si>
  <si>
    <t>Investment in Associated Enterprises</t>
  </si>
  <si>
    <t>Advances from Municipality and Other</t>
  </si>
  <si>
    <t>(123-123.1)</t>
  </si>
  <si>
    <t>Long Term Debt (223, 224)</t>
  </si>
  <si>
    <t>Investments &amp; Special Funds (124-129) (sum line 11a-d)</t>
  </si>
  <si>
    <t xml:space="preserve">Unamortized Premium on Long Term </t>
  </si>
  <si>
    <t>11a</t>
  </si>
  <si>
    <t>Debt Service Deposits &amp; Reserves - See Note 1</t>
  </si>
  <si>
    <t>Debt (225)</t>
  </si>
  <si>
    <t>11b</t>
  </si>
  <si>
    <t xml:space="preserve">Construction Funds - See Note 2 </t>
  </si>
  <si>
    <t>(Less) Unamortized Discount on Long</t>
  </si>
  <si>
    <t>11c</t>
  </si>
  <si>
    <t>Discretionary Reserves - See Note 3</t>
  </si>
  <si>
    <t>Term Debt (226)</t>
  </si>
  <si>
    <t>11d</t>
  </si>
  <si>
    <t>Other Restricted Investments - See Note 4</t>
  </si>
  <si>
    <t>Total Long Term Debt (sum line 33-35 less 36)</t>
  </si>
  <si>
    <t>Total Other Property and Investments       (sum lines 8, 10, 11 less 9)</t>
  </si>
  <si>
    <t>OTHER NONCURRENT LIABILITIES</t>
  </si>
  <si>
    <t>CURRENT &amp; ACCRUED ASSETS</t>
  </si>
  <si>
    <t>Accumulated Operating Provisions (228.1-.4)</t>
  </si>
  <si>
    <t>Cash, Working Funds &amp; Investments</t>
  </si>
  <si>
    <t>Accumulated Provisions for Rate Refunds</t>
  </si>
  <si>
    <t>(131-136)</t>
  </si>
  <si>
    <t>Total Other Non Current Liabilities (sum 38-39)</t>
  </si>
  <si>
    <t>Notes &amp; Other Receivables</t>
  </si>
  <si>
    <t>(141, 143, 145, 146, 172)</t>
  </si>
  <si>
    <t>CURRENT AND ACCRUED LIABILITIES</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</si>
  <si>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</si>
  <si>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</si>
  <si>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</si>
  <si>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</si>
  <si>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</si>
  <si>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</si>
  <si>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</si>
  <si>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</si>
  <si>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</si>
  <si>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</si>
  <si>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</si>
  <si>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</si>
  <si>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</si>
  <si>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</si>
  <si>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</si>
  <si>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</si>
  <si>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             (sum line 41-47)</t>
  </si>
  <si>
    <t>Total Current &amp; Accrued Assets                      ( sum lines 13-15, 17-22 less line 16)</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</si>
  <si>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</si>
  <si>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</si>
  <si>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</si>
  <si>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</si>
  <si>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</si>
  <si>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</si>
  <si>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</si>
  <si>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</si>
  <si>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</si>
  <si>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</si>
  <si>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</si>
  <si>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</si>
  <si>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</si>
  <si>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</si>
  <si>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Total Deferred Debits (sum  line 24-26)</t>
  </si>
  <si>
    <t>Total Deferred Credits</t>
  </si>
  <si>
    <t>TOTAL ASSETS &amp; OTHER DEBITS             (sum of lines 7, 12, 23, 27)</t>
  </si>
  <si>
    <t>TOTAL LIABILITIES &amp; OTHER CREDITS</t>
  </si>
  <si>
    <t>BLUE EARTH</t>
  </si>
  <si>
    <t>Schedule 3 - 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</si>
  <si>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</si>
  <si>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</si>
  <si>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</si>
  <si>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</si>
  <si>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</si>
  <si>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</si>
  <si>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 (sum lines 2-6)</t>
  </si>
  <si>
    <t xml:space="preserve">        NET ELECTRIC OPERATING INCOME (line 1 less line 7)</t>
  </si>
  <si>
    <t>Income from Electric Plant Leased to Others (412, 413)</t>
  </si>
  <si>
    <t xml:space="preserve">    Electric Operating Income (sum lines 8, 9)</t>
  </si>
  <si>
    <t>Other Electric Income (explain significant amounts in a footnote) (415, 417, 418, 419, 421, 421.1)</t>
  </si>
  <si>
    <t>Other Electric Deductions (explain significant amounts in a footnote) (416, 417, 421.2)</t>
  </si>
  <si>
    <t>Allowance for Other Funds Used During Construction (419.1)</t>
  </si>
  <si>
    <t>Taxes Applicable to Other Income and Deductions (408.2, 409.2)</t>
  </si>
  <si>
    <t xml:space="preserve">    Electric Income (sumlines 10, 11, 13 less lines 12, 14)</t>
  </si>
  <si>
    <t>Income Deductions from Interest on Long Term Debt (427)</t>
  </si>
  <si>
    <t>Other Income Deductions (explain significant amounts in a footnote) (428-431)</t>
  </si>
  <si>
    <t>Allowance for Borrowed Funds Used During Construction (432)</t>
  </si>
  <si>
    <t xml:space="preserve">    Total Income Deductions (sum line 16-18)</t>
  </si>
  <si>
    <t xml:space="preserve">        Income Before Extraordinary Items (line 15 less line 19)</t>
  </si>
  <si>
    <t>Extraordinary Items (434)</t>
  </si>
  <si>
    <t>Extraordinary Deductions (435)</t>
  </si>
  <si>
    <t xml:space="preserve">        NET INCOME (sum lines 20, 21 less line 22)</t>
  </si>
  <si>
    <t>Senior Lien Debt Service - See Note 1</t>
  </si>
  <si>
    <t>Subordinate Lien Debt Service - See Note 1</t>
  </si>
  <si>
    <t>Third Lien Debt Service - See Note 1</t>
  </si>
  <si>
    <t>Project Debt Service - See Note 1</t>
  </si>
  <si>
    <t>Aggregate Debt Service</t>
  </si>
  <si>
    <t>General Fund Transfers for payments in lieu of taxes  (excl. Taxes and Tax Equivalents listed above)</t>
  </si>
  <si>
    <t>Note 1 - required deposits to the P&amp;I fund during the fiscal year without regard to interest earnings on debt service;</t>
  </si>
  <si>
    <t>include interest expense for CP and short-term notes where appropriate.</t>
  </si>
  <si>
    <t xml:space="preserve">Beginning </t>
  </si>
  <si>
    <t>Ending</t>
  </si>
  <si>
    <t>Balance</t>
  </si>
  <si>
    <t>Additions</t>
  </si>
  <si>
    <t>Retirements</t>
  </si>
  <si>
    <t>Transfers</t>
  </si>
  <si>
    <t>Intangible Plant (301-303)</t>
  </si>
  <si>
    <t>Steam Production (310-316)</t>
  </si>
  <si>
    <t>Nuclear Production (320-325)</t>
  </si>
  <si>
    <t>Hydraulic Production (330-336)</t>
  </si>
  <si>
    <t>ACCUM DEPR</t>
  </si>
  <si>
    <t>Total Production Plant (sum lines 2-5)</t>
  </si>
  <si>
    <t>Transmission Plant (350-359)</t>
  </si>
  <si>
    <t>Distribution Plant (360-373)</t>
  </si>
  <si>
    <t>General Plant (389-399)</t>
  </si>
  <si>
    <t>Total Electric Plant In Service              (sum lines 1, 6-9)</t>
  </si>
  <si>
    <t>Electric Plant Leased to Others (104)</t>
  </si>
  <si>
    <t>Electric Plant Held for Future Use (105)</t>
  </si>
  <si>
    <t>Electric Plant Miscellaneous (102,103,106,114,116)</t>
  </si>
  <si>
    <t>Electric Plant &amp; Adjustments                (sum lines 10-13)</t>
  </si>
  <si>
    <t>Construction Work in Progress Electric (107)</t>
  </si>
  <si>
    <t>Total Electric Plant &amp; Adjustments      (sum lines 14, 15)</t>
  </si>
  <si>
    <t>SCHEDULE 5. TAXES, TAX EQUIVALENTS, CONTRIBUTIONS, AND SERVICES DURING YEAR</t>
  </si>
  <si>
    <t xml:space="preserve">Line </t>
  </si>
  <si>
    <t>SUBJECT PAYMENTS TO MUNICIPALITY OR OTHER GOVERNMENT UNITS</t>
  </si>
  <si>
    <t>Taxes other than Income Taxes, Operating Income</t>
  </si>
  <si>
    <t>Income Taxes, Operating Income (409.1)</t>
  </si>
  <si>
    <t xml:space="preserve">    Taxes and Tax Equivalents (sum of lines 1,2)</t>
  </si>
  <si>
    <t>Taxes Other than Income Taxes, other Income and Deductions (408.2)</t>
  </si>
  <si>
    <t>Income Taxes, Other Income and Deductions (409.2)</t>
  </si>
  <si>
    <t xml:space="preserve">    Taxes Applicable to Other Income and Deductions (sum of lines 4,5)</t>
  </si>
  <si>
    <t>Transfers from Retained Earnings (State and Local)</t>
  </si>
  <si>
    <t>Other Transfers from Retained Earnings</t>
  </si>
  <si>
    <t xml:space="preserve">    Total Taxes and Transfers (sum of lines 3,6-8)</t>
  </si>
  <si>
    <t>CONTRIBUTIONS OF SERVICES AND MATERIALS TO STATE AND LOCAL GOVERNMENTS</t>
  </si>
  <si>
    <t>Free or Below-Cost Electric Service</t>
  </si>
  <si>
    <t>Use of Electric Department Employees</t>
  </si>
  <si>
    <t>Use of Electric Department Vehicles and Other Equipment</t>
  </si>
  <si>
    <t>Materials and Supplies</t>
  </si>
  <si>
    <t xml:space="preserve">    Total Contributions Provided (sum of lines 10-13)</t>
  </si>
  <si>
    <t>CONTRIBUTIONS OF SERVICE AND MATERIALS FROM STATE AND LOCAL GOVERNMENTS</t>
  </si>
  <si>
    <t>Free or Below-Cost Services</t>
  </si>
  <si>
    <t>Use of State or Local Employees (Not on Payroll of Reporting Entity)</t>
  </si>
  <si>
    <t>Use of State or Local Vehicles and Other Equipment</t>
  </si>
  <si>
    <t xml:space="preserve">    Total Contributions Received (sum of lines 15-18)</t>
  </si>
  <si>
    <t xml:space="preserve">    Net Contributions and Services to Municipality or Other Government Units                                          (line 14, less line 19)</t>
  </si>
  <si>
    <t>Schedule 7 - ELECTRIC OPERATION AND MAINTENANCE EXPENSES (Dollars)</t>
  </si>
  <si>
    <t>Fuel Cost</t>
  </si>
  <si>
    <t>Operation</t>
  </si>
  <si>
    <t>Maintenance</t>
  </si>
  <si>
    <t>Steam Power Generation</t>
  </si>
  <si>
    <t>(500-507, 510-514) Fuel Cost (501)</t>
  </si>
  <si>
    <t>Nuclear Power Generation (517-525, 528-532) Fule Cost (518)</t>
  </si>
  <si>
    <t>Hydraulic Power Generation</t>
  </si>
  <si>
    <t>(535-540, 541-545)</t>
  </si>
  <si>
    <t>Other Power Generation</t>
  </si>
  <si>
    <t>(546-550, 551-554) Fuel cost (547)</t>
  </si>
  <si>
    <t>Specify: Combustion Turbines</t>
  </si>
  <si>
    <t>Purchased Power (555)</t>
  </si>
  <si>
    <t>Other Production Expenses</t>
  </si>
  <si>
    <t>(556-557)</t>
  </si>
  <si>
    <t xml:space="preserve">   Total Production Expenses</t>
  </si>
  <si>
    <t>Transmission Expenses</t>
  </si>
  <si>
    <t>(560-567, 568-573)</t>
  </si>
  <si>
    <t>xxxxxxxxxxxxxx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</si>
  <si>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</si>
  <si>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</si>
  <si>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</si>
  <si>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</si>
  <si>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</si>
  <si>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</si>
  <si>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</si>
  <si>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</si>
  <si>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</si>
  <si>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</si>
  <si>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</si>
  <si>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</si>
  <si>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Schedule 6 - SALES OF ELECTRICITY FOR RESALE (Acct 447)</t>
  </si>
  <si>
    <t xml:space="preserve">Electricity </t>
  </si>
  <si>
    <t>Annual</t>
  </si>
  <si>
    <t>Demand</t>
  </si>
  <si>
    <t>Energy,</t>
  </si>
  <si>
    <t xml:space="preserve">Total </t>
  </si>
  <si>
    <t>Type</t>
  </si>
  <si>
    <t>Sold</t>
  </si>
  <si>
    <t>Max Demand</t>
  </si>
  <si>
    <t>Charges</t>
  </si>
  <si>
    <t xml:space="preserve">Other </t>
  </si>
  <si>
    <t>Rev Sttlmt</t>
  </si>
  <si>
    <t>Sales Made To:</t>
  </si>
  <si>
    <t>Code</t>
  </si>
  <si>
    <t>(MWH)</t>
  </si>
  <si>
    <t>(MW)</t>
  </si>
  <si>
    <t>($)</t>
  </si>
  <si>
    <t>Charges ($)</t>
  </si>
  <si>
    <t>Schedule 8 - PURCHASES OF ELECTRICITY FOR RESALE (Acct 555)</t>
  </si>
  <si>
    <t>Purchased</t>
  </si>
  <si>
    <t>Purchases From</t>
  </si>
  <si>
    <t>FP,OT</t>
  </si>
  <si>
    <t>Notes:</t>
  </si>
  <si>
    <t xml:space="preserve">BES2:  Blue Earth  Schedule 2 -  Debt Detail </t>
  </si>
  <si>
    <t>BES13:  Blue Earth Schedule 13 - Explanation of Payments in Lieu of Property Taxes</t>
  </si>
  <si>
    <t>transmission</t>
  </si>
  <si>
    <t>Dept</t>
  </si>
  <si>
    <t>Account</t>
  </si>
  <si>
    <t>Description</t>
  </si>
  <si>
    <t>factor</t>
  </si>
  <si>
    <t>1</t>
  </si>
  <si>
    <t>800.001</t>
  </si>
  <si>
    <t>Office Cleaning/Windows</t>
  </si>
  <si>
    <t>800.002</t>
  </si>
  <si>
    <t>Office Machine Maint</t>
  </si>
  <si>
    <t>800.003</t>
  </si>
  <si>
    <t>Other Office Maintenance</t>
  </si>
  <si>
    <t>800.005</t>
  </si>
  <si>
    <t>Communications Equip Maint</t>
  </si>
  <si>
    <t>800.006</t>
  </si>
  <si>
    <t>SCADA Material/Maintenance</t>
  </si>
  <si>
    <t>800.008</t>
  </si>
  <si>
    <t>Energy Conservation Material</t>
  </si>
  <si>
    <t>800.010</t>
  </si>
  <si>
    <t>Grounds Upkeep</t>
  </si>
  <si>
    <t>800.101</t>
  </si>
  <si>
    <t>Overhead Line Maintenance</t>
  </si>
  <si>
    <t>800.102</t>
  </si>
  <si>
    <t>Underground Line Maintenance</t>
  </si>
  <si>
    <t>800.103</t>
  </si>
  <si>
    <t>Misc Distribution Maintenance</t>
  </si>
  <si>
    <t>800.104</t>
  </si>
  <si>
    <t>Electric Service Maintenance</t>
  </si>
  <si>
    <t>800.105</t>
  </si>
  <si>
    <t>Substation/Switchgear Maint</t>
  </si>
  <si>
    <t>800.106</t>
  </si>
  <si>
    <t>St Light/Signal Maintenance</t>
  </si>
  <si>
    <t>800.107</t>
  </si>
  <si>
    <t>Transformer Maintenance</t>
  </si>
  <si>
    <t>800.109</t>
  </si>
  <si>
    <t>Warehouse Maintenance</t>
  </si>
  <si>
    <t>800.110</t>
  </si>
  <si>
    <t>Electric Dept Equipment Repair</t>
  </si>
  <si>
    <t>800.122</t>
  </si>
  <si>
    <t>Load Mgmt Maintenance</t>
  </si>
  <si>
    <t>800.501</t>
  </si>
  <si>
    <t>Power Plant Structures Maint</t>
  </si>
  <si>
    <t>800.502</t>
  </si>
  <si>
    <t>Misc Power Plant Maintenance</t>
  </si>
  <si>
    <t>830.000</t>
  </si>
  <si>
    <t>Truck/Vehicle Maintenance</t>
  </si>
  <si>
    <t>830.001</t>
  </si>
  <si>
    <t>Transportation Expense - Fuel</t>
  </si>
  <si>
    <t>880.001</t>
  </si>
  <si>
    <t>Tools - Power Plant</t>
  </si>
  <si>
    <t>880.002</t>
  </si>
  <si>
    <t>Tools - Warehouse</t>
  </si>
  <si>
    <t>Supplies</t>
  </si>
  <si>
    <t>850.000</t>
  </si>
  <si>
    <t>850.001</t>
  </si>
  <si>
    <t>Supplies - Power Plant</t>
  </si>
  <si>
    <t>850.002</t>
  </si>
  <si>
    <t>Supplies - Warehouse</t>
  </si>
  <si>
    <t>850.004</t>
  </si>
  <si>
    <t>Linen Service</t>
  </si>
  <si>
    <t>810.007</t>
  </si>
  <si>
    <t>Gasoline - Equipment</t>
  </si>
  <si>
    <t>840.000</t>
  </si>
  <si>
    <t>Office Utilities</t>
  </si>
  <si>
    <t>840.001</t>
  </si>
  <si>
    <t>Power Plant Utilities</t>
  </si>
  <si>
    <t>840.003</t>
  </si>
  <si>
    <t>Warehouse Utilities</t>
  </si>
  <si>
    <t>FunctionalArea</t>
  </si>
  <si>
    <t>CUST</t>
  </si>
  <si>
    <t>DIST</t>
  </si>
  <si>
    <t>MET</t>
  </si>
  <si>
    <t>OTH</t>
  </si>
  <si>
    <t/>
  </si>
  <si>
    <t>Interest Expense</t>
  </si>
  <si>
    <t>Principal</t>
  </si>
  <si>
    <t>Year</t>
  </si>
  <si>
    <t>e2002</t>
  </si>
  <si>
    <t>e2004</t>
  </si>
  <si>
    <t>total electric</t>
  </si>
  <si>
    <t xml:space="preserve">Electric System - </t>
  </si>
  <si>
    <t>total</t>
  </si>
  <si>
    <t>Revenue Refunding Bonds 2002</t>
  </si>
  <si>
    <t>MCMU</t>
  </si>
  <si>
    <t>Total</t>
  </si>
  <si>
    <t>Transmission</t>
  </si>
  <si>
    <t>Distribution</t>
  </si>
  <si>
    <t>Total Princ</t>
  </si>
  <si>
    <t>Total Interest</t>
  </si>
  <si>
    <r>
      <t>adj</t>
    </r>
    <r>
      <rPr>
        <vertAlign val="superscript"/>
        <sz val="8"/>
        <color indexed="8"/>
        <rFont val="Tahoma"/>
        <family val="2"/>
      </rPr>
      <t>1</t>
    </r>
  </si>
  <si>
    <t>CostAlloc</t>
  </si>
  <si>
    <t>SumOfAmt</t>
  </si>
  <si>
    <t>GENERATION</t>
  </si>
  <si>
    <t>TRANSMISSION</t>
  </si>
  <si>
    <t>Generation</t>
  </si>
  <si>
    <t>Other</t>
  </si>
  <si>
    <t>Wages $ Salary Allocator</t>
  </si>
  <si>
    <t>Dept 1 Subtotal</t>
  </si>
  <si>
    <t>Other Subtotal</t>
  </si>
  <si>
    <t>Distribution Subtotal</t>
  </si>
  <si>
    <t>W&amp;S Total</t>
  </si>
  <si>
    <t>AssetCost</t>
  </si>
  <si>
    <t>AccumDepr</t>
  </si>
  <si>
    <t xml:space="preserve">  Account No. 456.1</t>
  </si>
  <si>
    <t>(line 16/260; line 16/365)</t>
  </si>
  <si>
    <t>(line 16/4160; line 16/8760</t>
  </si>
  <si>
    <t>times 1000)</t>
  </si>
  <si>
    <t>IV.7.e</t>
  </si>
  <si>
    <t>IV.6.e</t>
  </si>
  <si>
    <t>IV.8.e</t>
  </si>
  <si>
    <t>IV.12.e     (Note G)</t>
  </si>
  <si>
    <t>VII.8.d</t>
  </si>
  <si>
    <t>VII.13.d</t>
  </si>
  <si>
    <t xml:space="preserve">     Less EPRI &amp; Reg. Comm. Exp. &amp; Non-safety Ad. (Note I)</t>
  </si>
  <si>
    <t>(Revenue Requirement for facilities included on page 2, line 2, and also</t>
  </si>
  <si>
    <t>Included transmission expenses (line 6 less line 7)</t>
  </si>
  <si>
    <t>III.16.b + III.17.b  (Note U)</t>
  </si>
  <si>
    <t>II.32.b</t>
  </si>
  <si>
    <t>32a</t>
  </si>
  <si>
    <t>Line 31 supported by notes in Form 412 or detailed Schedule</t>
  </si>
  <si>
    <t>Line 32 supported by notes in Form 412 or detailed Schedule</t>
  </si>
  <si>
    <t>Lease/Rental Expenses reported separately</t>
  </si>
  <si>
    <t>AmtYTD w/reclass</t>
  </si>
  <si>
    <t>Transmission O&amp;M expense</t>
  </si>
  <si>
    <t>total debt</t>
  </si>
  <si>
    <t>other</t>
  </si>
  <si>
    <t>ACCOUNT 456.1 (OTHER ELECTRIC REVENUES)</t>
  </si>
  <si>
    <t>GROSS PLANT IN SERVICE (Note AA)</t>
  </si>
  <si>
    <t>IV.9.e &amp; IV.1.e</t>
  </si>
  <si>
    <t>ACCUMULATED DEPRECIATION (Note AA)</t>
  </si>
  <si>
    <t>O&amp;M (Note BB)</t>
  </si>
  <si>
    <t>DEPRECIATION AND AMORTIZATION EXPENSE (Note AA)</t>
  </si>
  <si>
    <t xml:space="preserve">       where WCLTD=(page 4, line 22) and R= (page 4, line 24)</t>
  </si>
  <si>
    <t>30a</t>
  </si>
  <si>
    <t>LESS ATTACHMENT MM ADJUSTMENT [Attachment MM, page 2, line 3, column 10]  (Note Y)</t>
  </si>
  <si>
    <t>[Revenue Requirement for facilities included on page 2, line 2, and also included</t>
  </si>
  <si>
    <t>in Attachment MM]</t>
  </si>
  <si>
    <t>(line 29-line 30 - line 30a)</t>
  </si>
  <si>
    <t>II.37.b</t>
  </si>
  <si>
    <t>32b</t>
  </si>
  <si>
    <t xml:space="preserve">   Total of a-b-c-d</t>
  </si>
  <si>
    <t>References to data from EIA Form 412 are indicated as:   x.y.z  (section, line, column)</t>
  </si>
  <si>
    <t>To the extent the page references to EIA Form 412 are missing, the entity will include a "Notes" section in the EIA 412 to provide this data.</t>
  </si>
  <si>
    <t xml:space="preserve">                            </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</si>
  <si>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</si>
  <si>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</si>
  <si>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</si>
  <si>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</si>
  <si>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</si>
  <si>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</si>
  <si>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</si>
  <si>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</si>
  <si>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Inputs Required: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</si>
  <si>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</si>
  <si>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</si>
  <si>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</si>
  <si>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</si>
  <si>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</si>
  <si>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</si>
  <si>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From Reference III.17.b include only the amount from Accounts 428, 429, and 430.</t>
  </si>
  <si>
    <t>Account Nos. 561.4 and 561.8 consist of RTO expenses billed to load-serving entities and are not included in Transmission Owner revenue requirements.</t>
  </si>
  <si>
    <t>CA</t>
  </si>
  <si>
    <t>Entity</t>
  </si>
  <si>
    <t>Month</t>
  </si>
  <si>
    <t>HE</t>
  </si>
  <si>
    <t>Transmission mwh</t>
  </si>
  <si>
    <t>Control Area mwh</t>
  </si>
  <si>
    <t>% of Control Area</t>
  </si>
  <si>
    <t>NSP</t>
  </si>
  <si>
    <t>blue</t>
  </si>
  <si>
    <t>del</t>
  </si>
  <si>
    <t>fair</t>
  </si>
  <si>
    <t>gfalls</t>
  </si>
  <si>
    <t>glen</t>
  </si>
  <si>
    <t>jane</t>
  </si>
  <si>
    <t>kass</t>
  </si>
  <si>
    <t>ken</t>
  </si>
  <si>
    <t>ITC</t>
  </si>
  <si>
    <t>mlake</t>
  </si>
  <si>
    <t>sleep</t>
  </si>
  <si>
    <t>spring</t>
  </si>
  <si>
    <t>win</t>
  </si>
  <si>
    <t>Transmission Professional Fees</t>
  </si>
  <si>
    <t>to Trans O&amp;M</t>
  </si>
  <si>
    <t>Transmission Labor</t>
  </si>
  <si>
    <t>Transmission Prof Fees</t>
  </si>
  <si>
    <t>Attachment O-EIA Non-Levelized Generic</t>
  </si>
  <si>
    <t>mwh Load SCADA</t>
  </si>
  <si>
    <t>mwh Gen SCADA</t>
  </si>
  <si>
    <t>mwh Load MDMA</t>
  </si>
  <si>
    <t>mwh Gen MDMA</t>
  </si>
  <si>
    <t>BE</t>
  </si>
  <si>
    <t>DEL</t>
  </si>
  <si>
    <t>EXPENSES TO BE DEDUCTED ON PAGE 3 LINE 4 OF THE ATTACHMENT O.</t>
  </si>
  <si>
    <t>CMMPA DOES INVOICE BLUE EARTH FOR A PREPARATION FEE FOR THEIR ATTACHMENT O.  THAT FEE IS BOOKED AS A</t>
  </si>
  <si>
    <t>TRANSMISSION EXPENSE BY BLUE EARTH AND A NEGATIVE TRANSMISSION EXPENSE BY CMMPA.</t>
  </si>
  <si>
    <t>BLUE EARTH HAS NO RECB OR OTHER "COST SHARED" PROJECTS' COSTS REFLECTED IN ITS ATTACHMENT O.</t>
  </si>
  <si>
    <t>BLUE EARTH IS CHARGED THEIR APPROPRIATE SHARE OF SCHEDULE 10 TRANSMISSION ADMIN CHARGES BY CMMPA AS A</t>
  </si>
  <si>
    <t>STATEMENTS.  SINCE THIS COST IS NOT INCLUDED IN A&amp;G ON BLUE EARTH'S BOOKS, IT WOULD BE INAPPROPRIATE FOR SCHEDULE 10</t>
  </si>
  <si>
    <t>THERE ARE NO CMMPA ASSETS REPRESENTED IN THE BOOKS AND RECORDS OF BLUE EARTH,</t>
  </si>
  <si>
    <t>THERE ARE NO CMMPA EXPENSES REFLECTED ANYWHERE IN THE BOOKS AND RECORDS OF BLUE EARTH.</t>
  </si>
  <si>
    <t>COMPONENT OF THEIR TRANSMISSION COSTS.  IT IS INCLUDED IN BLUE EARTH'S PURCHASED POWER COSTS ON THEIR FINANCIAL</t>
  </si>
  <si>
    <t>Equipment Revenue Bonds 2013A</t>
  </si>
  <si>
    <t>Eq Rev 2013</t>
  </si>
  <si>
    <t>principal balance</t>
  </si>
  <si>
    <t>from Fixed Expenses (Schedule A, Page 38)</t>
  </si>
  <si>
    <t xml:space="preserve">  c.  Transmission charges from Schedules associated with Attachment GG (Note X)</t>
  </si>
  <si>
    <t xml:space="preserve">  d. Transmission charges from Schedules associated with Attachment MM (Note Z)</t>
  </si>
  <si>
    <t>For the 12 months ended 12/31/14</t>
  </si>
  <si>
    <t>HENCE NO CMMPA ASSETS ARE REPRESENTED IN THE ACCOMPANYING ATTACHMENT O USING 2014 AUDITED INFORMATION.</t>
  </si>
  <si>
    <t>BLUE EARTH HAS NO 2014 GFA LOAD OR REVENUE INCLUDED IN THEIR ATTACHMENT O FOR 2014 DATA.</t>
  </si>
  <si>
    <t>Total Debt for Blue Earth Light &amp; Water - 12/31/2014</t>
  </si>
  <si>
    <t>Blue Earth 2014 Depreciation detail - Attachment O</t>
  </si>
  <si>
    <t>See Note 8 page 31 of Blue Earth 2014 audited financial statement.</t>
  </si>
  <si>
    <t>A transfer was made in 2014 from the Electric Utility fund to the General</t>
  </si>
  <si>
    <t>Blue Earth 2014 Schedule A (Page 38)</t>
  </si>
  <si>
    <t>Blue Earth 2014 Schedule A (Page 37)</t>
  </si>
  <si>
    <t>BES12:  Blue Earth  Schedule 12  - 2014 A&amp;G Detail</t>
  </si>
  <si>
    <t>2014 depr</t>
  </si>
  <si>
    <t>Blue Earth Fixed Asset Summary - 12/31/14</t>
  </si>
  <si>
    <t xml:space="preserve">fund for a payment in lieu of taxes of $202,765.   Blue Earth agreed to  </t>
  </si>
  <si>
    <t>6a</t>
  </si>
  <si>
    <t>Adjustments to Net Revenue Requirement (Note CC)</t>
  </si>
  <si>
    <t>6b</t>
  </si>
  <si>
    <t>Interest on Adjustments (Note DD)</t>
  </si>
  <si>
    <t>6c</t>
  </si>
  <si>
    <t>Total Adjustment (line 6a + line 6b)</t>
  </si>
  <si>
    <t xml:space="preserve"> (line 1 minus line 6 plus Line 6c)</t>
  </si>
  <si>
    <t>The FERC's annual charges for the year assessed the Transmission Owner for service under this tariff, if any.</t>
  </si>
  <si>
    <t>Removes transmission plant determined  to be state-jurisdictional by Commission order according to the seven-factor test (until EIA 412 balances are adjusted to reflect application of seven-factor test).</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</si>
  <si>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</si>
  <si>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</si>
  <si>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</si>
  <si>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</si>
  <si>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</si>
  <si>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</si>
  <si>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CC</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</si>
  <si>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</si>
  <si>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</si>
  <si>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</si>
  <si>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</si>
  <si>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</si>
  <si>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2014 Audited Financial Statements - Page 37</t>
  </si>
  <si>
    <t>BES4:  Blue Earth  Schedule 4 -  2014 Wages &amp; Salary</t>
  </si>
  <si>
    <t>SCHEDULE 4</t>
  </si>
  <si>
    <t>Other Production (340-346)</t>
  </si>
  <si>
    <t>NOTE FOR LINE 5:  Combustion Turbine</t>
  </si>
  <si>
    <t>Num</t>
  </si>
  <si>
    <t>Memo</t>
  </si>
  <si>
    <t>Name</t>
  </si>
  <si>
    <t>Item</t>
  </si>
  <si>
    <t>Qty</t>
  </si>
  <si>
    <t>U/M</t>
  </si>
  <si>
    <t>Sales Price</t>
  </si>
  <si>
    <t>Service</t>
  </si>
  <si>
    <t>MISO T.O. REVENUE (MISO TRANSMISSION OWNER REVENUE)</t>
  </si>
  <si>
    <t>1936001 (MISO T.O. REVENUE SCHED 9-BLUE EARTH)</t>
  </si>
  <si>
    <t>Total 1936001 (MISO T.O. REVENUE SCHED 9-BLUE EARTH)</t>
  </si>
  <si>
    <t>1963001 (MISO T.O. ADMIN FEE-BLUE EARTH)</t>
  </si>
  <si>
    <t>Total 1963001 (MISO T.O. ADMIN FEE-BLUE EARTH)</t>
  </si>
  <si>
    <t>2036001 (MISO T.O. REVENUE SCHED 7-BLUE EARTH)</t>
  </si>
  <si>
    <t>Total 2036001 (MISO T.O. REVENUE SCHED 7-BLUE EARTH)</t>
  </si>
  <si>
    <t>2136001 (MISO T.O. REVENUE SCHED 8-BLUE EARTH)</t>
  </si>
  <si>
    <t>Total 2136001 (MISO T.O. REVENUE SCHED 8-BLUE EARTH)</t>
  </si>
  <si>
    <t>Total MISO T.O. REVENUE (MISO TRANSMISSION OWNER REVENUE)</t>
  </si>
  <si>
    <t>Total Service</t>
  </si>
  <si>
    <t>TOTAL</t>
  </si>
  <si>
    <t>Credit Memo</t>
  </si>
  <si>
    <t>4329</t>
  </si>
  <si>
    <t>4361</t>
  </si>
  <si>
    <t>4395</t>
  </si>
  <si>
    <t>4448</t>
  </si>
  <si>
    <t>4479</t>
  </si>
  <si>
    <t>4514</t>
  </si>
  <si>
    <t>4548</t>
  </si>
  <si>
    <t>4580</t>
  </si>
  <si>
    <t>4615</t>
  </si>
  <si>
    <t>4646</t>
  </si>
  <si>
    <t>4682</t>
  </si>
  <si>
    <t>4714</t>
  </si>
  <si>
    <t>4716</t>
  </si>
  <si>
    <t>MISO T.O. REVENUE SCHED 9-BLUE EARTH</t>
  </si>
  <si>
    <t>MISO T.O. ADMIN FEE-BLUE EARTH</t>
  </si>
  <si>
    <t>MISO T.O. REVENUE SCHED 7-BLUE EARTH</t>
  </si>
  <si>
    <t>MISO T.O. REVENUE SCHED 8-BLUE EARTH</t>
  </si>
  <si>
    <t>BLUE EARTH LIGHT &amp; WATER</t>
  </si>
  <si>
    <t>ELK RIVER MUNICIPAL UTILITIES</t>
  </si>
  <si>
    <t>MISO T.O. REVENUE:1936001 (MISO T.O. REVENUE SCHED 9-BLUE EARTH)</t>
  </si>
  <si>
    <t>MISO T.O. REVENUE:1963001 (MISO T.O. ADMIN FEE-BLUE EARTH)</t>
  </si>
  <si>
    <t>MISO T.O. REVENUE:2036001 (MISO T.O. REVENUE SCHED 7-BLUE EARTH)</t>
  </si>
  <si>
    <t>MISO T.O. REVENUE:2136001 (MISO T.O. REVENUE SCHED 8-BLUE EARTH)</t>
  </si>
  <si>
    <t>recorded as Professional Fees</t>
  </si>
  <si>
    <t>Note 2 - Line 11 includes $29,097 in customer late penalties, $294,743 in Transmission Tariff Revenue and $77,515 in FEMA revenue.</t>
  </si>
  <si>
    <t>Note 3 - Line 12 includes $116,586 in Community Support Programs and $42,831 in FEMA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</si>
</sst>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 numFmtId="167" formatCode="&quot;$&quot;#,##0.00;\(&quot;$&quot;#,##0.00\)"/>
    <numFmt numFmtId="168" formatCode="_(* #,##0_);_(* \(#,##0\);_(* &quot;-&quot;??_);_(@_)"/>
    <numFmt numFmtId="169" formatCode="0.00000"/>
    <numFmt numFmtId="170" formatCode="0.0000"/>
    <numFmt numFmtId="171" formatCode="&quot;$&quot;#,##0"/>
    <numFmt numFmtId="172" formatCode="#,##0.000"/>
    <numFmt numFmtId="173" formatCode="&quot;$&quot;#,##0.000"/>
    <numFmt numFmtId="174" formatCode="#,##0.00000"/>
    <numFmt numFmtId="175" formatCode="0.000%"/>
    <numFmt numFmtId="176" formatCode="#,##0.0000"/>
    <numFmt numFmtId="177" formatCode="mm/dd/yyyy"/>
    <numFmt numFmtId="178" formatCode="#,##0.00###;\-#,##0.00###"/>
    <numFmt numFmtId="179" formatCode="#,##0.00;\-#,##0.00"/>
  </numFmts>
  <fonts count="87">
    <font>
      <sz val="10"/>
      <name val="Arial"/>
    </font>
    <font>
      <sz val="10"/>
      <name val="Arial"/>
    </font>
    <font>
      <sz val="12"/>
      <name val="Arial MT"/>
    </font>
    <font>
      <b/>
      <u/>
      <sz val="10"/>
      <name val="Arial"/>
      <family val="2"/>
    </font>
    <font>
      <sz val="8"/>
      <color indexed="8"/>
      <name val="Tahoma"/>
    </font>
    <font>
      <sz val="10"/>
      <color indexed="8"/>
      <name val="Arial"/>
    </font>
    <font>
      <b/>
      <sz val="10"/>
      <name val="Arial"/>
      <family val="2"/>
    </font>
    <font>
      <sz val="8"/>
      <color indexed="10"/>
      <name val="Tahoma"/>
      <family val="2"/>
    </font>
    <font>
      <b/>
      <sz val="14"/>
      <name val="Arial"/>
      <family val="2"/>
    </font>
    <font>
      <b/>
      <sz val="12"/>
      <name val="Arial"/>
      <family val="2"/>
    </font>
    <font>
      <vertAlign val="superscript"/>
      <sz val="8"/>
      <color indexed="8"/>
      <name val="Tahoma"/>
      <family val="2"/>
    </font>
    <font>
      <b/>
      <sz val="8"/>
      <color indexed="8"/>
      <name val="Tahoma"/>
      <family val="2"/>
    </font>
    <font>
      <sz val="8"/>
      <name val="Tahoma"/>
      <family val="2"/>
    </font>
    <font>
      <vertAlign val="superscript"/>
      <sz val="8"/>
      <name val="Tahoma"/>
      <family val="2"/>
    </font>
    <font>
      <sz val="8"/>
      <name val="Arial"/>
    </font>
    <font>
      <sz val="10"/>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2"/>
      <name val="Arial"/>
      <family val="2"/>
    </font>
    <font>
      <sz val="12"/>
      <name val="Arial"/>
      <family val="2"/>
    </font>
    <font>
      <sz val="12"/>
      <color indexed="17"/>
      <name val="Arial MT"/>
    </font>
    <font>
      <sz val="12"/>
      <color indexed="10"/>
      <name val="Arial"/>
      <family val="2"/>
    </font>
    <font>
      <sz val="11"/>
      <name val="Arial"/>
      <family val="2"/>
    </font>
    <font>
      <strike/>
      <sz val="12"/>
      <name val="Arial"/>
      <family val="2"/>
    </font>
    <font>
      <sz val="12"/>
      <color indexed="17"/>
      <name val="Arial"/>
      <family val="2"/>
    </font>
    <font>
      <b/>
      <sz val="12"/>
      <color indexed="17"/>
      <name val="Arial MT"/>
    </font>
    <font>
      <sz val="12"/>
      <name val="Times New Roman"/>
      <family val="1"/>
    </font>
    <font>
      <sz val="10"/>
      <name val="Arial MT"/>
    </font>
    <font>
      <b/>
      <sz val="10"/>
      <name val="Arial"/>
    </font>
    <font>
      <b/>
      <sz val="10"/>
      <color indexed="10"/>
      <name val="Arial"/>
      <family val="2"/>
    </font>
    <font>
      <sz val="12"/>
      <color indexed="12"/>
      <name val="Arial"/>
      <family val="2"/>
    </font>
    <font>
      <b/>
      <sz val="11"/>
      <name val="Arial"/>
      <family val="2"/>
    </font>
    <font>
      <sz val="10"/>
      <color indexed="12"/>
      <name val="Arial"/>
    </font>
    <font>
      <sz val="10"/>
      <color indexed="12"/>
      <name val="Arial"/>
      <family val="2"/>
    </font>
    <font>
      <b/>
      <sz val="10"/>
      <color indexed="12"/>
      <name val="Arial"/>
    </font>
    <font>
      <vertAlign val="superscript"/>
      <sz val="10"/>
      <color indexed="10"/>
      <name val="Arial"/>
      <family val="2"/>
    </font>
    <font>
      <sz val="10"/>
      <color indexed="10"/>
      <name val="Arial"/>
      <family val="2"/>
    </font>
    <font>
      <sz val="8"/>
      <name val="Tahoma"/>
    </font>
    <font>
      <sz val="8"/>
      <color indexed="8"/>
      <name val="Tahoma"/>
      <family val="2"/>
    </font>
    <font>
      <sz val="12"/>
      <name val="Arial"/>
    </font>
    <font>
      <sz val="12"/>
      <color indexed="17"/>
      <name val="Times New Roman"/>
      <family val="1"/>
    </font>
    <font>
      <sz val="12"/>
      <color indexed="10"/>
      <name val="Times New Roman"/>
      <family val="1"/>
    </font>
    <font>
      <sz val="10"/>
      <color indexed="8"/>
      <name val="Arial"/>
      <family val="2"/>
    </font>
    <font>
      <b/>
      <sz val="8"/>
      <color indexed="81"/>
      <name val="Tahoma"/>
      <family val="2"/>
    </font>
    <font>
      <sz val="8"/>
      <color indexed="81"/>
      <name val="Tahoma"/>
      <family val="2"/>
    </font>
    <font>
      <sz val="10"/>
      <name val="Arial"/>
    </font>
    <font>
      <b/>
      <sz val="18"/>
      <name val="Arial"/>
      <family val="2"/>
    </font>
    <font>
      <sz val="8"/>
      <color rgb="FFFF0000"/>
      <name val="Tahoma"/>
      <family val="2"/>
    </font>
    <font>
      <b/>
      <sz val="10"/>
      <color theme="1"/>
      <name val="Arial"/>
      <family val="2"/>
    </font>
    <font>
      <sz val="8"/>
      <color rgb="FF002060"/>
      <name val="Tahoma"/>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sz val="10"/>
      <color rgb="FFFF0000"/>
      <name val="Arial"/>
      <family val="2"/>
    </font>
    <font>
      <b/>
      <sz val="11"/>
      <color theme="1"/>
      <name val="Calibri"/>
      <family val="2"/>
      <scheme val="minor"/>
    </font>
    <font>
      <sz val="16"/>
      <name val="Arial MT"/>
    </font>
    <font>
      <sz val="14"/>
      <name val="Times New Roman"/>
      <family val="1"/>
    </font>
    <font>
      <b/>
      <sz val="8"/>
      <color rgb="FF000000"/>
      <name val="Arial"/>
      <family val="2"/>
    </font>
    <font>
      <sz val="8"/>
      <color rgb="FF000000"/>
      <name val="Arial"/>
      <family val="2"/>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99"/>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style="thin">
        <color indexed="22"/>
      </right>
      <top style="thin">
        <color indexed="22"/>
      </top>
      <bottom style="thin">
        <color indexed="64"/>
      </bottom>
      <diagonal/>
    </border>
    <border>
      <left/>
      <right/>
      <top style="thin">
        <color indexed="64"/>
      </top>
      <bottom style="double">
        <color indexed="64"/>
      </bottom>
      <diagonal/>
    </border>
    <border>
      <left style="thin">
        <color indexed="8"/>
      </left>
      <right style="medium">
        <color indexed="64"/>
      </right>
      <top style="thin">
        <color indexed="8"/>
      </top>
      <bottom style="thin">
        <color indexed="8"/>
      </bottom>
      <diagonal/>
    </border>
    <border>
      <left style="thin">
        <color indexed="22"/>
      </left>
      <right style="medium">
        <color indexed="64"/>
      </right>
      <top style="thin">
        <color indexed="22"/>
      </top>
      <bottom style="thin">
        <color indexed="22"/>
      </bottom>
      <diagonal/>
    </border>
    <border>
      <left style="thin">
        <color indexed="8"/>
      </left>
      <right style="thin">
        <color indexed="64"/>
      </right>
      <top style="thin">
        <color indexed="8"/>
      </top>
      <bottom style="thin">
        <color indexed="8"/>
      </bottom>
      <diagonal/>
    </border>
    <border>
      <left style="thin">
        <color indexed="22"/>
      </left>
      <right style="thin">
        <color indexed="64"/>
      </right>
      <top style="thin">
        <color indexed="22"/>
      </top>
      <bottom style="thin">
        <color indexed="22"/>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ck">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000000"/>
      </right>
      <top style="thin">
        <color rgb="FF000000"/>
      </top>
      <bottom style="thin">
        <color rgb="FF000000"/>
      </bottom>
      <diagonal/>
    </border>
    <border>
      <left style="thin">
        <color indexed="8"/>
      </left>
      <right/>
      <top style="thin">
        <color indexed="8"/>
      </top>
      <bottom style="thin">
        <color indexed="8"/>
      </bottom>
      <diagonal/>
    </border>
    <border>
      <left style="thin">
        <color indexed="22"/>
      </left>
      <right/>
      <top style="thin">
        <color indexed="22"/>
      </top>
      <bottom style="thin">
        <color indexed="22"/>
      </bottom>
      <diagonal/>
    </border>
    <border>
      <left/>
      <right/>
      <top style="thin">
        <color indexed="64"/>
      </top>
      <bottom style="medium">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thick">
        <color indexed="64"/>
      </bottom>
      <diagonal/>
    </border>
    <border>
      <left/>
      <right/>
      <top style="medium">
        <color indexed="64"/>
      </top>
      <bottom style="double">
        <color indexed="64"/>
      </bottom>
      <diagonal/>
    </border>
  </borders>
  <cellStyleXfs count="130">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43" fontId="1" fillId="0" borderId="0" applyFont="0" applyFill="0" applyBorder="0" applyAlignment="0" applyProtection="0"/>
    <xf numFmtId="43" fontId="6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6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5" fillId="0" borderId="0"/>
    <xf numFmtId="165" fontId="2" fillId="0" borderId="0" applyProtection="0"/>
    <xf numFmtId="0" fontId="5" fillId="0" borderId="0"/>
    <xf numFmtId="0" fontId="5" fillId="0" borderId="0"/>
    <xf numFmtId="0" fontId="58" fillId="0" borderId="0"/>
    <xf numFmtId="0" fontId="17" fillId="23" borderId="7" applyNumberFormat="0" applyFont="0" applyAlignment="0" applyProtection="0"/>
    <xf numFmtId="0" fontId="30" fillId="20" borderId="8" applyNumberFormat="0" applyAlignment="0" applyProtection="0"/>
    <xf numFmtId="9" fontId="1" fillId="0" borderId="0" applyFont="0" applyFill="0" applyBorder="0" applyAlignment="0" applyProtection="0"/>
    <xf numFmtId="9" fontId="15"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9" fontId="61" fillId="0" borderId="0" applyFont="0" applyFill="0" applyBorder="0" applyAlignment="0" applyProtection="0"/>
    <xf numFmtId="0" fontId="66" fillId="28" borderId="0" applyNumberFormat="0" applyBorder="0" applyAlignment="0" applyProtection="0"/>
    <xf numFmtId="0" fontId="66" fillId="29" borderId="0" applyNumberFormat="0" applyBorder="0" applyAlignment="0" applyProtection="0"/>
    <xf numFmtId="0" fontId="66"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66" fillId="33" borderId="0" applyNumberFormat="0" applyBorder="0" applyAlignment="0" applyProtection="0"/>
    <xf numFmtId="0" fontId="66" fillId="34" borderId="0" applyNumberFormat="0" applyBorder="0" applyAlignment="0" applyProtection="0"/>
    <xf numFmtId="0" fontId="66" fillId="35"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xf numFmtId="0" fontId="66" fillId="38" borderId="0" applyNumberFormat="0" applyBorder="0" applyAlignment="0" applyProtection="0"/>
    <xf numFmtId="0" fontId="66" fillId="39" borderId="0" applyNumberFormat="0" applyBorder="0" applyAlignment="0" applyProtection="0"/>
    <xf numFmtId="0" fontId="67" fillId="40" borderId="0" applyNumberFormat="0" applyBorder="0" applyAlignment="0" applyProtection="0"/>
    <xf numFmtId="0" fontId="67" fillId="41" borderId="0" applyNumberFormat="0" applyBorder="0" applyAlignment="0" applyProtection="0"/>
    <xf numFmtId="0" fontId="67" fillId="42" borderId="0" applyNumberFormat="0" applyBorder="0" applyAlignment="0" applyProtection="0"/>
    <xf numFmtId="0" fontId="67" fillId="43" borderId="0" applyNumberFormat="0" applyBorder="0" applyAlignment="0" applyProtection="0"/>
    <xf numFmtId="0" fontId="67" fillId="44" borderId="0" applyNumberFormat="0" applyBorder="0" applyAlignment="0" applyProtection="0"/>
    <xf numFmtId="0" fontId="67" fillId="45" borderId="0" applyNumberFormat="0" applyBorder="0" applyAlignment="0" applyProtection="0"/>
    <xf numFmtId="0" fontId="67" fillId="46" borderId="0" applyNumberFormat="0" applyBorder="0" applyAlignment="0" applyProtection="0"/>
    <xf numFmtId="0" fontId="67" fillId="47"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8" fillId="52" borderId="0" applyNumberFormat="0" applyBorder="0" applyAlignment="0" applyProtection="0"/>
    <xf numFmtId="0" fontId="69" fillId="53" borderId="54" applyNumberFormat="0" applyAlignment="0" applyProtection="0"/>
    <xf numFmtId="0" fontId="70" fillId="54" borderId="55" applyNumberFormat="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1" fillId="0" borderId="0" applyNumberFormat="0" applyFill="0" applyBorder="0" applyAlignment="0" applyProtection="0"/>
    <xf numFmtId="0" fontId="72" fillId="55" borderId="0" applyNumberFormat="0" applyBorder="0" applyAlignment="0" applyProtection="0"/>
    <xf numFmtId="0" fontId="73" fillId="0" borderId="56" applyNumberFormat="0" applyFill="0" applyAlignment="0" applyProtection="0"/>
    <xf numFmtId="0" fontId="74" fillId="0" borderId="57" applyNumberFormat="0" applyFill="0" applyAlignment="0" applyProtection="0"/>
    <xf numFmtId="0" fontId="75" fillId="0" borderId="58" applyNumberFormat="0" applyFill="0" applyAlignment="0" applyProtection="0"/>
    <xf numFmtId="0" fontId="75" fillId="0" borderId="0" applyNumberFormat="0" applyFill="0" applyBorder="0" applyAlignment="0" applyProtection="0"/>
    <xf numFmtId="0" fontId="76" fillId="56" borderId="54" applyNumberFormat="0" applyAlignment="0" applyProtection="0"/>
    <xf numFmtId="0" fontId="77" fillId="0" borderId="59" applyNumberFormat="0" applyFill="0" applyAlignment="0" applyProtection="0"/>
    <xf numFmtId="0" fontId="78" fillId="57" borderId="0" applyNumberFormat="0" applyBorder="0" applyAlignment="0" applyProtection="0"/>
    <xf numFmtId="0" fontId="66" fillId="0" borderId="0"/>
    <xf numFmtId="0" fontId="66" fillId="58" borderId="60" applyNumberFormat="0" applyFont="0" applyAlignment="0" applyProtection="0"/>
    <xf numFmtId="0" fontId="79" fillId="53" borderId="61" applyNumberFormat="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0" fontId="80" fillId="0" borderId="0" applyNumberFormat="0" applyFill="0" applyBorder="0" applyAlignment="0" applyProtection="0"/>
    <xf numFmtId="0" fontId="64" fillId="0" borderId="62" applyNumberFormat="0" applyFill="0" applyAlignment="0" applyProtection="0"/>
    <xf numFmtId="0" fontId="81"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cellStyleXfs>
  <cellXfs count="606">
    <xf numFmtId="0" fontId="0" fillId="0" borderId="0" xfId="0"/>
    <xf numFmtId="0" fontId="4" fillId="24" borderId="10" xfId="44" applyFont="1" applyFill="1" applyBorder="1" applyAlignment="1">
      <alignment horizontal="center"/>
    </xf>
    <xf numFmtId="0" fontId="4" fillId="0" borderId="7" xfId="44" applyFont="1" applyFill="1" applyBorder="1" applyAlignment="1">
      <alignment horizontal="left" wrapText="1"/>
    </xf>
    <xf numFmtId="43" fontId="4" fillId="0" borderId="7" xfId="28" applyFont="1" applyFill="1" applyBorder="1" applyAlignment="1">
      <alignment horizontal="right" wrapText="1"/>
    </xf>
    <xf numFmtId="0" fontId="4" fillId="24" borderId="10" xfId="45" applyFont="1" applyFill="1" applyBorder="1" applyAlignment="1">
      <alignment horizontal="center"/>
    </xf>
    <xf numFmtId="167" fontId="4" fillId="0" borderId="7" xfId="45" applyNumberFormat="1" applyFont="1" applyFill="1" applyBorder="1" applyAlignment="1">
      <alignment horizontal="right" wrapText="1"/>
    </xf>
    <xf numFmtId="0" fontId="0" fillId="0" borderId="0" xfId="0" applyAlignment="1">
      <alignment horizontal="center"/>
    </xf>
    <xf numFmtId="0" fontId="4" fillId="0" borderId="7" xfId="45" applyFont="1" applyFill="1" applyBorder="1" applyAlignment="1">
      <alignment horizontal="center" wrapText="1"/>
    </xf>
    <xf numFmtId="167" fontId="4" fillId="0" borderId="7" xfId="44" applyNumberFormat="1" applyFont="1" applyFill="1" applyBorder="1" applyAlignment="1">
      <alignment horizontal="right" wrapText="1"/>
    </xf>
    <xf numFmtId="0" fontId="4" fillId="0" borderId="0" xfId="45" applyFont="1" applyFill="1" applyBorder="1" applyAlignment="1">
      <alignment horizontal="center" wrapText="1"/>
    </xf>
    <xf numFmtId="167" fontId="4" fillId="0" borderId="0" xfId="45" applyNumberFormat="1" applyFont="1" applyFill="1" applyBorder="1" applyAlignment="1">
      <alignment horizontal="right" wrapText="1"/>
    </xf>
    <xf numFmtId="0" fontId="0" fillId="0" borderId="11" xfId="0" applyBorder="1"/>
    <xf numFmtId="0" fontId="0" fillId="0" borderId="12" xfId="0" applyBorder="1"/>
    <xf numFmtId="0" fontId="0" fillId="0" borderId="13" xfId="0" applyBorder="1"/>
    <xf numFmtId="0" fontId="0" fillId="0" borderId="14" xfId="0" applyBorder="1"/>
    <xf numFmtId="0" fontId="9" fillId="0" borderId="0" xfId="0" applyFont="1" applyBorder="1"/>
    <xf numFmtId="0" fontId="0" fillId="0" borderId="0" xfId="0" applyBorder="1"/>
    <xf numFmtId="0" fontId="0" fillId="0" borderId="15" xfId="0" applyBorder="1"/>
    <xf numFmtId="0" fontId="0" fillId="0" borderId="16" xfId="0" applyBorder="1"/>
    <xf numFmtId="0" fontId="0" fillId="0" borderId="17" xfId="0" applyBorder="1"/>
    <xf numFmtId="0" fontId="0" fillId="0" borderId="18" xfId="0" applyBorder="1"/>
    <xf numFmtId="164" fontId="0" fillId="0" borderId="0" xfId="30" applyNumberFormat="1" applyFont="1" applyBorder="1"/>
    <xf numFmtId="0" fontId="0" fillId="0" borderId="0" xfId="0" applyFill="1" applyBorder="1"/>
    <xf numFmtId="0" fontId="9" fillId="0" borderId="12" xfId="0" applyFont="1" applyBorder="1"/>
    <xf numFmtId="0" fontId="6" fillId="0" borderId="0" xfId="0" applyFont="1" applyBorder="1" applyAlignment="1">
      <alignment horizontal="center"/>
    </xf>
    <xf numFmtId="167" fontId="6" fillId="0" borderId="0" xfId="0" applyNumberFormat="1" applyFont="1" applyBorder="1"/>
    <xf numFmtId="167" fontId="6" fillId="0" borderId="17" xfId="0" applyNumberFormat="1" applyFont="1" applyBorder="1"/>
    <xf numFmtId="0" fontId="6" fillId="0" borderId="17" xfId="0" applyFont="1" applyBorder="1" applyAlignment="1">
      <alignment horizontal="center"/>
    </xf>
    <xf numFmtId="43" fontId="11" fillId="0" borderId="7" xfId="28" applyFont="1" applyFill="1" applyBorder="1" applyAlignment="1">
      <alignment horizontal="right" wrapText="1"/>
    </xf>
    <xf numFmtId="164" fontId="0" fillId="0" borderId="19" xfId="30" applyNumberFormat="1" applyFont="1" applyBorder="1"/>
    <xf numFmtId="43" fontId="4" fillId="0" borderId="20" xfId="28" applyFont="1" applyFill="1" applyBorder="1" applyAlignment="1">
      <alignment horizontal="right" wrapText="1"/>
    </xf>
    <xf numFmtId="0" fontId="11" fillId="0" borderId="21" xfId="44" applyFont="1" applyFill="1" applyBorder="1" applyAlignment="1">
      <alignment horizontal="left"/>
    </xf>
    <xf numFmtId="0" fontId="4" fillId="0" borderId="7" xfId="44" applyFont="1" applyFill="1" applyBorder="1" applyAlignment="1">
      <alignment horizontal="left"/>
    </xf>
    <xf numFmtId="43" fontId="4" fillId="0" borderId="22" xfId="28" applyFont="1" applyFill="1" applyBorder="1" applyAlignment="1">
      <alignment horizontal="right" wrapText="1"/>
    </xf>
    <xf numFmtId="0" fontId="0" fillId="0" borderId="20" xfId="0" applyBorder="1"/>
    <xf numFmtId="0" fontId="0" fillId="0" borderId="23" xfId="0" applyBorder="1"/>
    <xf numFmtId="43" fontId="11" fillId="0" borderId="22" xfId="28" applyFont="1" applyFill="1" applyBorder="1" applyAlignment="1">
      <alignment horizontal="right" wrapText="1"/>
    </xf>
    <xf numFmtId="43" fontId="6" fillId="0" borderId="24" xfId="0" applyNumberFormat="1" applyFont="1" applyBorder="1"/>
    <xf numFmtId="0" fontId="4" fillId="24" borderId="25" xfId="44" applyFont="1" applyFill="1" applyBorder="1" applyAlignment="1">
      <alignment horizontal="center"/>
    </xf>
    <xf numFmtId="43" fontId="4" fillId="0" borderId="26" xfId="28" applyFont="1" applyFill="1" applyBorder="1" applyAlignment="1">
      <alignment horizontal="right" wrapText="1"/>
    </xf>
    <xf numFmtId="166" fontId="4" fillId="0" borderId="26" xfId="49" applyNumberFormat="1" applyFont="1" applyFill="1" applyBorder="1" applyAlignment="1">
      <alignment horizontal="right" wrapText="1"/>
    </xf>
    <xf numFmtId="43" fontId="11" fillId="0" borderId="26" xfId="28" applyFont="1" applyFill="1" applyBorder="1" applyAlignment="1">
      <alignment horizontal="right" wrapText="1"/>
    </xf>
    <xf numFmtId="43" fontId="6" fillId="0" borderId="0" xfId="0" applyNumberFormat="1" applyFont="1" applyBorder="1"/>
    <xf numFmtId="43" fontId="6" fillId="0" borderId="15" xfId="0" applyNumberFormat="1" applyFont="1" applyBorder="1"/>
    <xf numFmtId="10" fontId="0" fillId="0" borderId="0" xfId="49" applyNumberFormat="1" applyFont="1" applyBorder="1"/>
    <xf numFmtId="164" fontId="0" fillId="0" borderId="17" xfId="30" applyNumberFormat="1" applyFont="1" applyBorder="1"/>
    <xf numFmtId="10" fontId="0" fillId="0" borderId="17" xfId="49" applyNumberFormat="1" applyFont="1" applyBorder="1"/>
    <xf numFmtId="0" fontId="9" fillId="0" borderId="11" xfId="0" applyFont="1" applyBorder="1"/>
    <xf numFmtId="0" fontId="0" fillId="24" borderId="0" xfId="0" applyFill="1" applyBorder="1"/>
    <xf numFmtId="0" fontId="0" fillId="24" borderId="15" xfId="0" applyFill="1" applyBorder="1"/>
    <xf numFmtId="167" fontId="12" fillId="0" borderId="7" xfId="45" applyNumberFormat="1" applyFont="1" applyFill="1" applyBorder="1" applyAlignment="1">
      <alignment horizontal="right" wrapText="1"/>
    </xf>
    <xf numFmtId="0" fontId="6" fillId="0" borderId="14" xfId="0" applyFont="1" applyBorder="1" applyAlignment="1">
      <alignment horizontal="left" indent="1"/>
    </xf>
    <xf numFmtId="0" fontId="4" fillId="0" borderId="0" xfId="45" applyFont="1" applyFill="1" applyBorder="1" applyAlignment="1">
      <alignment horizontal="center"/>
    </xf>
    <xf numFmtId="167" fontId="7" fillId="0" borderId="0" xfId="45" applyNumberFormat="1" applyFont="1" applyFill="1" applyBorder="1" applyAlignment="1">
      <alignment horizontal="right" wrapText="1"/>
    </xf>
    <xf numFmtId="167" fontId="4" fillId="0" borderId="28" xfId="45" applyNumberFormat="1" applyFont="1" applyFill="1" applyBorder="1" applyAlignment="1">
      <alignment horizontal="right" wrapText="1"/>
    </xf>
    <xf numFmtId="10" fontId="0" fillId="0" borderId="19" xfId="49" applyNumberFormat="1" applyFont="1" applyBorder="1"/>
    <xf numFmtId="0" fontId="0" fillId="0" borderId="0" xfId="0" applyFill="1"/>
    <xf numFmtId="164" fontId="6" fillId="0" borderId="0" xfId="30" applyNumberFormat="1" applyFont="1" applyBorder="1"/>
    <xf numFmtId="164" fontId="0" fillId="0" borderId="0" xfId="30" applyNumberFormat="1" applyFont="1"/>
    <xf numFmtId="0" fontId="0" fillId="0" borderId="0" xfId="0" applyAlignment="1">
      <alignment horizontal="left" indent="1"/>
    </xf>
    <xf numFmtId="164" fontId="0" fillId="0" borderId="29" xfId="30" applyNumberFormat="1" applyFont="1" applyBorder="1"/>
    <xf numFmtId="164" fontId="0" fillId="0" borderId="12" xfId="30" applyNumberFormat="1" applyFont="1" applyBorder="1"/>
    <xf numFmtId="0" fontId="0" fillId="0" borderId="13" xfId="0" applyBorder="1" applyAlignment="1">
      <alignment horizontal="left" indent="1"/>
    </xf>
    <xf numFmtId="0" fontId="0" fillId="0" borderId="15" xfId="0" applyBorder="1" applyAlignment="1">
      <alignment horizontal="left" indent="1"/>
    </xf>
    <xf numFmtId="164" fontId="16" fillId="0" borderId="0" xfId="30" applyNumberFormat="1" applyFont="1" applyBorder="1"/>
    <xf numFmtId="0" fontId="0" fillId="0" borderId="18" xfId="0" applyBorder="1" applyAlignment="1">
      <alignment horizontal="left" indent="1"/>
    </xf>
    <xf numFmtId="0" fontId="9" fillId="0" borderId="11" xfId="0" applyFont="1" applyBorder="1" applyAlignment="1">
      <alignment horizontal="left" indent="1"/>
    </xf>
    <xf numFmtId="0" fontId="0" fillId="0" borderId="14" xfId="0" applyBorder="1" applyAlignment="1">
      <alignment horizontal="left" indent="1"/>
    </xf>
    <xf numFmtId="0" fontId="16" fillId="0" borderId="14" xfId="0" applyFont="1" applyBorder="1" applyAlignment="1">
      <alignment horizontal="left" indent="2"/>
    </xf>
    <xf numFmtId="0" fontId="0" fillId="0" borderId="16" xfId="0" applyBorder="1" applyAlignment="1">
      <alignment horizontal="left" indent="1"/>
    </xf>
    <xf numFmtId="0" fontId="9" fillId="0" borderId="0" xfId="0" applyFont="1" applyBorder="1" applyAlignment="1">
      <alignment horizontal="left" vertical="center"/>
    </xf>
    <xf numFmtId="0" fontId="3" fillId="0" borderId="0" xfId="0" applyFont="1"/>
    <xf numFmtId="0" fontId="6" fillId="0" borderId="0" xfId="0" applyFont="1"/>
    <xf numFmtId="0" fontId="34" fillId="24" borderId="14" xfId="0" applyFont="1" applyFill="1" applyBorder="1"/>
    <xf numFmtId="0" fontId="15" fillId="0" borderId="14" xfId="0" applyFont="1" applyBorder="1" applyAlignment="1">
      <alignment horizontal="left" indent="1"/>
    </xf>
    <xf numFmtId="164" fontId="15" fillId="0" borderId="0" xfId="30" applyNumberFormat="1" applyFont="1" applyBorder="1"/>
    <xf numFmtId="0" fontId="0" fillId="0" borderId="0" xfId="0" applyAlignment="1"/>
    <xf numFmtId="0" fontId="2" fillId="0" borderId="0" xfId="0" applyNumberFormat="1" applyFont="1"/>
    <xf numFmtId="0" fontId="2" fillId="0" borderId="0" xfId="0" applyFont="1" applyAlignment="1"/>
    <xf numFmtId="0" fontId="35" fillId="0" borderId="0" xfId="0" applyNumberFormat="1" applyFont="1" applyAlignment="1"/>
    <xf numFmtId="0" fontId="35" fillId="0" borderId="0" xfId="0" applyNumberFormat="1" applyFont="1"/>
    <xf numFmtId="0" fontId="35" fillId="0" borderId="0" xfId="0" applyNumberFormat="1" applyFont="1" applyAlignment="1">
      <alignment horizontal="left"/>
    </xf>
    <xf numFmtId="0" fontId="35" fillId="0" borderId="0" xfId="0" applyNumberFormat="1" applyFont="1" applyAlignment="1">
      <alignment horizontal="center"/>
    </xf>
    <xf numFmtId="0" fontId="35" fillId="25" borderId="0" xfId="0" applyNumberFormat="1" applyFont="1" applyFill="1"/>
    <xf numFmtId="3" fontId="35" fillId="0" borderId="0" xfId="0" applyNumberFormat="1" applyFont="1" applyAlignment="1"/>
    <xf numFmtId="0" fontId="0" fillId="0" borderId="0" xfId="0" applyNumberFormat="1" applyAlignment="1">
      <alignment horizontal="center"/>
    </xf>
    <xf numFmtId="49" fontId="35" fillId="25" borderId="0" xfId="0" applyNumberFormat="1" applyFont="1" applyFill="1"/>
    <xf numFmtId="49" fontId="35" fillId="0" borderId="0" xfId="0" applyNumberFormat="1" applyFont="1"/>
    <xf numFmtId="0" fontId="2" fillId="0" borderId="0" xfId="0" applyFont="1" applyFill="1" applyAlignment="1"/>
    <xf numFmtId="0" fontId="0" fillId="0" borderId="17" xfId="0" applyNumberFormat="1" applyBorder="1" applyAlignment="1">
      <alignment horizontal="center"/>
    </xf>
    <xf numFmtId="0" fontId="35" fillId="0" borderId="17" xfId="0" applyNumberFormat="1" applyFont="1" applyBorder="1" applyAlignment="1">
      <alignment horizontal="center"/>
    </xf>
    <xf numFmtId="3" fontId="35" fillId="0" borderId="0" xfId="0" applyNumberFormat="1" applyFont="1"/>
    <xf numFmtId="42" fontId="35" fillId="0" borderId="0" xfId="0" applyNumberFormat="1" applyFont="1"/>
    <xf numFmtId="0" fontId="35" fillId="0" borderId="17" xfId="0" applyNumberFormat="1" applyFont="1" applyBorder="1" applyAlignment="1">
      <alignment horizontal="centerContinuous"/>
    </xf>
    <xf numFmtId="169" fontId="35" fillId="0" borderId="0" xfId="0" applyNumberFormat="1" applyFont="1" applyAlignment="1"/>
    <xf numFmtId="0" fontId="0" fillId="0" borderId="0" xfId="0" applyFill="1" applyBorder="1" applyAlignment="1"/>
    <xf numFmtId="0" fontId="2" fillId="0" borderId="0" xfId="0" applyFont="1" applyFill="1" applyBorder="1" applyAlignment="1"/>
    <xf numFmtId="0" fontId="2" fillId="0" borderId="0" xfId="0" applyNumberFormat="1" applyFont="1" applyFill="1" applyBorder="1"/>
    <xf numFmtId="3" fontId="35" fillId="25" borderId="0" xfId="0" applyNumberFormat="1" applyFont="1" applyFill="1"/>
    <xf numFmtId="0" fontId="36" fillId="0" borderId="0" xfId="0" applyNumberFormat="1" applyFont="1" applyFill="1" applyBorder="1"/>
    <xf numFmtId="3" fontId="35" fillId="0" borderId="17" xfId="0" applyNumberFormat="1" applyFont="1" applyBorder="1" applyAlignment="1"/>
    <xf numFmtId="3" fontId="35" fillId="0" borderId="0" xfId="0" applyNumberFormat="1" applyFont="1" applyAlignment="1">
      <alignment horizontal="fill"/>
    </xf>
    <xf numFmtId="0" fontId="35" fillId="0" borderId="0" xfId="0" applyFont="1" applyAlignment="1"/>
    <xf numFmtId="42" fontId="35" fillId="0" borderId="19" xfId="0" applyNumberFormat="1" applyFont="1" applyBorder="1" applyAlignment="1">
      <alignment horizontal="right"/>
    </xf>
    <xf numFmtId="0" fontId="37" fillId="0" borderId="0" xfId="0" applyNumberFormat="1" applyFont="1"/>
    <xf numFmtId="0" fontId="36" fillId="0" borderId="0" xfId="0" applyFont="1" applyFill="1" applyBorder="1" applyAlignment="1"/>
    <xf numFmtId="3" fontId="35" fillId="0" borderId="0" xfId="0" applyNumberFormat="1" applyFont="1" applyFill="1" applyBorder="1"/>
    <xf numFmtId="3" fontId="35" fillId="25" borderId="0" xfId="0" applyNumberFormat="1" applyFont="1" applyFill="1" applyBorder="1"/>
    <xf numFmtId="3" fontId="35" fillId="25" borderId="17" xfId="0" applyNumberFormat="1" applyFont="1" applyFill="1" applyBorder="1"/>
    <xf numFmtId="172" fontId="35" fillId="0" borderId="0" xfId="0" applyNumberFormat="1" applyFont="1"/>
    <xf numFmtId="172" fontId="35" fillId="0" borderId="0" xfId="0" applyNumberFormat="1" applyFont="1" applyAlignment="1">
      <alignment horizontal="center"/>
    </xf>
    <xf numFmtId="0" fontId="35" fillId="0" borderId="0" xfId="0" applyFont="1" applyAlignment="1">
      <alignment horizontal="center"/>
    </xf>
    <xf numFmtId="173" fontId="35" fillId="0" borderId="0" xfId="0" applyNumberFormat="1" applyFont="1" applyAlignment="1"/>
    <xf numFmtId="173" fontId="35" fillId="25" borderId="0" xfId="0" applyNumberFormat="1" applyFont="1" applyFill="1" applyProtection="1">
      <protection locked="0"/>
    </xf>
    <xf numFmtId="173" fontId="35" fillId="0" borderId="0" xfId="0" applyNumberFormat="1" applyFont="1" applyProtection="1">
      <protection locked="0"/>
    </xf>
    <xf numFmtId="0" fontId="35" fillId="0" borderId="0" xfId="0" applyNumberFormat="1" applyFont="1" applyProtection="1">
      <protection locked="0"/>
    </xf>
    <xf numFmtId="0" fontId="2" fillId="0" borderId="0" xfId="0" applyNumberFormat="1" applyFont="1" applyAlignment="1"/>
    <xf numFmtId="0" fontId="2" fillId="0" borderId="0" xfId="0" applyNumberFormat="1" applyFont="1" applyFill="1" applyBorder="1" applyAlignment="1"/>
    <xf numFmtId="3" fontId="2" fillId="0" borderId="0" xfId="0" applyNumberFormat="1" applyFont="1" applyAlignment="1"/>
    <xf numFmtId="3" fontId="2" fillId="0" borderId="0" xfId="0" applyNumberFormat="1" applyFont="1" applyFill="1" applyBorder="1" applyAlignment="1"/>
    <xf numFmtId="49" fontId="35" fillId="0" borderId="0" xfId="0" applyNumberFormat="1" applyFont="1" applyAlignment="1">
      <alignment horizontal="left"/>
    </xf>
    <xf numFmtId="49" fontId="35" fillId="0" borderId="0" xfId="0" applyNumberFormat="1" applyFont="1" applyAlignment="1">
      <alignment horizontal="center"/>
    </xf>
    <xf numFmtId="0" fontId="2" fillId="0" borderId="0" xfId="0" applyNumberFormat="1" applyFont="1" applyFill="1" applyBorder="1" applyAlignment="1">
      <alignment horizontal="center"/>
    </xf>
    <xf numFmtId="3" fontId="9" fillId="0" borderId="0" xfId="0" applyNumberFormat="1" applyFont="1" applyAlignment="1">
      <alignment horizontal="center"/>
    </xf>
    <xf numFmtId="0" fontId="9" fillId="0" borderId="0" xfId="0" applyNumberFormat="1" applyFont="1" applyAlignment="1">
      <alignment horizontal="center"/>
    </xf>
    <xf numFmtId="0" fontId="9" fillId="0" borderId="0" xfId="0" applyFont="1" applyAlignment="1">
      <alignment horizontal="center"/>
    </xf>
    <xf numFmtId="3" fontId="9" fillId="0" borderId="0" xfId="0" applyNumberFormat="1" applyFont="1" applyAlignment="1"/>
    <xf numFmtId="0" fontId="38" fillId="0" borderId="0" xfId="0" applyNumberFormat="1" applyFont="1" applyAlignment="1">
      <alignment horizontal="center"/>
    </xf>
    <xf numFmtId="0" fontId="9" fillId="0" borderId="0" xfId="0" applyNumberFormat="1" applyFont="1" applyAlignment="1"/>
    <xf numFmtId="3" fontId="35" fillId="25" borderId="0" xfId="0" applyNumberFormat="1" applyFont="1" applyFill="1" applyBorder="1" applyAlignment="1"/>
    <xf numFmtId="174" fontId="35" fillId="0" borderId="0" xfId="0" applyNumberFormat="1" applyFont="1" applyAlignment="1"/>
    <xf numFmtId="3" fontId="35" fillId="25" borderId="17" xfId="0" applyNumberFormat="1" applyFont="1" applyFill="1" applyBorder="1" applyAlignment="1"/>
    <xf numFmtId="175" fontId="35" fillId="0" borderId="0" xfId="0" applyNumberFormat="1" applyFont="1" applyAlignment="1">
      <alignment horizontal="center"/>
    </xf>
    <xf numFmtId="3" fontId="35" fillId="25" borderId="0" xfId="0" applyNumberFormat="1" applyFont="1" applyFill="1" applyAlignment="1"/>
    <xf numFmtId="0" fontId="2" fillId="0" borderId="0" xfId="0" applyNumberFormat="1" applyFont="1" applyFill="1" applyBorder="1" applyAlignment="1">
      <alignment horizontal="fill"/>
    </xf>
    <xf numFmtId="3" fontId="2" fillId="0" borderId="0" xfId="0" applyNumberFormat="1" applyFont="1" applyFill="1" applyBorder="1" applyAlignment="1">
      <alignment horizontal="fill"/>
    </xf>
    <xf numFmtId="174" fontId="35" fillId="0" borderId="0" xfId="0" applyNumberFormat="1" applyFont="1" applyAlignment="1">
      <alignment horizontal="right"/>
    </xf>
    <xf numFmtId="175" fontId="2"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0" fontId="2" fillId="0" borderId="0" xfId="0" applyNumberFormat="1" applyFont="1" applyFill="1" applyBorder="1" applyAlignment="1">
      <alignment horizontal="left"/>
    </xf>
    <xf numFmtId="0" fontId="40" fillId="0" borderId="0" xfId="0" applyFont="1" applyAlignment="1"/>
    <xf numFmtId="0" fontId="0" fillId="0" borderId="17" xfId="0" applyBorder="1" applyAlignment="1"/>
    <xf numFmtId="3" fontId="35" fillId="0" borderId="19" xfId="0" applyNumberFormat="1" applyFont="1" applyBorder="1" applyAlignment="1"/>
    <xf numFmtId="0" fontId="0" fillId="0" borderId="0" xfId="0" applyNumberFormat="1"/>
    <xf numFmtId="0" fontId="0" fillId="0" borderId="0" xfId="0" applyNumberFormat="1" applyFill="1" applyBorder="1"/>
    <xf numFmtId="169" fontId="35" fillId="0" borderId="0" xfId="0" applyNumberFormat="1" applyFont="1" applyAlignment="1">
      <alignment horizontal="right"/>
    </xf>
    <xf numFmtId="10" fontId="35" fillId="0" borderId="0" xfId="0" applyNumberFormat="1" applyFont="1" applyAlignment="1">
      <alignment horizontal="left"/>
    </xf>
    <xf numFmtId="169" fontId="35" fillId="0" borderId="0" xfId="0" applyNumberFormat="1" applyFont="1" applyAlignment="1">
      <alignment horizontal="center"/>
    </xf>
    <xf numFmtId="175" fontId="35" fillId="0" borderId="0" xfId="0" applyNumberFormat="1" applyFont="1" applyAlignment="1">
      <alignment horizontal="left"/>
    </xf>
    <xf numFmtId="10" fontId="35" fillId="0" borderId="0" xfId="0" applyNumberFormat="1" applyFont="1" applyFill="1" applyAlignment="1">
      <alignment horizontal="right"/>
    </xf>
    <xf numFmtId="170" fontId="35" fillId="0" borderId="0" xfId="0" applyNumberFormat="1" applyFont="1" applyFill="1" applyAlignment="1">
      <alignment horizontal="right"/>
    </xf>
    <xf numFmtId="3" fontId="35" fillId="0" borderId="0" xfId="0" applyNumberFormat="1" applyFont="1" applyFill="1" applyAlignment="1">
      <alignment horizontal="right"/>
    </xf>
    <xf numFmtId="176" fontId="35" fillId="0" borderId="0" xfId="0" applyNumberFormat="1" applyFont="1" applyAlignment="1"/>
    <xf numFmtId="0" fontId="41" fillId="0" borderId="0" xfId="0" applyNumberFormat="1" applyFont="1" applyFill="1" applyBorder="1"/>
    <xf numFmtId="0" fontId="35" fillId="0" borderId="17" xfId="0" applyNumberFormat="1" applyFont="1" applyBorder="1"/>
    <xf numFmtId="3" fontId="35" fillId="0" borderId="0" xfId="0" applyNumberFormat="1" applyFont="1" applyAlignment="1">
      <alignment horizontal="center"/>
    </xf>
    <xf numFmtId="49" fontId="35" fillId="0" borderId="0" xfId="0" applyNumberFormat="1" applyFont="1" applyAlignment="1"/>
    <xf numFmtId="0" fontId="36" fillId="0" borderId="0" xfId="0" applyNumberFormat="1" applyFont="1" applyFill="1" applyBorder="1" applyAlignment="1"/>
    <xf numFmtId="174" fontId="35" fillId="0" borderId="0" xfId="0" applyNumberFormat="1" applyFont="1"/>
    <xf numFmtId="169" fontId="35" fillId="0" borderId="0" xfId="0" applyNumberFormat="1" applyFont="1"/>
    <xf numFmtId="3" fontId="35" fillId="0" borderId="17" xfId="0" applyNumberFormat="1" applyFont="1" applyBorder="1" applyAlignment="1">
      <alignment horizontal="center"/>
    </xf>
    <xf numFmtId="4" fontId="35" fillId="0" borderId="0" xfId="0" applyNumberFormat="1" applyFont="1" applyAlignment="1"/>
    <xf numFmtId="3" fontId="35" fillId="0" borderId="0" xfId="0" applyNumberFormat="1" applyFont="1" applyBorder="1" applyAlignment="1">
      <alignment horizontal="center"/>
    </xf>
    <xf numFmtId="0" fontId="35" fillId="0" borderId="17" xfId="0" applyNumberFormat="1" applyFont="1" applyBorder="1" applyAlignment="1"/>
    <xf numFmtId="171" fontId="35" fillId="25" borderId="0" xfId="0" applyNumberFormat="1" applyFont="1" applyFill="1" applyAlignment="1"/>
    <xf numFmtId="0" fontId="36" fillId="0" borderId="0" xfId="0" applyNumberFormat="1" applyFont="1"/>
    <xf numFmtId="9" fontId="35" fillId="0" borderId="0" xfId="0" applyNumberFormat="1" applyFont="1" applyAlignment="1"/>
    <xf numFmtId="170" fontId="35" fillId="0" borderId="0" xfId="0" applyNumberFormat="1" applyFont="1" applyAlignment="1"/>
    <xf numFmtId="10" fontId="35" fillId="0" borderId="0" xfId="0" applyNumberFormat="1" applyFont="1" applyAlignment="1"/>
    <xf numFmtId="3" fontId="35" fillId="0" borderId="0" xfId="0" quotePrefix="1" applyNumberFormat="1" applyFont="1" applyAlignment="1"/>
    <xf numFmtId="10" fontId="35" fillId="0" borderId="0" xfId="49" applyNumberFormat="1" applyFont="1" applyAlignment="1"/>
    <xf numFmtId="170" fontId="35" fillId="0" borderId="17" xfId="0" applyNumberFormat="1" applyFont="1" applyBorder="1" applyAlignment="1"/>
    <xf numFmtId="10" fontId="35" fillId="25" borderId="0" xfId="0" applyNumberFormat="1" applyFont="1" applyFill="1" applyAlignment="1"/>
    <xf numFmtId="3" fontId="35" fillId="0" borderId="0" xfId="0" applyNumberFormat="1" applyFont="1" applyFill="1" applyBorder="1" applyAlignment="1">
      <alignment horizontal="center"/>
    </xf>
    <xf numFmtId="0" fontId="35" fillId="0" borderId="0" xfId="0" applyNumberFormat="1" applyFont="1" applyFill="1" applyBorder="1" applyAlignment="1"/>
    <xf numFmtId="0" fontId="37" fillId="0" borderId="0" xfId="0" applyFont="1" applyAlignment="1"/>
    <xf numFmtId="0" fontId="0" fillId="0" borderId="0" xfId="0" applyFill="1" applyAlignment="1" applyProtection="1"/>
    <xf numFmtId="3" fontId="0" fillId="25" borderId="0" xfId="0" applyNumberFormat="1" applyFill="1" applyAlignment="1"/>
    <xf numFmtId="0" fontId="35" fillId="0" borderId="17" xfId="0" applyFont="1" applyBorder="1" applyAlignment="1"/>
    <xf numFmtId="3" fontId="0" fillId="25" borderId="17" xfId="0" applyNumberFormat="1" applyFill="1" applyBorder="1" applyAlignment="1"/>
    <xf numFmtId="171" fontId="35" fillId="0" borderId="0" xfId="0" applyNumberFormat="1" applyFont="1" applyFill="1" applyBorder="1" applyProtection="1"/>
    <xf numFmtId="173" fontId="35" fillId="0" borderId="0" xfId="0" applyNumberFormat="1" applyFont="1"/>
    <xf numFmtId="171" fontId="35" fillId="25" borderId="0" xfId="0" applyNumberFormat="1" applyFont="1" applyFill="1" applyBorder="1" applyProtection="1"/>
    <xf numFmtId="3" fontId="40" fillId="0" borderId="0" xfId="0" applyNumberFormat="1" applyFont="1" applyFill="1" applyBorder="1" applyAlignment="1">
      <alignment horizontal="left"/>
    </xf>
    <xf numFmtId="171" fontId="35" fillId="25" borderId="0" xfId="0" applyNumberFormat="1" applyFont="1" applyFill="1" applyBorder="1" applyAlignment="1" applyProtection="1">
      <protection locked="0"/>
    </xf>
    <xf numFmtId="171" fontId="35" fillId="25" borderId="17" xfId="0" applyNumberFormat="1" applyFont="1" applyFill="1" applyBorder="1" applyAlignment="1" applyProtection="1">
      <protection locked="0"/>
    </xf>
    <xf numFmtId="165" fontId="35" fillId="0" borderId="0" xfId="0" applyNumberFormat="1" applyFont="1" applyAlignment="1"/>
    <xf numFmtId="171" fontId="35" fillId="0" borderId="0" xfId="0" applyNumberFormat="1" applyFont="1" applyFill="1" applyBorder="1" applyAlignment="1" applyProtection="1"/>
    <xf numFmtId="0" fontId="2" fillId="0" borderId="0" xfId="0" applyNumberFormat="1" applyFont="1" applyFill="1"/>
    <xf numFmtId="0" fontId="43" fillId="0" borderId="0" xfId="0" applyFont="1" applyAlignment="1"/>
    <xf numFmtId="0" fontId="6" fillId="0" borderId="0" xfId="0" applyFont="1" applyAlignment="1">
      <alignment horizontal="center"/>
    </xf>
    <xf numFmtId="0" fontId="15" fillId="0" borderId="0" xfId="0" applyFont="1" applyFill="1" applyBorder="1"/>
    <xf numFmtId="0" fontId="8" fillId="0" borderId="0" xfId="0" applyFont="1"/>
    <xf numFmtId="0" fontId="45" fillId="0" borderId="0" xfId="0" applyFont="1" applyAlignment="1">
      <alignment horizontal="center"/>
    </xf>
    <xf numFmtId="0" fontId="0" fillId="0" borderId="30" xfId="0" applyBorder="1" applyAlignment="1">
      <alignment horizontal="center"/>
    </xf>
    <xf numFmtId="0" fontId="0" fillId="0" borderId="30" xfId="0" applyBorder="1"/>
    <xf numFmtId="0" fontId="0" fillId="0" borderId="31" xfId="0" applyBorder="1" applyAlignment="1">
      <alignment horizontal="center"/>
    </xf>
    <xf numFmtId="0" fontId="6" fillId="0" borderId="32" xfId="0" applyFont="1" applyBorder="1" applyAlignment="1">
      <alignment horizontal="center"/>
    </xf>
    <xf numFmtId="43" fontId="1" fillId="0" borderId="33" xfId="28" applyBorder="1"/>
    <xf numFmtId="0" fontId="0" fillId="0" borderId="33" xfId="0" applyBorder="1" applyAlignment="1">
      <alignment horizontal="center"/>
    </xf>
    <xf numFmtId="0" fontId="0" fillId="0" borderId="34" xfId="0" applyBorder="1"/>
    <xf numFmtId="37" fontId="1" fillId="0" borderId="34" xfId="28" applyNumberFormat="1" applyBorder="1"/>
    <xf numFmtId="0" fontId="0" fillId="0" borderId="34" xfId="0" applyBorder="1" applyAlignment="1">
      <alignment horizontal="center"/>
    </xf>
    <xf numFmtId="0" fontId="0" fillId="0" borderId="29" xfId="0" applyBorder="1" applyAlignment="1">
      <alignment horizontal="center"/>
    </xf>
    <xf numFmtId="0" fontId="0" fillId="0" borderId="35" xfId="0" applyBorder="1"/>
    <xf numFmtId="37" fontId="48" fillId="0" borderId="35" xfId="28" applyNumberFormat="1" applyFont="1" applyFill="1" applyBorder="1"/>
    <xf numFmtId="0" fontId="0" fillId="0" borderId="35" xfId="0" applyBorder="1" applyAlignment="1">
      <alignment horizontal="center"/>
    </xf>
    <xf numFmtId="37" fontId="48" fillId="0" borderId="35" xfId="28" applyNumberFormat="1" applyFont="1" applyBorder="1"/>
    <xf numFmtId="37" fontId="0" fillId="0" borderId="0" xfId="0" applyNumberFormat="1"/>
    <xf numFmtId="0" fontId="45" fillId="0" borderId="0" xfId="0" applyFont="1"/>
    <xf numFmtId="0" fontId="0" fillId="0" borderId="36" xfId="0" applyBorder="1" applyAlignment="1">
      <alignment horizontal="center"/>
    </xf>
    <xf numFmtId="0" fontId="0" fillId="0" borderId="37" xfId="0" applyBorder="1"/>
    <xf numFmtId="37" fontId="1" fillId="0" borderId="37" xfId="28" applyNumberFormat="1" applyBorder="1"/>
    <xf numFmtId="0" fontId="0" fillId="0" borderId="37" xfId="0" applyBorder="1" applyAlignment="1">
      <alignment horizontal="center"/>
    </xf>
    <xf numFmtId="0" fontId="0" fillId="0" borderId="37" xfId="0" applyFill="1" applyBorder="1"/>
    <xf numFmtId="37" fontId="48" fillId="0" borderId="37" xfId="28" applyNumberFormat="1" applyFont="1" applyBorder="1"/>
    <xf numFmtId="0" fontId="6" fillId="0" borderId="37" xfId="0" applyFont="1" applyFill="1" applyBorder="1"/>
    <xf numFmtId="37" fontId="6" fillId="0" borderId="37" xfId="28" applyNumberFormat="1" applyFont="1" applyBorder="1"/>
    <xf numFmtId="0" fontId="0" fillId="0" borderId="37" xfId="0" applyFill="1" applyBorder="1" applyAlignment="1">
      <alignment horizontal="center"/>
    </xf>
    <xf numFmtId="0" fontId="6" fillId="0" borderId="33" xfId="0" applyFont="1" applyFill="1" applyBorder="1" applyAlignment="1">
      <alignment wrapText="1"/>
    </xf>
    <xf numFmtId="37" fontId="6" fillId="0" borderId="37" xfId="28" applyNumberFormat="1" applyFont="1" applyFill="1" applyBorder="1"/>
    <xf numFmtId="0" fontId="0" fillId="0" borderId="36" xfId="0" applyFill="1" applyBorder="1" applyAlignment="1">
      <alignment horizontal="center"/>
    </xf>
    <xf numFmtId="0" fontId="6" fillId="0" borderId="32" xfId="0" applyFont="1" applyFill="1" applyBorder="1" applyAlignment="1">
      <alignment horizontal="center"/>
    </xf>
    <xf numFmtId="0" fontId="0" fillId="0" borderId="0" xfId="0" applyFill="1" applyBorder="1" applyAlignment="1">
      <alignment horizontal="center"/>
    </xf>
    <xf numFmtId="0" fontId="6" fillId="0" borderId="34" xfId="0" applyFont="1" applyBorder="1"/>
    <xf numFmtId="0" fontId="0" fillId="0" borderId="38" xfId="0" applyBorder="1" applyAlignment="1">
      <alignment horizontal="center"/>
    </xf>
    <xf numFmtId="37" fontId="6" fillId="0" borderId="35" xfId="28" applyNumberFormat="1" applyFont="1" applyBorder="1"/>
    <xf numFmtId="0" fontId="0" fillId="0" borderId="33" xfId="0" applyFill="1" applyBorder="1"/>
    <xf numFmtId="37" fontId="1" fillId="0" borderId="33" xfId="28" applyNumberFormat="1" applyBorder="1"/>
    <xf numFmtId="0" fontId="0" fillId="0" borderId="37" xfId="0" applyBorder="1" applyAlignment="1">
      <alignment wrapText="1"/>
    </xf>
    <xf numFmtId="37" fontId="1" fillId="0" borderId="37" xfId="28" applyNumberFormat="1" applyFont="1" applyBorder="1"/>
    <xf numFmtId="0" fontId="0" fillId="0" borderId="36" xfId="0" quotePrefix="1" applyBorder="1" applyAlignment="1">
      <alignment horizontal="center"/>
    </xf>
    <xf numFmtId="0" fontId="0" fillId="0" borderId="35" xfId="0" applyFill="1" applyBorder="1"/>
    <xf numFmtId="0" fontId="0" fillId="0" borderId="34" xfId="0" applyFill="1" applyBorder="1"/>
    <xf numFmtId="0" fontId="6" fillId="0" borderId="34" xfId="0" applyFont="1" applyFill="1" applyBorder="1"/>
    <xf numFmtId="37" fontId="6" fillId="0" borderId="35" xfId="28" applyNumberFormat="1" applyFont="1" applyFill="1" applyBorder="1"/>
    <xf numFmtId="0" fontId="6" fillId="0" borderId="33" xfId="0" applyFont="1" applyBorder="1" applyAlignment="1">
      <alignment wrapText="1"/>
    </xf>
    <xf numFmtId="37" fontId="1" fillId="0" borderId="35" xfId="28" applyNumberFormat="1" applyBorder="1"/>
    <xf numFmtId="0" fontId="6" fillId="0" borderId="35" xfId="0" applyFont="1" applyBorder="1"/>
    <xf numFmtId="37" fontId="48" fillId="0" borderId="37" xfId="28" applyNumberFormat="1" applyFont="1" applyFill="1" applyBorder="1"/>
    <xf numFmtId="0" fontId="6" fillId="0" borderId="34" xfId="0" applyFont="1" applyBorder="1" applyAlignment="1">
      <alignment wrapText="1"/>
    </xf>
    <xf numFmtId="0" fontId="0" fillId="0" borderId="34" xfId="0" applyFill="1" applyBorder="1" applyAlignment="1">
      <alignment horizontal="center"/>
    </xf>
    <xf numFmtId="0" fontId="0" fillId="0" borderId="29" xfId="0" applyFill="1" applyBorder="1" applyAlignment="1">
      <alignment horizontal="center"/>
    </xf>
    <xf numFmtId="0" fontId="0" fillId="0" borderId="35" xfId="0" quotePrefix="1" applyBorder="1"/>
    <xf numFmtId="0" fontId="0" fillId="0" borderId="29" xfId="0" applyBorder="1"/>
    <xf numFmtId="0" fontId="6" fillId="0" borderId="37" xfId="0" applyFont="1" applyBorder="1"/>
    <xf numFmtId="0" fontId="0" fillId="0" borderId="17" xfId="0" applyBorder="1" applyAlignment="1">
      <alignment horizontal="center"/>
    </xf>
    <xf numFmtId="0" fontId="6" fillId="0" borderId="39" xfId="0" applyFont="1" applyBorder="1" applyAlignment="1">
      <alignment wrapText="1"/>
    </xf>
    <xf numFmtId="37" fontId="6" fillId="0" borderId="39" xfId="28" applyNumberFormat="1" applyFont="1" applyBorder="1"/>
    <xf numFmtId="0" fontId="0" fillId="0" borderId="39" xfId="0" applyBorder="1" applyAlignment="1">
      <alignment horizontal="center"/>
    </xf>
    <xf numFmtId="0" fontId="6" fillId="0" borderId="39" xfId="0" applyFont="1" applyBorder="1"/>
    <xf numFmtId="37" fontId="1" fillId="0" borderId="0" xfId="28" applyNumberFormat="1" applyBorder="1"/>
    <xf numFmtId="43" fontId="1" fillId="0" borderId="0" xfId="28" applyBorder="1"/>
    <xf numFmtId="37" fontId="0" fillId="0" borderId="0" xfId="0" applyNumberFormat="1" applyBorder="1"/>
    <xf numFmtId="14" fontId="35" fillId="0" borderId="0" xfId="0" applyNumberFormat="1" applyFont="1" applyAlignment="1">
      <alignment horizontal="center"/>
    </xf>
    <xf numFmtId="0" fontId="35" fillId="0" borderId="0" xfId="0" applyFont="1" applyAlignment="1">
      <alignment horizontal="left"/>
    </xf>
    <xf numFmtId="14" fontId="35" fillId="0" borderId="0" xfId="0" applyNumberFormat="1" applyFont="1" applyAlignment="1">
      <alignment horizontal="left"/>
    </xf>
    <xf numFmtId="0" fontId="0" fillId="0" borderId="0" xfId="0" applyAlignment="1">
      <alignment horizontal="left"/>
    </xf>
    <xf numFmtId="0" fontId="0" fillId="0" borderId="0" xfId="0" applyFill="1" applyAlignment="1">
      <alignment horizontal="left"/>
    </xf>
    <xf numFmtId="0" fontId="47" fillId="0" borderId="0" xfId="0" applyFont="1" applyBorder="1" applyAlignment="1">
      <alignment horizontal="left"/>
    </xf>
    <xf numFmtId="0" fontId="0" fillId="0" borderId="40" xfId="0" applyBorder="1"/>
    <xf numFmtId="0" fontId="0" fillId="0" borderId="40" xfId="0" applyFill="1" applyBorder="1" applyAlignment="1">
      <alignment horizontal="center"/>
    </xf>
    <xf numFmtId="0" fontId="0" fillId="0" borderId="31" xfId="0" applyBorder="1"/>
    <xf numFmtId="0" fontId="0" fillId="0" borderId="31" xfId="0" applyFill="1" applyBorder="1" applyAlignment="1">
      <alignment horizontal="center"/>
    </xf>
    <xf numFmtId="37" fontId="49" fillId="0" borderId="31" xfId="0" applyNumberFormat="1" applyFont="1" applyFill="1" applyBorder="1"/>
    <xf numFmtId="37" fontId="0" fillId="0" borderId="31" xfId="0" applyNumberFormat="1" applyFill="1" applyBorder="1"/>
    <xf numFmtId="0" fontId="0" fillId="0" borderId="41" xfId="0" applyBorder="1" applyAlignment="1">
      <alignment horizontal="center"/>
    </xf>
    <xf numFmtId="0" fontId="0" fillId="0" borderId="41" xfId="0" applyBorder="1"/>
    <xf numFmtId="37" fontId="49" fillId="0" borderId="41" xfId="0" applyNumberFormat="1" applyFont="1" applyFill="1" applyBorder="1"/>
    <xf numFmtId="0" fontId="6" fillId="0" borderId="41" xfId="0" applyFont="1" applyBorder="1"/>
    <xf numFmtId="37" fontId="0" fillId="0" borderId="41" xfId="0" applyNumberFormat="1" applyFill="1" applyBorder="1"/>
    <xf numFmtId="37" fontId="48" fillId="0" borderId="31" xfId="0" applyNumberFormat="1" applyFont="1" applyFill="1" applyBorder="1"/>
    <xf numFmtId="0" fontId="0" fillId="0" borderId="31" xfId="0" applyBorder="1" applyAlignment="1">
      <alignment wrapText="1"/>
    </xf>
    <xf numFmtId="0" fontId="6" fillId="0" borderId="31" xfId="0" applyFont="1" applyBorder="1"/>
    <xf numFmtId="37" fontId="0" fillId="0" borderId="37" xfId="0" applyNumberFormat="1" applyFill="1" applyBorder="1"/>
    <xf numFmtId="37" fontId="1" fillId="0" borderId="31" xfId="0" applyNumberFormat="1" applyFont="1" applyFill="1" applyBorder="1"/>
    <xf numFmtId="37" fontId="0" fillId="0" borderId="0" xfId="0" applyNumberFormat="1" applyFill="1"/>
    <xf numFmtId="0" fontId="0" fillId="0" borderId="40" xfId="0" applyBorder="1" applyAlignment="1">
      <alignment horizontal="center"/>
    </xf>
    <xf numFmtId="37" fontId="34" fillId="0" borderId="37" xfId="0" applyNumberFormat="1" applyFont="1" applyBorder="1"/>
    <xf numFmtId="37" fontId="48" fillId="0" borderId="37" xfId="0" applyNumberFormat="1" applyFont="1" applyBorder="1"/>
    <xf numFmtId="37" fontId="6" fillId="0" borderId="37" xfId="0" applyNumberFormat="1" applyFont="1" applyBorder="1"/>
    <xf numFmtId="37" fontId="0" fillId="0" borderId="37" xfId="0" applyNumberFormat="1" applyBorder="1"/>
    <xf numFmtId="37" fontId="50" fillId="0" borderId="37" xfId="0" applyNumberFormat="1" applyFont="1" applyBorder="1"/>
    <xf numFmtId="168" fontId="0" fillId="0" borderId="0" xfId="28" applyNumberFormat="1" applyFont="1"/>
    <xf numFmtId="37" fontId="44" fillId="0" borderId="37" xfId="0" applyNumberFormat="1" applyFont="1" applyBorder="1"/>
    <xf numFmtId="37" fontId="6" fillId="0" borderId="37" xfId="0" applyNumberFormat="1" applyFont="1" applyFill="1" applyBorder="1"/>
    <xf numFmtId="168" fontId="0" fillId="0" borderId="0" xfId="0" applyNumberFormat="1"/>
    <xf numFmtId="0" fontId="6" fillId="0" borderId="37" xfId="0" applyFont="1" applyBorder="1" applyAlignment="1">
      <alignment wrapText="1"/>
    </xf>
    <xf numFmtId="14" fontId="35" fillId="0" borderId="0" xfId="0" applyNumberFormat="1" applyFont="1" applyAlignment="1"/>
    <xf numFmtId="0" fontId="0" fillId="0" borderId="33" xfId="0" applyBorder="1"/>
    <xf numFmtId="164" fontId="48" fillId="0" borderId="33" xfId="30" applyNumberFormat="1" applyFont="1" applyBorder="1"/>
    <xf numFmtId="164" fontId="0" fillId="0" borderId="34" xfId="0" applyNumberFormat="1" applyBorder="1"/>
    <xf numFmtId="164" fontId="0" fillId="0" borderId="35" xfId="0" applyNumberFormat="1" applyBorder="1"/>
    <xf numFmtId="0" fontId="0" fillId="0" borderId="42" xfId="0" applyBorder="1"/>
    <xf numFmtId="0" fontId="0" fillId="0" borderId="43" xfId="0" applyBorder="1"/>
    <xf numFmtId="0" fontId="0" fillId="0" borderId="44" xfId="0" applyBorder="1"/>
    <xf numFmtId="0" fontId="0" fillId="0" borderId="35" xfId="0" applyBorder="1" applyAlignment="1">
      <alignment wrapText="1" readingOrder="1"/>
    </xf>
    <xf numFmtId="37" fontId="0" fillId="0" borderId="45" xfId="0" applyNumberFormat="1" applyBorder="1"/>
    <xf numFmtId="37" fontId="0" fillId="0" borderId="30" xfId="0" applyNumberFormat="1" applyBorder="1"/>
    <xf numFmtId="37" fontId="48" fillId="0" borderId="46" xfId="0" applyNumberFormat="1" applyFont="1" applyBorder="1"/>
    <xf numFmtId="37" fontId="48" fillId="0" borderId="31" xfId="0" applyNumberFormat="1" applyFont="1" applyBorder="1"/>
    <xf numFmtId="37" fontId="0" fillId="0" borderId="31" xfId="0" applyNumberFormat="1" applyBorder="1"/>
    <xf numFmtId="0" fontId="0" fillId="0" borderId="29" xfId="0" applyBorder="1" applyAlignment="1">
      <alignment wrapText="1"/>
    </xf>
    <xf numFmtId="37" fontId="0" fillId="0" borderId="47" xfId="0" applyNumberFormat="1" applyBorder="1"/>
    <xf numFmtId="0" fontId="0" fillId="0" borderId="30" xfId="0" applyFill="1" applyBorder="1"/>
    <xf numFmtId="0" fontId="0" fillId="0" borderId="48" xfId="0" applyFill="1" applyBorder="1"/>
    <xf numFmtId="0" fontId="0" fillId="0" borderId="29" xfId="0" applyFill="1" applyBorder="1"/>
    <xf numFmtId="0" fontId="0" fillId="0" borderId="41" xfId="0" applyFill="1" applyBorder="1"/>
    <xf numFmtId="0" fontId="0" fillId="0" borderId="36" xfId="0" applyFill="1" applyBorder="1"/>
    <xf numFmtId="37" fontId="48" fillId="0" borderId="49" xfId="0" applyNumberFormat="1" applyFont="1" applyBorder="1"/>
    <xf numFmtId="37" fontId="48" fillId="0" borderId="41" xfId="0" applyNumberFormat="1" applyFont="1" applyBorder="1"/>
    <xf numFmtId="37" fontId="0" fillId="0" borderId="41" xfId="0" applyNumberFormat="1" applyBorder="1"/>
    <xf numFmtId="37" fontId="48" fillId="0" borderId="50" xfId="0" applyNumberFormat="1" applyFont="1" applyBorder="1"/>
    <xf numFmtId="37" fontId="6" fillId="0" borderId="31" xfId="0" applyNumberFormat="1" applyFont="1" applyBorder="1" applyAlignment="1">
      <alignment horizontal="right"/>
    </xf>
    <xf numFmtId="37" fontId="6" fillId="0" borderId="41" xfId="0" applyNumberFormat="1" applyFont="1" applyBorder="1"/>
    <xf numFmtId="37" fontId="0" fillId="0" borderId="41" xfId="0" applyNumberFormat="1" applyBorder="1" applyAlignment="1">
      <alignment horizontal="right"/>
    </xf>
    <xf numFmtId="37" fontId="6" fillId="0" borderId="31" xfId="0" applyNumberFormat="1" applyFont="1" applyBorder="1"/>
    <xf numFmtId="37" fontId="0" fillId="0" borderId="29" xfId="0" applyNumberFormat="1" applyBorder="1"/>
    <xf numFmtId="0" fontId="48" fillId="0" borderId="37" xfId="0" applyFont="1" applyBorder="1"/>
    <xf numFmtId="0" fontId="48" fillId="0" borderId="37" xfId="0" applyFont="1" applyBorder="1" applyAlignment="1">
      <alignment horizontal="center"/>
    </xf>
    <xf numFmtId="37" fontId="48" fillId="26" borderId="37" xfId="0" applyNumberFormat="1" applyFont="1" applyFill="1" applyBorder="1"/>
    <xf numFmtId="37" fontId="48" fillId="0" borderId="37" xfId="0" applyNumberFormat="1" applyFont="1" applyFill="1" applyBorder="1"/>
    <xf numFmtId="1" fontId="0" fillId="0" borderId="0" xfId="0" applyNumberFormat="1"/>
    <xf numFmtId="0" fontId="48" fillId="0" borderId="37" xfId="0" applyFont="1" applyFill="1" applyBorder="1" applyAlignment="1">
      <alignment horizontal="center"/>
    </xf>
    <xf numFmtId="39" fontId="0" fillId="0" borderId="0" xfId="0" applyNumberFormat="1" applyBorder="1"/>
    <xf numFmtId="0" fontId="48" fillId="0" borderId="34" xfId="0" applyFont="1" applyFill="1" applyBorder="1"/>
    <xf numFmtId="0" fontId="48" fillId="0" borderId="34" xfId="0" applyFont="1" applyFill="1" applyBorder="1" applyAlignment="1">
      <alignment horizontal="center"/>
    </xf>
    <xf numFmtId="41" fontId="0" fillId="0" borderId="0" xfId="0" applyNumberFormat="1"/>
    <xf numFmtId="41" fontId="0" fillId="0" borderId="0" xfId="28" applyNumberFormat="1" applyFont="1"/>
    <xf numFmtId="0" fontId="0" fillId="0" borderId="51" xfId="0" applyBorder="1"/>
    <xf numFmtId="164" fontId="0" fillId="0" borderId="51" xfId="30" applyNumberFormat="1" applyFont="1" applyBorder="1"/>
    <xf numFmtId="0" fontId="12" fillId="0" borderId="7" xfId="45" applyFont="1" applyFill="1" applyBorder="1" applyAlignment="1">
      <alignment horizontal="center" wrapText="1"/>
    </xf>
    <xf numFmtId="167" fontId="12" fillId="0" borderId="28" xfId="45" applyNumberFormat="1" applyFont="1" applyFill="1" applyBorder="1" applyAlignment="1">
      <alignment horizontal="right" wrapText="1"/>
    </xf>
    <xf numFmtId="0" fontId="51" fillId="0" borderId="0" xfId="0" applyFont="1"/>
    <xf numFmtId="0" fontId="52" fillId="0" borderId="0" xfId="0" applyFont="1"/>
    <xf numFmtId="164" fontId="0" fillId="0" borderId="0" xfId="0" applyNumberFormat="1"/>
    <xf numFmtId="0" fontId="2" fillId="25" borderId="0" xfId="0" applyNumberFormat="1" applyFont="1" applyFill="1"/>
    <xf numFmtId="43" fontId="1" fillId="0" borderId="0" xfId="28" applyFont="1" applyBorder="1"/>
    <xf numFmtId="0" fontId="53" fillId="0" borderId="7" xfId="45" applyFont="1" applyFill="1" applyBorder="1" applyAlignment="1">
      <alignment horizontal="center" wrapText="1"/>
    </xf>
    <xf numFmtId="167" fontId="53" fillId="0" borderId="7" xfId="45" applyNumberFormat="1" applyFont="1" applyFill="1" applyBorder="1" applyAlignment="1">
      <alignment horizontal="right" wrapText="1"/>
    </xf>
    <xf numFmtId="167" fontId="53" fillId="0" borderId="7" xfId="44" applyNumberFormat="1" applyFont="1" applyFill="1" applyBorder="1" applyAlignment="1">
      <alignment horizontal="right" wrapText="1"/>
    </xf>
    <xf numFmtId="167" fontId="53" fillId="0" borderId="28" xfId="45" applyNumberFormat="1" applyFont="1" applyFill="1" applyBorder="1" applyAlignment="1">
      <alignment horizontal="right" wrapText="1"/>
    </xf>
    <xf numFmtId="0" fontId="11" fillId="0" borderId="7" xfId="44" applyFont="1" applyFill="1" applyBorder="1" applyAlignment="1">
      <alignment horizontal="left" wrapText="1"/>
    </xf>
    <xf numFmtId="168" fontId="11" fillId="0" borderId="7" xfId="28" applyNumberFormat="1" applyFont="1" applyFill="1" applyBorder="1" applyAlignment="1">
      <alignment horizontal="right" wrapText="1"/>
    </xf>
    <xf numFmtId="168" fontId="54" fillId="0" borderId="7" xfId="28" applyNumberFormat="1" applyFont="1" applyFill="1" applyBorder="1" applyAlignment="1">
      <alignment horizontal="right" wrapText="1"/>
    </xf>
    <xf numFmtId="175" fontId="35" fillId="0" borderId="0" xfId="0" applyNumberFormat="1" applyFont="1" applyFill="1" applyAlignment="1">
      <alignment horizontal="center"/>
    </xf>
    <xf numFmtId="3" fontId="35" fillId="0" borderId="0" xfId="0" applyNumberFormat="1" applyFont="1" applyFill="1" applyAlignment="1"/>
    <xf numFmtId="169" fontId="35" fillId="0" borderId="0" xfId="0" applyNumberFormat="1" applyFont="1" applyFill="1" applyAlignment="1">
      <alignment horizontal="center"/>
    </xf>
    <xf numFmtId="43" fontId="11" fillId="0" borderId="0" xfId="28" applyFont="1" applyFill="1" applyBorder="1" applyAlignment="1">
      <alignment horizontal="right" wrapText="1"/>
    </xf>
    <xf numFmtId="0" fontId="0" fillId="0" borderId="0" xfId="0" applyNumberFormat="1" applyFill="1" applyAlignment="1">
      <alignment horizontal="center"/>
    </xf>
    <xf numFmtId="0" fontId="0" fillId="0" borderId="0" xfId="0" applyFill="1" applyAlignment="1"/>
    <xf numFmtId="0" fontId="35" fillId="0" borderId="0" xfId="0" applyNumberFormat="1" applyFont="1" applyFill="1" applyAlignment="1"/>
    <xf numFmtId="0" fontId="35" fillId="0" borderId="0" xfId="0" quotePrefix="1" applyNumberFormat="1" applyFont="1"/>
    <xf numFmtId="0" fontId="42" fillId="0" borderId="0" xfId="0" applyFont="1" applyAlignment="1"/>
    <xf numFmtId="0" fontId="42" fillId="0" borderId="0" xfId="0" applyNumberFormat="1" applyFont="1" applyAlignment="1"/>
    <xf numFmtId="0" fontId="35" fillId="0" borderId="0" xfId="0" applyFont="1" applyFill="1" applyAlignment="1"/>
    <xf numFmtId="3" fontId="2" fillId="0" borderId="0" xfId="0" applyNumberFormat="1" applyFont="1" applyFill="1" applyAlignment="1"/>
    <xf numFmtId="175" fontId="35" fillId="0" borderId="0" xfId="0" applyNumberFormat="1" applyFont="1" applyFill="1" applyAlignment="1">
      <alignment horizontal="left"/>
    </xf>
    <xf numFmtId="3" fontId="35" fillId="0" borderId="0" xfId="0" applyNumberFormat="1" applyFont="1" applyFill="1" applyBorder="1" applyAlignment="1"/>
    <xf numFmtId="0" fontId="35" fillId="0" borderId="0" xfId="0" applyNumberFormat="1" applyFont="1" applyFill="1"/>
    <xf numFmtId="0" fontId="35" fillId="0" borderId="0" xfId="0" applyFont="1" applyFill="1" applyBorder="1" applyAlignment="1"/>
    <xf numFmtId="3" fontId="35" fillId="0" borderId="24" xfId="0" applyNumberFormat="1" applyFont="1" applyFill="1" applyBorder="1" applyAlignment="1"/>
    <xf numFmtId="0" fontId="42" fillId="0" borderId="0" xfId="0" applyNumberFormat="1" applyFont="1"/>
    <xf numFmtId="0" fontId="55" fillId="0" borderId="0" xfId="0" applyFont="1" applyAlignment="1"/>
    <xf numFmtId="0" fontId="39" fillId="0" borderId="0" xfId="0" applyFont="1" applyFill="1" applyAlignment="1"/>
    <xf numFmtId="174" fontId="35" fillId="0" borderId="0" xfId="0" applyNumberFormat="1" applyFont="1" applyFill="1" applyAlignment="1"/>
    <xf numFmtId="3" fontId="2" fillId="0" borderId="0" xfId="0" applyNumberFormat="1" applyFont="1" applyFill="1" applyBorder="1" applyAlignment="1">
      <alignment horizontal="left"/>
    </xf>
    <xf numFmtId="0" fontId="42" fillId="0" borderId="0" xfId="0" applyNumberFormat="1" applyFont="1" applyAlignment="1" applyProtection="1">
      <protection locked="0"/>
    </xf>
    <xf numFmtId="0" fontId="35" fillId="0" borderId="0" xfId="0" applyNumberFormat="1" applyFont="1" applyBorder="1" applyAlignment="1"/>
    <xf numFmtId="0" fontId="35" fillId="0" borderId="0" xfId="0" applyNumberFormat="1" applyFont="1" applyBorder="1"/>
    <xf numFmtId="3" fontId="56" fillId="0" borderId="0" xfId="0" applyNumberFormat="1" applyFont="1" applyAlignment="1">
      <alignment horizontal="left"/>
    </xf>
    <xf numFmtId="0" fontId="57" fillId="0" borderId="0" xfId="0" applyFont="1" applyAlignment="1"/>
    <xf numFmtId="0" fontId="57" fillId="0" borderId="0" xfId="0" applyNumberFormat="1" applyFont="1" applyAlignment="1" applyProtection="1">
      <protection locked="0"/>
    </xf>
    <xf numFmtId="0" fontId="57" fillId="0" borderId="0" xfId="0" applyNumberFormat="1" applyFont="1"/>
    <xf numFmtId="0" fontId="57" fillId="0" borderId="0" xfId="0" applyNumberFormat="1" applyFont="1" applyAlignment="1"/>
    <xf numFmtId="37" fontId="45" fillId="0" borderId="0" xfId="0" applyNumberFormat="1" applyFont="1"/>
    <xf numFmtId="0" fontId="0" fillId="0" borderId="0" xfId="0" applyBorder="1" applyAlignment="1">
      <alignment horizontal="left" indent="1"/>
    </xf>
    <xf numFmtId="0" fontId="9" fillId="0" borderId="12" xfId="0" applyFont="1" applyBorder="1" applyAlignment="1">
      <alignment horizontal="left" indent="1"/>
    </xf>
    <xf numFmtId="0" fontId="16" fillId="0" borderId="0" xfId="0" applyFont="1" applyBorder="1" applyAlignment="1">
      <alignment horizontal="left" indent="2"/>
    </xf>
    <xf numFmtId="0" fontId="15" fillId="0" borderId="0" xfId="0" applyFont="1" applyBorder="1" applyAlignment="1">
      <alignment horizontal="left" indent="1"/>
    </xf>
    <xf numFmtId="0" fontId="6" fillId="0" borderId="0" xfId="0" applyFont="1" applyBorder="1" applyAlignment="1">
      <alignment horizontal="left" indent="1"/>
    </xf>
    <xf numFmtId="0" fontId="0" fillId="0" borderId="17" xfId="0" applyBorder="1" applyAlignment="1">
      <alignment horizontal="left" indent="1"/>
    </xf>
    <xf numFmtId="0" fontId="54" fillId="24" borderId="10" xfId="44" applyFont="1" applyFill="1" applyBorder="1" applyAlignment="1">
      <alignment horizontal="left"/>
    </xf>
    <xf numFmtId="0" fontId="54" fillId="24" borderId="10" xfId="44" applyFont="1" applyFill="1" applyBorder="1" applyAlignment="1">
      <alignment horizontal="center"/>
    </xf>
    <xf numFmtId="0" fontId="54" fillId="0" borderId="7" xfId="44" applyFont="1" applyFill="1" applyBorder="1" applyAlignment="1">
      <alignment horizontal="left" wrapText="1"/>
    </xf>
    <xf numFmtId="0" fontId="54" fillId="0" borderId="0" xfId="44" applyFont="1" applyFill="1" applyBorder="1" applyAlignment="1">
      <alignment horizontal="left" wrapText="1"/>
    </xf>
    <xf numFmtId="43" fontId="54" fillId="0" borderId="0" xfId="28" applyFont="1" applyFill="1" applyBorder="1" applyAlignment="1">
      <alignment horizontal="right" wrapText="1"/>
    </xf>
    <xf numFmtId="167" fontId="12" fillId="0" borderId="7" xfId="44" applyNumberFormat="1" applyFont="1" applyFill="1" applyBorder="1" applyAlignment="1">
      <alignment horizontal="right" wrapText="1"/>
    </xf>
    <xf numFmtId="0" fontId="63" fillId="0" borderId="7" xfId="45" applyFont="1" applyFill="1" applyBorder="1" applyAlignment="1">
      <alignment horizontal="center" wrapText="1"/>
    </xf>
    <xf numFmtId="167" fontId="63" fillId="0" borderId="7" xfId="45" applyNumberFormat="1" applyFont="1" applyFill="1" applyBorder="1" applyAlignment="1">
      <alignment horizontal="right" wrapText="1"/>
    </xf>
    <xf numFmtId="167" fontId="63" fillId="0" borderId="28" xfId="45" applyNumberFormat="1" applyFont="1" applyFill="1" applyBorder="1" applyAlignment="1">
      <alignment horizontal="right" wrapText="1"/>
    </xf>
    <xf numFmtId="0" fontId="15" fillId="0" borderId="0" xfId="0" applyFont="1" applyAlignment="1">
      <alignment horizontal="left"/>
    </xf>
    <xf numFmtId="14" fontId="3" fillId="0" borderId="0" xfId="31" applyNumberFormat="1" applyFont="1" applyAlignment="1">
      <alignment horizontal="center"/>
    </xf>
    <xf numFmtId="0" fontId="3" fillId="0" borderId="0" xfId="0" applyFont="1" applyAlignment="1">
      <alignment horizontal="center"/>
    </xf>
    <xf numFmtId="44" fontId="0" fillId="0" borderId="0" xfId="31" applyFont="1"/>
    <xf numFmtId="44" fontId="6" fillId="0" borderId="0" xfId="31" applyFont="1"/>
    <xf numFmtId="37" fontId="15" fillId="0" borderId="0" xfId="0" applyNumberFormat="1" applyFont="1"/>
    <xf numFmtId="0" fontId="15" fillId="0" borderId="0" xfId="0" applyFont="1"/>
    <xf numFmtId="165" fontId="2" fillId="0" borderId="0" xfId="43" applyAlignment="1"/>
    <xf numFmtId="0" fontId="42" fillId="0" borderId="0" xfId="43" applyNumberFormat="1" applyFont="1" applyAlignment="1" applyProtection="1">
      <alignment horizontal="center"/>
      <protection locked="0"/>
    </xf>
    <xf numFmtId="165" fontId="42" fillId="0" borderId="0" xfId="43" applyFont="1" applyAlignment="1"/>
    <xf numFmtId="0" fontId="42" fillId="0" borderId="0" xfId="43" applyNumberFormat="1" applyFont="1" applyAlignment="1"/>
    <xf numFmtId="0" fontId="42" fillId="25" borderId="17" xfId="43" applyNumberFormat="1" applyFont="1" applyFill="1" applyBorder="1" applyAlignment="1"/>
    <xf numFmtId="0" fontId="42" fillId="0" borderId="0" xfId="43" applyNumberFormat="1" applyFont="1" applyProtection="1">
      <protection locked="0"/>
    </xf>
    <xf numFmtId="0" fontId="42" fillId="0" borderId="17" xfId="43" applyNumberFormat="1" applyFont="1" applyBorder="1" applyProtection="1">
      <protection locked="0"/>
    </xf>
    <xf numFmtId="0" fontId="42" fillId="0" borderId="0" xfId="43" applyNumberFormat="1" applyFont="1" applyBorder="1" applyProtection="1">
      <protection locked="0"/>
    </xf>
    <xf numFmtId="0" fontId="15" fillId="0" borderId="15" xfId="0" applyFont="1" applyBorder="1" applyAlignment="1">
      <alignment horizontal="left" indent="1"/>
    </xf>
    <xf numFmtId="0" fontId="65" fillId="0" borderId="7" xfId="45" applyFont="1" applyFill="1" applyBorder="1" applyAlignment="1">
      <alignment horizontal="center" wrapText="1"/>
    </xf>
    <xf numFmtId="167" fontId="65" fillId="0" borderId="7" xfId="45" applyNumberFormat="1" applyFont="1" applyFill="1" applyBorder="1" applyAlignment="1">
      <alignment horizontal="right" wrapText="1"/>
    </xf>
    <xf numFmtId="167" fontId="65" fillId="0" borderId="28" xfId="45" applyNumberFormat="1" applyFont="1" applyFill="1" applyBorder="1" applyAlignment="1">
      <alignment horizontal="right" wrapText="1"/>
    </xf>
    <xf numFmtId="164" fontId="15" fillId="0" borderId="0" xfId="30" applyNumberFormat="1" applyFont="1"/>
    <xf numFmtId="164" fontId="15" fillId="0" borderId="0" xfId="0" applyNumberFormat="1" applyFont="1"/>
    <xf numFmtId="0" fontId="0" fillId="0" borderId="0" xfId="0" applyFill="1" applyAlignment="1">
      <alignment horizontal="left" indent="1"/>
    </xf>
    <xf numFmtId="164" fontId="0" fillId="0" borderId="0" xfId="30" applyNumberFormat="1" applyFont="1" applyFill="1"/>
    <xf numFmtId="43" fontId="54" fillId="0" borderId="7" xfId="29" applyFont="1" applyFill="1" applyBorder="1" applyAlignment="1">
      <alignment horizontal="right" wrapText="1"/>
    </xf>
    <xf numFmtId="0" fontId="54" fillId="24" borderId="10" xfId="46" applyFont="1" applyFill="1" applyBorder="1" applyAlignment="1">
      <alignment horizontal="center"/>
    </xf>
    <xf numFmtId="0" fontId="54" fillId="0" borderId="7" xfId="46" applyFont="1" applyFill="1" applyBorder="1" applyAlignment="1">
      <alignment horizontal="left" wrapText="1"/>
    </xf>
    <xf numFmtId="43" fontId="11" fillId="0" borderId="7" xfId="29" applyFont="1" applyFill="1" applyBorder="1" applyAlignment="1">
      <alignment horizontal="right" wrapText="1"/>
    </xf>
    <xf numFmtId="10" fontId="54" fillId="0" borderId="7" xfId="46" applyNumberFormat="1" applyFont="1" applyFill="1" applyBorder="1" applyAlignment="1">
      <alignment horizontal="right" wrapText="1"/>
    </xf>
    <xf numFmtId="44" fontId="11" fillId="0" borderId="7" xfId="32" applyFont="1" applyFill="1" applyBorder="1" applyAlignment="1">
      <alignment horizontal="right" wrapText="1"/>
    </xf>
    <xf numFmtId="0" fontId="62" fillId="0" borderId="0" xfId="0" applyFont="1"/>
    <xf numFmtId="44" fontId="0" fillId="0" borderId="0" xfId="0" applyNumberFormat="1"/>
    <xf numFmtId="0" fontId="54" fillId="0" borderId="0" xfId="46" applyFont="1" applyFill="1" applyBorder="1" applyAlignment="1">
      <alignment horizontal="left" wrapText="1"/>
    </xf>
    <xf numFmtId="0" fontId="54" fillId="0" borderId="0" xfId="46" applyFont="1" applyFill="1" applyBorder="1" applyAlignment="1">
      <alignment horizontal="right" wrapText="1"/>
    </xf>
    <xf numFmtId="0" fontId="54" fillId="0" borderId="21" xfId="46" applyFont="1" applyFill="1" applyBorder="1" applyAlignment="1">
      <alignment horizontal="left" wrapText="1"/>
    </xf>
    <xf numFmtId="0" fontId="15" fillId="0" borderId="17" xfId="0" applyNumberFormat="1" applyFont="1" applyBorder="1" applyAlignment="1">
      <alignment horizontal="center"/>
    </xf>
    <xf numFmtId="0" fontId="35" fillId="0" borderId="0" xfId="0" applyFont="1"/>
    <xf numFmtId="42" fontId="35" fillId="0" borderId="0" xfId="0" applyNumberFormat="1" applyFont="1" applyBorder="1" applyAlignment="1">
      <alignment horizontal="right"/>
    </xf>
    <xf numFmtId="168" fontId="0" fillId="0" borderId="37" xfId="28" applyNumberFormat="1" applyFont="1" applyFill="1" applyBorder="1"/>
    <xf numFmtId="0" fontId="0" fillId="0" borderId="0" xfId="0" applyAlignment="1"/>
    <xf numFmtId="0" fontId="0" fillId="0" borderId="0" xfId="0"/>
    <xf numFmtId="0" fontId="0" fillId="0" borderId="0" xfId="0" applyNumberFormat="1"/>
    <xf numFmtId="0" fontId="6" fillId="0" borderId="0" xfId="0" applyFont="1" applyAlignment="1">
      <alignment horizontal="center"/>
    </xf>
    <xf numFmtId="0" fontId="0" fillId="0" borderId="0" xfId="0" applyAlignment="1"/>
    <xf numFmtId="0" fontId="2" fillId="0" borderId="0" xfId="0" applyNumberFormat="1" applyFont="1"/>
    <xf numFmtId="0" fontId="2" fillId="0" borderId="0" xfId="0" applyFont="1" applyAlignment="1"/>
    <xf numFmtId="0" fontId="35" fillId="0" borderId="0" xfId="0" applyNumberFormat="1" applyFont="1" applyAlignment="1"/>
    <xf numFmtId="0" fontId="35" fillId="0" borderId="0" xfId="0" applyNumberFormat="1" applyFont="1"/>
    <xf numFmtId="0" fontId="35" fillId="0" borderId="0" xfId="0" applyNumberFormat="1" applyFont="1" applyAlignment="1">
      <alignment horizontal="center"/>
    </xf>
    <xf numFmtId="3" fontId="35" fillId="0" borderId="0" xfId="0" applyNumberFormat="1" applyFont="1" applyAlignment="1"/>
    <xf numFmtId="0" fontId="0" fillId="0" borderId="0" xfId="0" applyNumberFormat="1" applyAlignment="1">
      <alignment horizontal="center"/>
    </xf>
    <xf numFmtId="169" fontId="35" fillId="0" borderId="0" xfId="0" applyNumberFormat="1" applyFont="1" applyAlignment="1"/>
    <xf numFmtId="0" fontId="0" fillId="0" borderId="0" xfId="0" applyFill="1" applyBorder="1" applyAlignment="1"/>
    <xf numFmtId="0" fontId="2" fillId="0" borderId="0" xfId="0" applyFont="1" applyFill="1" applyBorder="1" applyAlignment="1"/>
    <xf numFmtId="0" fontId="2" fillId="0" borderId="0" xfId="0" applyNumberFormat="1" applyFont="1" applyFill="1" applyBorder="1"/>
    <xf numFmtId="3" fontId="35" fillId="0" borderId="0" xfId="0" applyNumberFormat="1" applyFont="1" applyAlignment="1">
      <alignment horizontal="fill"/>
    </xf>
    <xf numFmtId="0" fontId="35" fillId="0" borderId="0" xfId="0" applyFont="1" applyAlignment="1"/>
    <xf numFmtId="0" fontId="2" fillId="0" borderId="0" xfId="0" applyNumberFormat="1" applyFont="1" applyFill="1" applyBorder="1" applyAlignment="1"/>
    <xf numFmtId="3" fontId="2" fillId="0" borderId="0" xfId="0" applyNumberFormat="1" applyFont="1" applyAlignment="1"/>
    <xf numFmtId="3" fontId="2" fillId="0" borderId="0" xfId="0" applyNumberFormat="1" applyFont="1" applyFill="1" applyBorder="1" applyAlignment="1"/>
    <xf numFmtId="0" fontId="2" fillId="0" borderId="0" xfId="0" applyNumberFormat="1" applyFont="1" applyFill="1" applyBorder="1" applyAlignment="1">
      <alignment horizontal="center"/>
    </xf>
    <xf numFmtId="169" fontId="35" fillId="0" borderId="0" xfId="0" applyNumberFormat="1" applyFont="1" applyAlignment="1">
      <alignment horizontal="center"/>
    </xf>
    <xf numFmtId="0" fontId="35" fillId="0" borderId="0" xfId="0" applyNumberFormat="1" applyFont="1" applyFill="1" applyBorder="1" applyAlignment="1"/>
    <xf numFmtId="37" fontId="49" fillId="0" borderId="31" xfId="0" applyNumberFormat="1" applyFont="1" applyFill="1" applyBorder="1"/>
    <xf numFmtId="37" fontId="48" fillId="0" borderId="31" xfId="0" applyNumberFormat="1" applyFont="1" applyFill="1" applyBorder="1"/>
    <xf numFmtId="0" fontId="0" fillId="0" borderId="0" xfId="0" applyFill="1"/>
    <xf numFmtId="0" fontId="42" fillId="0" borderId="0" xfId="0" applyFont="1" applyAlignment="1"/>
    <xf numFmtId="3" fontId="42" fillId="0" borderId="0" xfId="0" applyNumberFormat="1" applyFont="1" applyBorder="1" applyAlignment="1"/>
    <xf numFmtId="168" fontId="0" fillId="0" borderId="0" xfId="0" applyNumberFormat="1"/>
    <xf numFmtId="0" fontId="15" fillId="0" borderId="0" xfId="0" applyFont="1"/>
    <xf numFmtId="44" fontId="0" fillId="0" borderId="0" xfId="30" applyFont="1"/>
    <xf numFmtId="44" fontId="11" fillId="0" borderId="7" xfId="30" applyFont="1" applyFill="1" applyBorder="1" applyAlignment="1">
      <alignment horizontal="right" wrapText="1"/>
    </xf>
    <xf numFmtId="44" fontId="54" fillId="0" borderId="7" xfId="30" applyFont="1" applyFill="1" applyBorder="1" applyAlignment="1">
      <alignment horizontal="right" wrapText="1"/>
    </xf>
    <xf numFmtId="0" fontId="15" fillId="0" borderId="0" xfId="0" applyFont="1" applyFill="1"/>
    <xf numFmtId="0" fontId="4" fillId="0" borderId="10" xfId="45" applyFont="1" applyFill="1" applyBorder="1" applyAlignment="1">
      <alignment horizontal="center"/>
    </xf>
    <xf numFmtId="167" fontId="12" fillId="0" borderId="7" xfId="45" applyNumberFormat="1" applyFont="1" applyFill="1" applyBorder="1" applyAlignment="1">
      <alignment horizontal="center" wrapText="1"/>
    </xf>
    <xf numFmtId="0" fontId="4" fillId="0" borderId="27" xfId="45" applyFont="1" applyFill="1" applyBorder="1" applyAlignment="1">
      <alignment horizontal="center"/>
    </xf>
    <xf numFmtId="37" fontId="48" fillId="0" borderId="41" xfId="0" applyNumberFormat="1" applyFont="1" applyFill="1" applyBorder="1"/>
    <xf numFmtId="0" fontId="0" fillId="0" borderId="0" xfId="0"/>
    <xf numFmtId="0" fontId="0" fillId="0" borderId="0" xfId="0" applyAlignment="1">
      <alignment vertical="center"/>
    </xf>
    <xf numFmtId="0" fontId="0" fillId="0" borderId="37" xfId="0" applyBorder="1" applyAlignment="1">
      <alignment horizontal="center"/>
    </xf>
    <xf numFmtId="0" fontId="0" fillId="0" borderId="0" xfId="0" applyAlignment="1">
      <alignment horizontal="center" vertical="center"/>
    </xf>
    <xf numFmtId="0" fontId="82" fillId="0" borderId="37" xfId="0" applyFont="1" applyBorder="1" applyAlignment="1">
      <alignment horizontal="center"/>
    </xf>
    <xf numFmtId="0" fontId="82" fillId="0" borderId="63" xfId="0" applyFont="1" applyBorder="1" applyAlignment="1">
      <alignment horizontal="center" vertical="center" wrapText="1"/>
    </xf>
    <xf numFmtId="0" fontId="82" fillId="0" borderId="53" xfId="0" applyFont="1" applyBorder="1" applyAlignment="1">
      <alignment horizontal="center" vertical="center" wrapText="1"/>
    </xf>
    <xf numFmtId="0" fontId="82" fillId="27" borderId="53" xfId="0" applyFont="1" applyFill="1" applyBorder="1" applyAlignment="1">
      <alignment horizontal="center" vertical="center" wrapText="1"/>
    </xf>
    <xf numFmtId="0" fontId="0" fillId="0" borderId="63" xfId="0" applyBorder="1" applyAlignment="1">
      <alignment horizontal="center" wrapText="1"/>
    </xf>
    <xf numFmtId="14" fontId="0" fillId="0" borderId="53" xfId="0" applyNumberFormat="1" applyBorder="1" applyAlignment="1">
      <alignment horizontal="center" wrapText="1"/>
    </xf>
    <xf numFmtId="0" fontId="0" fillId="0" borderId="53" xfId="0" applyNumberFormat="1" applyBorder="1" applyAlignment="1">
      <alignment horizontal="center" wrapText="1"/>
    </xf>
    <xf numFmtId="0" fontId="0" fillId="0" borderId="53" xfId="0" applyBorder="1" applyAlignment="1">
      <alignment horizontal="center" wrapText="1"/>
    </xf>
    <xf numFmtId="0" fontId="0" fillId="27" borderId="53" xfId="0" applyFill="1" applyBorder="1" applyAlignment="1">
      <alignment horizontal="center" wrapText="1"/>
    </xf>
    <xf numFmtId="10" fontId="0" fillId="0" borderId="53" xfId="0" applyNumberFormat="1" applyBorder="1" applyAlignment="1">
      <alignment horizontal="center" wrapText="1"/>
    </xf>
    <xf numFmtId="0" fontId="0" fillId="0" borderId="0" xfId="0"/>
    <xf numFmtId="37" fontId="0" fillId="0" borderId="0" xfId="28" applyNumberFormat="1" applyFont="1" applyBorder="1"/>
    <xf numFmtId="37" fontId="0" fillId="0" borderId="35" xfId="28" applyNumberFormat="1" applyFont="1" applyBorder="1"/>
    <xf numFmtId="167" fontId="12" fillId="0" borderId="65" xfId="45" applyNumberFormat="1" applyFont="1" applyFill="1" applyBorder="1" applyAlignment="1">
      <alignment horizontal="right" wrapText="1"/>
    </xf>
    <xf numFmtId="167" fontId="53" fillId="0" borderId="65" xfId="44" applyNumberFormat="1" applyFont="1" applyFill="1" applyBorder="1" applyAlignment="1">
      <alignment horizontal="right" wrapText="1"/>
    </xf>
    <xf numFmtId="167" fontId="12" fillId="0" borderId="65" xfId="44" applyNumberFormat="1" applyFont="1" applyFill="1" applyBorder="1" applyAlignment="1">
      <alignment horizontal="right" wrapText="1"/>
    </xf>
    <xf numFmtId="167" fontId="65" fillId="0" borderId="65" xfId="45" applyNumberFormat="1" applyFont="1" applyFill="1" applyBorder="1" applyAlignment="1">
      <alignment horizontal="right" wrapText="1"/>
    </xf>
    <xf numFmtId="167" fontId="63" fillId="0" borderId="65" xfId="45" applyNumberFormat="1" applyFont="1" applyFill="1" applyBorder="1" applyAlignment="1">
      <alignment horizontal="right" wrapText="1"/>
    </xf>
    <xf numFmtId="167" fontId="4" fillId="0" borderId="65" xfId="45" applyNumberFormat="1" applyFont="1" applyFill="1" applyBorder="1" applyAlignment="1">
      <alignment horizontal="right" wrapText="1"/>
    </xf>
    <xf numFmtId="0" fontId="54" fillId="0" borderId="10" xfId="45" applyFont="1" applyFill="1" applyBorder="1" applyAlignment="1">
      <alignment horizontal="center"/>
    </xf>
    <xf numFmtId="0" fontId="54" fillId="0" borderId="64" xfId="45" applyFont="1" applyFill="1" applyBorder="1" applyAlignment="1">
      <alignment horizontal="center"/>
    </xf>
    <xf numFmtId="8" fontId="52" fillId="0" borderId="0" xfId="0" applyNumberFormat="1" applyFont="1"/>
    <xf numFmtId="8" fontId="0" fillId="0" borderId="0" xfId="0" applyNumberFormat="1"/>
    <xf numFmtId="0" fontId="15" fillId="0" borderId="0" xfId="0" applyFont="1" applyAlignment="1">
      <alignment horizontal="right"/>
    </xf>
    <xf numFmtId="14" fontId="0" fillId="0" borderId="0" xfId="0" applyNumberFormat="1"/>
    <xf numFmtId="164" fontId="0" fillId="0" borderId="19" xfId="30" applyNumberFormat="1" applyFont="1" applyFill="1" applyBorder="1"/>
    <xf numFmtId="0" fontId="15" fillId="0" borderId="0" xfId="0" applyFont="1" applyFill="1" applyAlignment="1">
      <alignment horizontal="left" indent="1"/>
    </xf>
    <xf numFmtId="44" fontId="0" fillId="0" borderId="0" xfId="30" applyFont="1"/>
    <xf numFmtId="0" fontId="0" fillId="0" borderId="0" xfId="0"/>
    <xf numFmtId="0" fontId="35" fillId="0" borderId="17" xfId="43" applyNumberFormat="1" applyFont="1" applyBorder="1" applyAlignment="1" applyProtection="1">
      <protection locked="0"/>
    </xf>
    <xf numFmtId="0" fontId="35" fillId="0" borderId="0" xfId="0" applyNumberFormat="1" applyFont="1" applyAlignment="1">
      <alignment horizontal="right"/>
    </xf>
    <xf numFmtId="0" fontId="35" fillId="0" borderId="0" xfId="0" applyNumberFormat="1" applyFont="1" applyAlignment="1"/>
    <xf numFmtId="0" fontId="15" fillId="0" borderId="15" xfId="0" applyFont="1" applyBorder="1"/>
    <xf numFmtId="43" fontId="54" fillId="0" borderId="7" xfId="107" applyFont="1" applyFill="1" applyBorder="1" applyAlignment="1">
      <alignment horizontal="right" wrapText="1"/>
    </xf>
    <xf numFmtId="0" fontId="42" fillId="0" borderId="0" xfId="0" applyNumberFormat="1" applyFont="1" applyAlignment="1" applyProtection="1">
      <alignment horizontal="center"/>
      <protection locked="0"/>
    </xf>
    <xf numFmtId="3" fontId="42" fillId="59" borderId="0" xfId="0" applyNumberFormat="1" applyFont="1" applyFill="1" applyAlignment="1"/>
    <xf numFmtId="3" fontId="42" fillId="0" borderId="66" xfId="0" applyNumberFormat="1" applyFont="1" applyBorder="1" applyAlignment="1"/>
    <xf numFmtId="0" fontId="0" fillId="0" borderId="63" xfId="0" applyBorder="1" applyAlignment="1">
      <alignment horizontal="center"/>
    </xf>
    <xf numFmtId="14" fontId="0" fillId="0" borderId="53" xfId="0" applyNumberFormat="1" applyBorder="1" applyAlignment="1">
      <alignment horizontal="center"/>
    </xf>
    <xf numFmtId="0" fontId="0" fillId="0" borderId="53" xfId="0" applyBorder="1" applyAlignment="1">
      <alignment horizontal="center"/>
    </xf>
    <xf numFmtId="0" fontId="0" fillId="27" borderId="53" xfId="0" applyFill="1" applyBorder="1" applyAlignment="1">
      <alignment horizontal="center"/>
    </xf>
    <xf numFmtId="4" fontId="0" fillId="0" borderId="53" xfId="0" applyNumberFormat="1" applyBorder="1" applyAlignment="1">
      <alignment horizontal="center"/>
    </xf>
    <xf numFmtId="0" fontId="0" fillId="0" borderId="67" xfId="0" applyBorder="1" applyAlignment="1">
      <alignment horizontal="center"/>
    </xf>
    <xf numFmtId="14" fontId="0" fillId="0" borderId="68" xfId="0" applyNumberFormat="1" applyBorder="1" applyAlignment="1">
      <alignment horizontal="center"/>
    </xf>
    <xf numFmtId="0" fontId="0" fillId="0" borderId="68" xfId="0" applyNumberFormat="1" applyBorder="1" applyAlignment="1">
      <alignment horizontal="center" wrapText="1"/>
    </xf>
    <xf numFmtId="0" fontId="0" fillId="0" borderId="68" xfId="0" applyBorder="1" applyAlignment="1">
      <alignment horizontal="center"/>
    </xf>
    <xf numFmtId="0" fontId="0" fillId="27" borderId="68" xfId="0" applyFill="1" applyBorder="1" applyAlignment="1">
      <alignment horizontal="center"/>
    </xf>
    <xf numFmtId="4" fontId="0" fillId="0" borderId="68" xfId="0" applyNumberFormat="1" applyBorder="1" applyAlignment="1">
      <alignment horizontal="center"/>
    </xf>
    <xf numFmtId="14" fontId="0" fillId="0" borderId="37" xfId="0" applyNumberFormat="1" applyBorder="1" applyAlignment="1">
      <alignment horizontal="center"/>
    </xf>
    <xf numFmtId="0" fontId="0" fillId="0" borderId="37" xfId="0" applyNumberFormat="1" applyBorder="1" applyAlignment="1">
      <alignment horizontal="center" wrapText="1"/>
    </xf>
    <xf numFmtId="0" fontId="0" fillId="27" borderId="37" xfId="0" applyFill="1" applyBorder="1" applyAlignment="1">
      <alignment horizontal="center"/>
    </xf>
    <xf numFmtId="4" fontId="0" fillId="0" borderId="37" xfId="0" applyNumberFormat="1" applyBorder="1" applyAlignment="1">
      <alignment horizontal="center"/>
    </xf>
    <xf numFmtId="0" fontId="0" fillId="0" borderId="37" xfId="0" applyBorder="1" applyAlignment="1">
      <alignment horizontal="center" wrapText="1"/>
    </xf>
    <xf numFmtId="14" fontId="0" fillId="0" borderId="37" xfId="0" applyNumberFormat="1" applyBorder="1" applyAlignment="1">
      <alignment horizontal="center" wrapText="1"/>
    </xf>
    <xf numFmtId="0" fontId="0" fillId="27" borderId="37" xfId="0" applyFill="1" applyBorder="1" applyAlignment="1">
      <alignment horizontal="center" wrapText="1"/>
    </xf>
    <xf numFmtId="10" fontId="0" fillId="0" borderId="37" xfId="0" applyNumberFormat="1" applyBorder="1" applyAlignment="1">
      <alignment horizontal="center" wrapText="1"/>
    </xf>
    <xf numFmtId="165" fontId="42" fillId="0" borderId="0" xfId="0" applyNumberFormat="1" applyFont="1" applyAlignment="1" applyProtection="1">
      <protection locked="0"/>
    </xf>
    <xf numFmtId="0" fontId="42" fillId="0" borderId="0" xfId="0" applyNumberFormat="1" applyFont="1" applyProtection="1">
      <protection locked="0"/>
    </xf>
    <xf numFmtId="171" fontId="42" fillId="0" borderId="0" xfId="0" applyNumberFormat="1" applyFont="1" applyFill="1" applyBorder="1" applyAlignment="1" applyProtection="1"/>
    <xf numFmtId="0" fontId="42" fillId="0" borderId="0" xfId="0" applyFont="1" applyAlignment="1">
      <alignment horizontal="right"/>
    </xf>
    <xf numFmtId="0" fontId="42" fillId="0" borderId="0" xfId="0" applyNumberFormat="1" applyFont="1" applyAlignment="1">
      <alignment horizontal="right"/>
    </xf>
    <xf numFmtId="3" fontId="42" fillId="0" borderId="0" xfId="0" applyNumberFormat="1" applyFont="1" applyAlignment="1"/>
    <xf numFmtId="3" fontId="42" fillId="0" borderId="0" xfId="0" applyNumberFormat="1" applyFont="1" applyProtection="1">
      <protection locked="0"/>
    </xf>
    <xf numFmtId="0" fontId="42" fillId="0" borderId="0" xfId="0" applyNumberFormat="1" applyFont="1" applyFill="1" applyBorder="1" applyAlignment="1">
      <alignment horizontal="center"/>
    </xf>
    <xf numFmtId="171" fontId="42" fillId="0" borderId="0" xfId="0" applyNumberFormat="1" applyFont="1" applyProtection="1">
      <protection locked="0"/>
    </xf>
    <xf numFmtId="0" fontId="42" fillId="0" borderId="0" xfId="0" applyFont="1" applyFill="1" applyAlignment="1" applyProtection="1"/>
    <xf numFmtId="3" fontId="42" fillId="0" borderId="0" xfId="0" applyNumberFormat="1" applyFont="1" applyFill="1" applyAlignment="1" applyProtection="1"/>
    <xf numFmtId="0" fontId="83" fillId="0" borderId="0" xfId="0" applyNumberFormat="1" applyFont="1"/>
    <xf numFmtId="0" fontId="84" fillId="0" borderId="0" xfId="0" applyNumberFormat="1" applyFont="1" applyFill="1" applyBorder="1" applyAlignment="1">
      <alignment horizontal="center"/>
    </xf>
    <xf numFmtId="0" fontId="42" fillId="0" borderId="0" xfId="0" applyNumberFormat="1" applyFont="1" applyAlignment="1" applyProtection="1">
      <alignment horizontal="left" indent="8"/>
      <protection locked="0"/>
    </xf>
    <xf numFmtId="3" fontId="42" fillId="0" borderId="0" xfId="0" applyNumberFormat="1" applyFont="1" applyAlignment="1">
      <alignment horizontal="fill"/>
    </xf>
    <xf numFmtId="0" fontId="42" fillId="0" borderId="17" xfId="0" applyNumberFormat="1" applyFont="1" applyBorder="1" applyAlignment="1" applyProtection="1">
      <alignment horizontal="center"/>
      <protection locked="0"/>
    </xf>
    <xf numFmtId="0" fontId="42" fillId="0" borderId="0" xfId="0" applyNumberFormat="1" applyFont="1" applyAlignment="1" applyProtection="1">
      <alignment horizontal="center" vertical="top" wrapText="1"/>
      <protection locked="0"/>
    </xf>
    <xf numFmtId="0" fontId="2" fillId="0" borderId="0" xfId="0" quotePrefix="1" applyNumberFormat="1" applyFont="1" applyFill="1" applyBorder="1"/>
    <xf numFmtId="0" fontId="42" fillId="0" borderId="0" xfId="0" applyNumberFormat="1" applyFont="1" applyFill="1" applyAlignment="1" applyProtection="1">
      <alignment horizontal="left" vertical="top" wrapText="1" indent="8"/>
      <protection locked="0"/>
    </xf>
    <xf numFmtId="0" fontId="42" fillId="0" borderId="0" xfId="0" applyNumberFormat="1" applyFont="1" applyFill="1" applyAlignment="1" applyProtection="1">
      <alignment vertical="top" wrapText="1"/>
      <protection locked="0"/>
    </xf>
    <xf numFmtId="10" fontId="42" fillId="25" borderId="0" xfId="0" applyNumberFormat="1" applyFont="1" applyFill="1" applyAlignment="1" applyProtection="1">
      <alignment vertical="top" wrapText="1"/>
      <protection locked="0"/>
    </xf>
    <xf numFmtId="3" fontId="42" fillId="0" borderId="0" xfId="0" applyNumberFormat="1" applyFont="1" applyAlignment="1">
      <alignment vertical="top" wrapText="1"/>
    </xf>
    <xf numFmtId="0" fontId="42" fillId="0" borderId="0" xfId="0" applyNumberFormat="1" applyFont="1" applyAlignment="1" applyProtection="1">
      <alignment vertical="top" wrapText="1"/>
      <protection locked="0"/>
    </xf>
    <xf numFmtId="0" fontId="42" fillId="0" borderId="0" xfId="0" applyFont="1" applyAlignment="1">
      <alignment horizontal="center" vertical="top" wrapText="1"/>
    </xf>
    <xf numFmtId="0" fontId="42" fillId="0" borderId="0" xfId="0" applyFont="1" applyFill="1" applyAlignment="1">
      <alignment horizontal="center" vertical="top" wrapText="1"/>
    </xf>
    <xf numFmtId="0" fontId="40" fillId="0" borderId="0" xfId="0" applyNumberFormat="1" applyFont="1" applyFill="1" applyBorder="1" applyAlignment="1">
      <alignment horizontal="left"/>
    </xf>
    <xf numFmtId="0" fontId="42" fillId="0" borderId="0" xfId="0" applyNumberFormat="1" applyFont="1" applyFill="1" applyAlignment="1">
      <alignment horizontal="left" vertical="top"/>
    </xf>
    <xf numFmtId="0" fontId="57" fillId="0" borderId="0" xfId="0" applyNumberFormat="1" applyFont="1" applyAlignment="1" applyProtection="1">
      <alignment vertical="top" wrapText="1"/>
      <protection locked="0"/>
    </xf>
    <xf numFmtId="0" fontId="42" fillId="0" borderId="0" xfId="0" applyNumberFormat="1" applyFont="1" applyFill="1" applyAlignment="1">
      <alignment vertical="top"/>
    </xf>
    <xf numFmtId="0" fontId="0" fillId="0" borderId="0" xfId="0" applyFont="1" applyAlignment="1">
      <alignment horizontal="center"/>
    </xf>
    <xf numFmtId="0" fontId="42" fillId="0" borderId="0" xfId="0" applyNumberFormat="1" applyFont="1" applyFill="1"/>
    <xf numFmtId="0" fontId="0" fillId="0" borderId="0" xfId="0" applyFill="1" applyAlignment="1">
      <alignment horizontal="center"/>
    </xf>
    <xf numFmtId="37" fontId="48" fillId="0" borderId="40" xfId="0" applyNumberFormat="1" applyFont="1" applyFill="1" applyBorder="1"/>
    <xf numFmtId="49" fontId="85" fillId="0" borderId="0" xfId="0" applyNumberFormat="1" applyFont="1"/>
    <xf numFmtId="49" fontId="85" fillId="0" borderId="0" xfId="0" applyNumberFormat="1" applyFont="1" applyFill="1"/>
    <xf numFmtId="177" fontId="85" fillId="0" borderId="0" xfId="0" applyNumberFormat="1" applyFont="1" applyFill="1"/>
    <xf numFmtId="178" fontId="85" fillId="0" borderId="0" xfId="0" applyNumberFormat="1" applyFont="1" applyFill="1"/>
    <xf numFmtId="179" fontId="85" fillId="0" borderId="0" xfId="0" applyNumberFormat="1" applyFont="1" applyFill="1"/>
    <xf numFmtId="49" fontId="86" fillId="0" borderId="0" xfId="0" applyNumberFormat="1" applyFont="1"/>
    <xf numFmtId="177" fontId="86" fillId="0" borderId="0" xfId="0" applyNumberFormat="1" applyFont="1" applyFill="1"/>
    <xf numFmtId="49" fontId="86" fillId="0" borderId="0" xfId="0" applyNumberFormat="1" applyFont="1" applyFill="1"/>
    <xf numFmtId="178" fontId="86" fillId="0" borderId="0" xfId="0" applyNumberFormat="1" applyFont="1" applyFill="1"/>
    <xf numFmtId="179" fontId="86" fillId="0" borderId="0" xfId="0" applyNumberFormat="1" applyFont="1" applyFill="1"/>
    <xf numFmtId="178" fontId="86" fillId="0" borderId="17" xfId="0" applyNumberFormat="1" applyFont="1" applyFill="1" applyBorder="1"/>
    <xf numFmtId="179" fontId="86" fillId="0" borderId="17" xfId="0" applyNumberFormat="1" applyFont="1" applyFill="1" applyBorder="1"/>
    <xf numFmtId="178" fontId="86" fillId="0" borderId="0" xfId="0" applyNumberFormat="1" applyFont="1" applyFill="1" applyBorder="1"/>
    <xf numFmtId="179" fontId="86" fillId="0" borderId="0" xfId="0" applyNumberFormat="1" applyFont="1" applyFill="1" applyBorder="1"/>
    <xf numFmtId="178" fontId="86" fillId="0" borderId="12" xfId="0" applyNumberFormat="1" applyFont="1" applyFill="1" applyBorder="1"/>
    <xf numFmtId="179" fontId="86" fillId="0" borderId="12" xfId="0" applyNumberFormat="1" applyFont="1" applyFill="1" applyBorder="1"/>
    <xf numFmtId="178" fontId="85" fillId="0" borderId="70" xfId="0" applyNumberFormat="1" applyFont="1" applyFill="1" applyBorder="1"/>
    <xf numFmtId="179" fontId="85" fillId="0" borderId="70" xfId="0" applyNumberFormat="1" applyFont="1" applyFill="1" applyBorder="1"/>
    <xf numFmtId="0" fontId="85" fillId="0" borderId="0" xfId="0" applyFont="1" applyFill="1"/>
    <xf numFmtId="49" fontId="0" fillId="0" borderId="0" xfId="0" applyNumberFormat="1" applyAlignment="1">
      <alignment horizontal="center"/>
    </xf>
    <xf numFmtId="49" fontId="85" fillId="0" borderId="69" xfId="0" applyNumberFormat="1" applyFont="1" applyBorder="1" applyAlignment="1">
      <alignment horizontal="center"/>
    </xf>
    <xf numFmtId="49" fontId="85" fillId="0" borderId="69" xfId="0" applyNumberFormat="1" applyFont="1" applyFill="1" applyBorder="1" applyAlignment="1">
      <alignment horizontal="center"/>
    </xf>
    <xf numFmtId="49" fontId="0" fillId="0" borderId="0" xfId="0" applyNumberFormat="1" applyFill="1" applyAlignment="1">
      <alignment horizontal="center"/>
    </xf>
    <xf numFmtId="0" fontId="0" fillId="0" borderId="0" xfId="0" applyNumberFormat="1" applyFill="1"/>
    <xf numFmtId="0" fontId="42" fillId="0" borderId="0" xfId="0" applyNumberFormat="1" applyFont="1" applyFill="1" applyAlignment="1">
      <alignment vertical="top" wrapText="1"/>
    </xf>
    <xf numFmtId="0" fontId="42" fillId="0" borderId="0" xfId="0" applyNumberFormat="1" applyFont="1" applyAlignment="1" applyProtection="1">
      <alignment vertical="top" wrapText="1"/>
      <protection locked="0"/>
    </xf>
    <xf numFmtId="0" fontId="35" fillId="0" borderId="0" xfId="0" applyNumberFormat="1" applyFont="1" applyAlignment="1">
      <alignment horizontal="right"/>
    </xf>
    <xf numFmtId="0" fontId="42" fillId="0" borderId="0" xfId="0" applyNumberFormat="1" applyFont="1" applyFill="1" applyAlignment="1" applyProtection="1">
      <alignment vertical="top" wrapText="1"/>
      <protection locked="0"/>
    </xf>
    <xf numFmtId="0" fontId="35" fillId="0" borderId="0" xfId="0" applyNumberFormat="1" applyFont="1" applyAlignment="1"/>
    <xf numFmtId="3" fontId="42" fillId="0" borderId="0" xfId="0" applyNumberFormat="1" applyFont="1" applyAlignment="1">
      <alignment horizontal="right"/>
    </xf>
    <xf numFmtId="171" fontId="42" fillId="0" borderId="0" xfId="0" applyNumberFormat="1" applyFont="1" applyAlignment="1" applyProtection="1">
      <alignment horizontal="center"/>
      <protection locked="0"/>
    </xf>
    <xf numFmtId="0" fontId="46" fillId="0" borderId="0" xfId="0" applyFont="1" applyAlignment="1">
      <alignment horizontal="center"/>
    </xf>
    <xf numFmtId="0" fontId="35" fillId="0" borderId="0" xfId="0" applyFont="1" applyAlignment="1">
      <alignment horizontal="center"/>
    </xf>
    <xf numFmtId="14" fontId="46" fillId="0" borderId="0" xfId="0" applyNumberFormat="1" applyFont="1" applyAlignment="1">
      <alignment horizontal="center"/>
    </xf>
    <xf numFmtId="0" fontId="47" fillId="0" borderId="29" xfId="0" applyFont="1" applyBorder="1" applyAlignment="1">
      <alignment horizontal="center"/>
    </xf>
    <xf numFmtId="14" fontId="35" fillId="0" borderId="0" xfId="0" applyNumberFormat="1" applyFont="1" applyAlignment="1">
      <alignment horizontal="center"/>
    </xf>
    <xf numFmtId="0" fontId="0" fillId="0" borderId="38" xfId="0" applyBorder="1" applyAlignment="1">
      <alignment horizontal="center"/>
    </xf>
    <xf numFmtId="0" fontId="0" fillId="0" borderId="36" xfId="0" applyBorder="1" applyAlignment="1">
      <alignment horizontal="center"/>
    </xf>
    <xf numFmtId="0" fontId="0" fillId="0" borderId="41" xfId="0" applyBorder="1" applyAlignment="1">
      <alignment horizontal="center"/>
    </xf>
    <xf numFmtId="0" fontId="0" fillId="0" borderId="42" xfId="0" applyBorder="1" applyAlignment="1">
      <alignment horizontal="left"/>
    </xf>
    <xf numFmtId="0" fontId="0" fillId="0" borderId="52" xfId="0" applyBorder="1" applyAlignment="1">
      <alignment horizontal="left"/>
    </xf>
    <xf numFmtId="0" fontId="6" fillId="0" borderId="29" xfId="0" applyFont="1" applyBorder="1" applyAlignment="1">
      <alignment horizontal="center"/>
    </xf>
    <xf numFmtId="0" fontId="6" fillId="0" borderId="0" xfId="0" applyFont="1" applyBorder="1" applyAlignment="1">
      <alignment horizontal="center"/>
    </xf>
    <xf numFmtId="171" fontId="35" fillId="59" borderId="0" xfId="0" applyNumberFormat="1" applyFont="1" applyFill="1" applyBorder="1" applyAlignment="1" applyProtection="1">
      <protection locked="0"/>
    </xf>
    <xf numFmtId="0" fontId="15" fillId="0" borderId="0" xfId="0" applyFont="1" applyAlignment="1">
      <alignment horizontal="center"/>
    </xf>
  </cellXfs>
  <cellStyles count="130">
    <cellStyle name="20% - Accent1" xfId="1" builtinId="30" customBuiltin="1"/>
    <cellStyle name="20% - Accent1 2" xfId="55"/>
    <cellStyle name="20% - Accent2" xfId="2" builtinId="34" customBuiltin="1"/>
    <cellStyle name="20% - Accent2 2" xfId="56"/>
    <cellStyle name="20% - Accent3" xfId="3" builtinId="38" customBuiltin="1"/>
    <cellStyle name="20% - Accent3 2" xfId="57"/>
    <cellStyle name="20% - Accent4" xfId="4" builtinId="42" customBuiltin="1"/>
    <cellStyle name="20% - Accent4 2" xfId="58"/>
    <cellStyle name="20% - Accent5" xfId="5" builtinId="46" customBuiltin="1"/>
    <cellStyle name="20% - Accent5 2" xfId="59"/>
    <cellStyle name="20% - Accent6" xfId="6" builtinId="50" customBuiltin="1"/>
    <cellStyle name="20% - Accent6 2" xfId="60"/>
    <cellStyle name="40% - Accent1" xfId="7" builtinId="31" customBuiltin="1"/>
    <cellStyle name="40% - Accent1 2" xfId="61"/>
    <cellStyle name="40% - Accent2" xfId="8" builtinId="35" customBuiltin="1"/>
    <cellStyle name="40% - Accent2 2" xfId="62"/>
    <cellStyle name="40% - Accent3" xfId="9" builtinId="39" customBuiltin="1"/>
    <cellStyle name="40% - Accent3 2" xfId="63"/>
    <cellStyle name="40% - Accent4" xfId="10" builtinId="43" customBuiltin="1"/>
    <cellStyle name="40% - Accent4 2" xfId="64"/>
    <cellStyle name="40% - Accent5" xfId="11" builtinId="47" customBuiltin="1"/>
    <cellStyle name="40% - Accent5 2" xfId="65"/>
    <cellStyle name="40% - Accent6" xfId="12" builtinId="51" customBuiltin="1"/>
    <cellStyle name="40% - Accent6 2" xfId="66"/>
    <cellStyle name="60% - Accent1" xfId="13" builtinId="32" customBuiltin="1"/>
    <cellStyle name="60% - Accent1 2" xfId="67"/>
    <cellStyle name="60% - Accent2" xfId="14" builtinId="36" customBuiltin="1"/>
    <cellStyle name="60% - Accent2 2" xfId="68"/>
    <cellStyle name="60% - Accent3" xfId="15" builtinId="40" customBuiltin="1"/>
    <cellStyle name="60% - Accent3 2" xfId="69"/>
    <cellStyle name="60% - Accent4" xfId="16" builtinId="44" customBuiltin="1"/>
    <cellStyle name="60% - Accent4 2" xfId="70"/>
    <cellStyle name="60% - Accent5" xfId="17" builtinId="48" customBuiltin="1"/>
    <cellStyle name="60% - Accent5 2" xfId="71"/>
    <cellStyle name="60% - Accent6" xfId="18" builtinId="52" customBuiltin="1"/>
    <cellStyle name="60% - Accent6 2" xfId="72"/>
    <cellStyle name="Accent1" xfId="19" builtinId="29" customBuiltin="1"/>
    <cellStyle name="Accent1 2" xfId="73"/>
    <cellStyle name="Accent2" xfId="20" builtinId="33" customBuiltin="1"/>
    <cellStyle name="Accent2 2" xfId="74"/>
    <cellStyle name="Accent3" xfId="21" builtinId="37" customBuiltin="1"/>
    <cellStyle name="Accent3 2" xfId="75"/>
    <cellStyle name="Accent4" xfId="22" builtinId="41" customBuiltin="1"/>
    <cellStyle name="Accent4 2" xfId="76"/>
    <cellStyle name="Accent5" xfId="23" builtinId="45" customBuiltin="1"/>
    <cellStyle name="Accent5 2" xfId="77"/>
    <cellStyle name="Accent6" xfId="24" builtinId="49" customBuiltin="1"/>
    <cellStyle name="Accent6 2" xfId="78"/>
    <cellStyle name="Bad" xfId="25" builtinId="27" customBuiltin="1"/>
    <cellStyle name="Bad 2" xfId="79"/>
    <cellStyle name="Calculation" xfId="26" builtinId="22" customBuiltin="1"/>
    <cellStyle name="Calculation 2" xfId="80"/>
    <cellStyle name="Check Cell" xfId="27" builtinId="23" customBuiltin="1"/>
    <cellStyle name="Check Cell 2" xfId="81"/>
    <cellStyle name="Comma" xfId="28" builtinId="3"/>
    <cellStyle name="Comma 2" xfId="29"/>
    <cellStyle name="Comma 2 2" xfId="83"/>
    <cellStyle name="Comma 2 2 2" xfId="120"/>
    <cellStyle name="Comma 2 3" xfId="107"/>
    <cellStyle name="Comma 2 3 2" xfId="119"/>
    <cellStyle name="Comma 2 4" xfId="82"/>
    <cellStyle name="Comma 3" xfId="84"/>
    <cellStyle name="Comma 3 2" xfId="121"/>
    <cellStyle name="Comma 4" xfId="85"/>
    <cellStyle name="Comma 4 2" xfId="108"/>
    <cellStyle name="Comma 4 2 2" xfId="118"/>
    <cellStyle name="Comma 4 3" xfId="114"/>
    <cellStyle name="Currency" xfId="30" builtinId="4"/>
    <cellStyle name="Currency 2" xfId="31"/>
    <cellStyle name="Currency 2 2" xfId="122"/>
    <cellStyle name="Currency 3" xfId="32"/>
    <cellStyle name="Currency 3 2" xfId="87"/>
    <cellStyle name="Currency 3 2 2" xfId="124"/>
    <cellStyle name="Currency 3 3" xfId="109"/>
    <cellStyle name="Currency 3 3 2" xfId="123"/>
    <cellStyle name="Currency 3 4" xfId="86"/>
    <cellStyle name="Currency 4" xfId="88"/>
    <cellStyle name="Currency 4 2" xfId="110"/>
    <cellStyle name="Currency 4 2 2" xfId="117"/>
    <cellStyle name="Currency 4 3" xfId="113"/>
    <cellStyle name="Explanatory Text" xfId="33" builtinId="53" customBuiltin="1"/>
    <cellStyle name="Explanatory Text 2" xfId="89"/>
    <cellStyle name="Good" xfId="34" builtinId="26" customBuiltin="1"/>
    <cellStyle name="Good 2" xfId="90"/>
    <cellStyle name="Heading 1" xfId="35" builtinId="16" customBuiltin="1"/>
    <cellStyle name="Heading 1 2" xfId="91"/>
    <cellStyle name="Heading 2" xfId="36" builtinId="17" customBuiltin="1"/>
    <cellStyle name="Heading 2 2" xfId="92"/>
    <cellStyle name="Heading 3" xfId="37" builtinId="18" customBuiltin="1"/>
    <cellStyle name="Heading 3 2" xfId="93"/>
    <cellStyle name="Heading 4" xfId="38" builtinId="19" customBuiltin="1"/>
    <cellStyle name="Heading 4 2" xfId="94"/>
    <cellStyle name="Input" xfId="39" builtinId="20" customBuiltin="1"/>
    <cellStyle name="Input 2" xfId="95"/>
    <cellStyle name="Linked Cell" xfId="40" builtinId="24" customBuiltin="1"/>
    <cellStyle name="Linked Cell 2" xfId="96"/>
    <cellStyle name="Neutral" xfId="41" builtinId="28" customBuiltin="1"/>
    <cellStyle name="Neutral 2" xfId="97"/>
    <cellStyle name="Normal" xfId="0" builtinId="0"/>
    <cellStyle name="Normal 2" xfId="42"/>
    <cellStyle name="Normal 2 2" xfId="125"/>
    <cellStyle name="Normal 3" xfId="43"/>
    <cellStyle name="Normal 4" xfId="98"/>
    <cellStyle name="Normal 5" xfId="116"/>
    <cellStyle name="Normal_Sheet1" xfId="44"/>
    <cellStyle name="Normal_Sheet2" xfId="45"/>
    <cellStyle name="Normal_Sheet2 2" xfId="46"/>
    <cellStyle name="Note" xfId="47" builtinId="10" customBuiltin="1"/>
    <cellStyle name="Note 2" xfId="99"/>
    <cellStyle name="Output" xfId="48" builtinId="21" customBuiltin="1"/>
    <cellStyle name="Output 2" xfId="100"/>
    <cellStyle name="Percent" xfId="49" builtinId="5"/>
    <cellStyle name="Percent 2" xfId="50"/>
    <cellStyle name="Percent 2 2" xfId="126"/>
    <cellStyle name="Percent 3" xfId="54"/>
    <cellStyle name="Percent 3 2" xfId="102"/>
    <cellStyle name="Percent 3 2 2" xfId="128"/>
    <cellStyle name="Percent 3 3" xfId="111"/>
    <cellStyle name="Percent 3 3 2" xfId="127"/>
    <cellStyle name="Percent 3 4" xfId="101"/>
    <cellStyle name="Percent 4" xfId="103"/>
    <cellStyle name="Percent 4 2" xfId="112"/>
    <cellStyle name="Percent 4 2 2" xfId="129"/>
    <cellStyle name="Percent 4 3" xfId="115"/>
    <cellStyle name="Title" xfId="51" builtinId="15" customBuiltin="1"/>
    <cellStyle name="Title 2" xfId="104"/>
    <cellStyle name="Total" xfId="52" builtinId="25" customBuiltin="1"/>
    <cellStyle name="Total 2" xfId="105"/>
    <cellStyle name="Warning Text" xfId="53" builtinId="11" customBuiltin="1"/>
    <cellStyle name="Warning Text 2" xfId="10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314325</xdr:colOff>
          <xdr:row>1</xdr:row>
          <xdr:rowOff>57150</xdr:rowOff>
        </xdr:to>
        <xdr:sp macro="" textlink="">
          <xdr:nvSpPr>
            <xdr:cNvPr id="9217" name="FILTER" hidden="1">
              <a:extLst>
                <a:ext uri="{63B3BB69-23CF-44E3-9099-C40C66FF867C}">
                  <a14:compatExt spid="_x0000_s921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314325</xdr:colOff>
          <xdr:row>1</xdr:row>
          <xdr:rowOff>57150</xdr:rowOff>
        </xdr:to>
        <xdr:sp macro="" textlink="">
          <xdr:nvSpPr>
            <xdr:cNvPr id="9218" name="HEADER" hidden="1">
              <a:extLst>
                <a:ext uri="{63B3BB69-23CF-44E3-9099-C40C66FF867C}">
                  <a14:compatExt spid="_x0000_s921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604"/>
  <sheetViews>
    <sheetView topLeftCell="A227" zoomScale="75" workbookViewId="0">
      <selection activeCell="D263" sqref="D263"/>
    </sheetView>
  </sheetViews>
  <sheetFormatPr defaultRowHeight="12.75"/>
  <cols>
    <col min="1" max="1" width="7.7109375" style="76" customWidth="1"/>
    <col min="2" max="2" width="70.7109375" style="76" customWidth="1"/>
    <col min="3" max="3" width="30.140625" style="76" customWidth="1"/>
    <col min="4" max="4" width="17.85546875" style="76" customWidth="1"/>
    <col min="5" max="5" width="7.7109375" style="76" customWidth="1"/>
    <col min="6" max="6" width="7.28515625" style="76" customWidth="1"/>
    <col min="7" max="7" width="13.7109375" style="76" customWidth="1"/>
    <col min="8" max="8" width="7.42578125" style="76" customWidth="1"/>
    <col min="9" max="9" width="16.42578125" style="76" customWidth="1"/>
    <col min="10" max="10" width="4.42578125" style="76" customWidth="1"/>
    <col min="11" max="11" width="15" style="76" customWidth="1"/>
    <col min="12" max="12" width="2.42578125" style="76" customWidth="1"/>
    <col min="13" max="13" width="13" style="76" bestFit="1" customWidth="1"/>
    <col min="14" max="14" width="9.140625" style="76"/>
    <col min="15" max="15" width="21.5703125" style="76" customWidth="1"/>
    <col min="16" max="16384" width="9.140625" style="76"/>
  </cols>
  <sheetData>
    <row r="1" spans="1:64" s="429" customFormat="1" ht="15">
      <c r="H1" s="589" t="s">
        <v>708</v>
      </c>
      <c r="I1" s="589"/>
      <c r="J1" s="589"/>
      <c r="K1" s="589"/>
      <c r="L1" s="589"/>
    </row>
    <row r="2" spans="1:64" ht="15">
      <c r="B2" s="79"/>
      <c r="C2" s="79"/>
      <c r="D2" s="81"/>
      <c r="E2" s="79"/>
      <c r="F2" s="79"/>
      <c r="G2" s="79"/>
      <c r="H2" s="80"/>
      <c r="I2" s="80"/>
      <c r="J2" s="80"/>
      <c r="K2" s="587" t="s">
        <v>51</v>
      </c>
      <c r="L2" s="587"/>
      <c r="M2" s="77"/>
      <c r="N2" s="78"/>
      <c r="O2" s="77"/>
      <c r="P2" s="77"/>
      <c r="Q2" s="77"/>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row>
    <row r="3" spans="1:64" ht="15">
      <c r="B3" s="79"/>
      <c r="C3" s="79"/>
      <c r="D3" s="81"/>
      <c r="E3" s="79"/>
      <c r="F3" s="79"/>
      <c r="G3" s="79"/>
      <c r="H3" s="80"/>
      <c r="I3" s="80"/>
      <c r="J3" s="80"/>
      <c r="K3" s="82"/>
      <c r="L3" s="82"/>
      <c r="M3" s="77"/>
      <c r="N3" s="78"/>
      <c r="O3" s="77"/>
      <c r="P3" s="77"/>
      <c r="Q3" s="77"/>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row>
    <row r="4" spans="1:64" ht="15">
      <c r="B4" s="79" t="s">
        <v>52</v>
      </c>
      <c r="C4" s="79"/>
      <c r="D4" s="81" t="s">
        <v>53</v>
      </c>
      <c r="E4" s="79"/>
      <c r="F4" s="79"/>
      <c r="G4" s="79"/>
      <c r="H4" s="80"/>
      <c r="I4" s="83" t="s">
        <v>730</v>
      </c>
      <c r="J4" s="83"/>
      <c r="K4" s="83"/>
      <c r="L4" s="336"/>
      <c r="M4" s="336"/>
      <c r="N4" s="78"/>
      <c r="O4" s="77"/>
      <c r="P4" s="77"/>
      <c r="Q4" s="77"/>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row>
    <row r="5" spans="1:64" ht="15">
      <c r="B5" s="79"/>
      <c r="C5" s="84" t="s">
        <v>54</v>
      </c>
      <c r="D5" s="84" t="s">
        <v>55</v>
      </c>
      <c r="E5" s="84"/>
      <c r="F5" s="84"/>
      <c r="G5" s="84"/>
      <c r="H5" s="80"/>
      <c r="I5" s="80"/>
      <c r="J5" s="80"/>
      <c r="K5" s="80"/>
      <c r="L5" s="77"/>
      <c r="M5" s="77"/>
      <c r="N5" s="78"/>
      <c r="O5" s="77"/>
      <c r="P5" s="77"/>
      <c r="Q5" s="77"/>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row>
    <row r="6" spans="1:64" ht="15">
      <c r="B6" s="80"/>
      <c r="C6" s="80"/>
      <c r="D6" s="80"/>
      <c r="E6" s="80"/>
      <c r="F6" s="80"/>
      <c r="G6" s="80"/>
      <c r="H6" s="80"/>
      <c r="I6" s="80"/>
      <c r="J6" s="80"/>
      <c r="K6" s="80"/>
      <c r="L6" s="77"/>
      <c r="M6" s="77"/>
      <c r="N6" s="78"/>
      <c r="O6" s="77"/>
      <c r="P6" s="77"/>
      <c r="Q6" s="77"/>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row>
    <row r="7" spans="1:64" ht="15">
      <c r="A7" s="85"/>
      <c r="B7" s="80"/>
      <c r="C7" s="80"/>
      <c r="D7" s="86" t="s">
        <v>48</v>
      </c>
      <c r="E7" s="83"/>
      <c r="F7" s="83"/>
      <c r="G7" s="83"/>
      <c r="H7" s="83"/>
      <c r="I7" s="80"/>
      <c r="J7" s="80"/>
      <c r="K7" s="80"/>
      <c r="L7" s="77"/>
      <c r="M7" s="77"/>
      <c r="N7" s="78"/>
      <c r="O7" s="77"/>
      <c r="P7" s="77"/>
      <c r="Q7" s="77"/>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row>
    <row r="8" spans="1:64" ht="15">
      <c r="A8" s="85"/>
      <c r="B8" s="80"/>
      <c r="C8" s="80"/>
      <c r="D8" s="87"/>
      <c r="E8" s="80"/>
      <c r="F8" s="80"/>
      <c r="G8" s="80"/>
      <c r="H8" s="80"/>
      <c r="I8" s="80"/>
      <c r="J8" s="80"/>
      <c r="K8" s="80"/>
      <c r="L8" s="77"/>
      <c r="M8" s="77"/>
      <c r="N8" s="88"/>
      <c r="O8" s="77"/>
      <c r="P8" s="77"/>
      <c r="Q8" s="77"/>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row>
    <row r="9" spans="1:64" ht="15">
      <c r="A9" s="85" t="s">
        <v>56</v>
      </c>
      <c r="B9" s="80"/>
      <c r="C9" s="80"/>
      <c r="D9" s="87"/>
      <c r="E9" s="80"/>
      <c r="F9" s="80"/>
      <c r="G9" s="80"/>
      <c r="H9" s="80"/>
      <c r="I9" s="82" t="s">
        <v>57</v>
      </c>
      <c r="J9" s="80"/>
      <c r="K9" s="80"/>
      <c r="L9" s="77"/>
      <c r="M9" s="77"/>
      <c r="N9" s="78"/>
      <c r="O9" s="77"/>
      <c r="P9" s="77"/>
      <c r="Q9" s="77"/>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ht="15.75" thickBot="1">
      <c r="A10" s="89" t="s">
        <v>58</v>
      </c>
      <c r="B10" s="80"/>
      <c r="C10" s="80"/>
      <c r="D10" s="80"/>
      <c r="E10" s="80"/>
      <c r="F10" s="80"/>
      <c r="G10" s="80"/>
      <c r="H10" s="80"/>
      <c r="I10" s="90" t="s">
        <v>59</v>
      </c>
      <c r="J10" s="80"/>
      <c r="K10" s="80"/>
      <c r="L10" s="77"/>
      <c r="M10" s="77"/>
      <c r="N10" s="78"/>
      <c r="O10" s="77"/>
      <c r="P10" s="77"/>
      <c r="Q10" s="77"/>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row>
    <row r="11" spans="1:64" ht="15">
      <c r="A11" s="85">
        <v>1</v>
      </c>
      <c r="B11" s="80" t="s">
        <v>20</v>
      </c>
      <c r="C11" s="80"/>
      <c r="D11" s="91"/>
      <c r="E11" s="80"/>
      <c r="F11" s="80"/>
      <c r="G11" s="80"/>
      <c r="H11" s="80"/>
      <c r="I11" s="92">
        <f>+I201</f>
        <v>254416.69372748077</v>
      </c>
      <c r="J11" s="80"/>
      <c r="K11" s="80"/>
      <c r="L11" s="77"/>
      <c r="M11" s="77"/>
      <c r="N11" s="78"/>
      <c r="O11" s="77"/>
      <c r="P11" s="77"/>
      <c r="Q11" s="77"/>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row>
    <row r="12" spans="1:64" ht="15">
      <c r="A12" s="85"/>
      <c r="B12" s="80"/>
      <c r="C12" s="80"/>
      <c r="D12" s="80"/>
      <c r="E12" s="80"/>
      <c r="F12" s="80"/>
      <c r="G12" s="80"/>
      <c r="H12" s="80"/>
      <c r="I12" s="91"/>
      <c r="J12" s="80"/>
      <c r="K12" s="80"/>
      <c r="L12" s="77"/>
      <c r="M12" s="77"/>
      <c r="N12" s="78"/>
      <c r="O12" s="77"/>
      <c r="P12" s="77"/>
      <c r="Q12" s="77"/>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row>
    <row r="13" spans="1:64" ht="15.75" thickBot="1">
      <c r="A13" s="85" t="s">
        <v>54</v>
      </c>
      <c r="B13" s="79" t="s">
        <v>60</v>
      </c>
      <c r="C13" s="84" t="s">
        <v>61</v>
      </c>
      <c r="D13" s="90" t="s">
        <v>606</v>
      </c>
      <c r="E13" s="84"/>
      <c r="F13" s="93" t="s">
        <v>62</v>
      </c>
      <c r="G13" s="93"/>
      <c r="H13" s="80"/>
      <c r="I13" s="91"/>
      <c r="J13" s="80"/>
      <c r="K13" s="80"/>
      <c r="L13" s="77"/>
      <c r="M13" s="77"/>
      <c r="N13" s="78"/>
      <c r="O13" s="77"/>
      <c r="P13" s="77"/>
      <c r="Q13" s="77"/>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row>
    <row r="14" spans="1:64" ht="15">
      <c r="A14" s="85">
        <v>2</v>
      </c>
      <c r="B14" s="79" t="s">
        <v>63</v>
      </c>
      <c r="C14" s="84" t="s">
        <v>64</v>
      </c>
      <c r="D14" s="84">
        <f>I261</f>
        <v>2599</v>
      </c>
      <c r="E14" s="84"/>
      <c r="F14" s="84" t="s">
        <v>65</v>
      </c>
      <c r="G14" s="94">
        <f>I220</f>
        <v>1</v>
      </c>
      <c r="H14" s="84"/>
      <c r="I14" s="84">
        <f>+G14*D14</f>
        <v>2599</v>
      </c>
      <c r="J14" s="80"/>
      <c r="K14" s="80"/>
      <c r="L14" s="77"/>
      <c r="M14" s="77"/>
      <c r="N14" s="78"/>
      <c r="O14" s="77"/>
      <c r="P14" s="77"/>
      <c r="Q14" s="77"/>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row>
    <row r="15" spans="1:64" ht="15">
      <c r="A15" s="85">
        <v>3</v>
      </c>
      <c r="B15" s="79" t="s">
        <v>625</v>
      </c>
      <c r="C15" s="84" t="s">
        <v>66</v>
      </c>
      <c r="D15" s="84">
        <f>I268</f>
        <v>23391.489999999991</v>
      </c>
      <c r="E15" s="84"/>
      <c r="F15" s="84" t="str">
        <f>+F14</f>
        <v>TP</v>
      </c>
      <c r="G15" s="94">
        <f>+G14</f>
        <v>1</v>
      </c>
      <c r="H15" s="84"/>
      <c r="I15" s="84">
        <f>+G15*D15</f>
        <v>23391.489999999991</v>
      </c>
      <c r="J15" s="80"/>
      <c r="K15" s="80"/>
      <c r="L15" s="77"/>
      <c r="M15" s="95"/>
      <c r="N15" s="96"/>
      <c r="O15" s="97"/>
      <c r="P15" s="97"/>
      <c r="Q15" s="97"/>
      <c r="R15" s="96"/>
      <c r="S15" s="96"/>
      <c r="T15" s="96"/>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row>
    <row r="16" spans="1:64" ht="15">
      <c r="A16" s="85">
        <v>4</v>
      </c>
      <c r="B16" s="79" t="s">
        <v>67</v>
      </c>
      <c r="C16" s="84"/>
      <c r="D16" s="98">
        <v>0</v>
      </c>
      <c r="E16" s="84"/>
      <c r="F16" s="84" t="s">
        <v>65</v>
      </c>
      <c r="G16" s="94">
        <f>+G14</f>
        <v>1</v>
      </c>
      <c r="H16" s="84"/>
      <c r="I16" s="84">
        <f>+G16*D16</f>
        <v>0</v>
      </c>
      <c r="J16" s="80"/>
      <c r="K16" s="80"/>
      <c r="L16" s="77"/>
      <c r="M16" s="99"/>
      <c r="N16" s="96"/>
      <c r="O16" s="97"/>
      <c r="P16" s="97"/>
      <c r="Q16" s="97"/>
      <c r="R16" s="96"/>
      <c r="S16" s="96"/>
      <c r="T16" s="96"/>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row>
    <row r="17" spans="1:64" ht="15.75" thickBot="1">
      <c r="A17" s="85">
        <v>5</v>
      </c>
      <c r="B17" s="79" t="s">
        <v>68</v>
      </c>
      <c r="C17" s="84"/>
      <c r="D17" s="98">
        <v>0</v>
      </c>
      <c r="E17" s="84"/>
      <c r="F17" s="84" t="s">
        <v>65</v>
      </c>
      <c r="G17" s="94">
        <f>+G14</f>
        <v>1</v>
      </c>
      <c r="H17" s="84"/>
      <c r="I17" s="100">
        <f>+G17*D17</f>
        <v>0</v>
      </c>
      <c r="J17" s="80"/>
      <c r="K17" s="80"/>
      <c r="L17" s="77"/>
      <c r="M17" s="99"/>
      <c r="N17" s="96"/>
      <c r="O17" s="97"/>
      <c r="P17" s="97"/>
      <c r="Q17" s="97"/>
      <c r="R17" s="96"/>
      <c r="S17" s="96"/>
      <c r="T17" s="96"/>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row>
    <row r="18" spans="1:64" ht="15">
      <c r="A18" s="85">
        <v>6</v>
      </c>
      <c r="B18" s="79" t="s">
        <v>69</v>
      </c>
      <c r="C18" s="80"/>
      <c r="D18" s="101" t="s">
        <v>54</v>
      </c>
      <c r="E18" s="84"/>
      <c r="F18" s="84"/>
      <c r="G18" s="94"/>
      <c r="H18" s="84"/>
      <c r="I18" s="84">
        <f>SUM(I14:I17)</f>
        <v>25990.489999999991</v>
      </c>
      <c r="J18" s="80"/>
      <c r="K18" s="80"/>
      <c r="L18" s="77"/>
      <c r="M18" s="97"/>
      <c r="N18" s="96"/>
      <c r="O18" s="97"/>
      <c r="P18" s="97"/>
      <c r="Q18" s="97"/>
      <c r="R18" s="96"/>
      <c r="S18" s="96"/>
      <c r="T18" s="96"/>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row>
    <row r="19" spans="1:64" s="433" customFormat="1" ht="15">
      <c r="A19" s="440"/>
      <c r="B19" s="436"/>
      <c r="C19" s="437"/>
      <c r="D19" s="445"/>
      <c r="E19" s="439"/>
      <c r="F19" s="439"/>
      <c r="G19" s="441"/>
      <c r="H19" s="439"/>
      <c r="I19" s="439"/>
      <c r="J19" s="437"/>
      <c r="K19" s="437"/>
      <c r="L19" s="434"/>
      <c r="M19" s="444"/>
      <c r="N19" s="443"/>
      <c r="O19" s="444"/>
      <c r="P19" s="444"/>
      <c r="Q19" s="444"/>
      <c r="R19" s="443"/>
      <c r="S19" s="443"/>
      <c r="T19" s="443"/>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5"/>
      <c r="AR19" s="435"/>
      <c r="AS19" s="435"/>
      <c r="AT19" s="435"/>
      <c r="AU19" s="435"/>
      <c r="AV19" s="435"/>
      <c r="AW19" s="435"/>
      <c r="AX19" s="435"/>
      <c r="AY19" s="435"/>
      <c r="AZ19" s="435"/>
      <c r="BA19" s="435"/>
      <c r="BB19" s="435"/>
      <c r="BC19" s="435"/>
      <c r="BD19" s="435"/>
      <c r="BE19" s="435"/>
      <c r="BF19" s="435"/>
      <c r="BG19" s="435"/>
      <c r="BH19" s="435"/>
      <c r="BI19" s="435"/>
      <c r="BJ19" s="435"/>
      <c r="BK19" s="435"/>
      <c r="BL19" s="435"/>
    </row>
    <row r="20" spans="1:64" s="433" customFormat="1" ht="15.75">
      <c r="A20" s="506" t="s">
        <v>743</v>
      </c>
      <c r="B20" s="354" t="s">
        <v>744</v>
      </c>
      <c r="C20" s="456"/>
      <c r="D20" s="456"/>
      <c r="E20" s="456"/>
      <c r="F20" s="456"/>
      <c r="G20" s="456"/>
      <c r="H20" s="456"/>
      <c r="I20" s="507">
        <v>0</v>
      </c>
      <c r="J20" s="437"/>
      <c r="K20" s="437"/>
      <c r="L20" s="434"/>
      <c r="M20" s="444"/>
      <c r="N20" s="443"/>
      <c r="O20" s="444"/>
      <c r="P20" s="444"/>
      <c r="Q20" s="444"/>
      <c r="R20" s="443"/>
      <c r="S20" s="443"/>
      <c r="T20" s="443"/>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35"/>
      <c r="AS20" s="435"/>
      <c r="AT20" s="435"/>
      <c r="AU20" s="435"/>
      <c r="AV20" s="435"/>
      <c r="AW20" s="435"/>
      <c r="AX20" s="435"/>
      <c r="AY20" s="435"/>
      <c r="AZ20" s="435"/>
      <c r="BA20" s="435"/>
      <c r="BB20" s="435"/>
      <c r="BC20" s="435"/>
      <c r="BD20" s="435"/>
      <c r="BE20" s="435"/>
      <c r="BF20" s="435"/>
      <c r="BG20" s="435"/>
      <c r="BH20" s="435"/>
      <c r="BI20" s="435"/>
      <c r="BJ20" s="435"/>
      <c r="BK20" s="435"/>
      <c r="BL20" s="435"/>
    </row>
    <row r="21" spans="1:64" s="433" customFormat="1" ht="15.75">
      <c r="A21" s="506" t="s">
        <v>745</v>
      </c>
      <c r="B21" s="354" t="s">
        <v>746</v>
      </c>
      <c r="C21" s="456"/>
      <c r="D21" s="456"/>
      <c r="E21" s="456"/>
      <c r="F21" s="456"/>
      <c r="G21" s="456"/>
      <c r="H21" s="456"/>
      <c r="I21" s="507">
        <v>0</v>
      </c>
      <c r="J21" s="437"/>
      <c r="K21" s="437"/>
      <c r="L21" s="434"/>
      <c r="M21" s="444"/>
      <c r="N21" s="443"/>
      <c r="O21" s="444"/>
      <c r="P21" s="444"/>
      <c r="Q21" s="444"/>
      <c r="R21" s="443"/>
      <c r="S21" s="443"/>
      <c r="T21" s="443"/>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5"/>
      <c r="AY21" s="435"/>
      <c r="AZ21" s="435"/>
      <c r="BA21" s="435"/>
      <c r="BB21" s="435"/>
      <c r="BC21" s="435"/>
      <c r="BD21" s="435"/>
      <c r="BE21" s="435"/>
      <c r="BF21" s="435"/>
      <c r="BG21" s="435"/>
      <c r="BH21" s="435"/>
      <c r="BI21" s="435"/>
      <c r="BJ21" s="435"/>
      <c r="BK21" s="435"/>
      <c r="BL21" s="435"/>
    </row>
    <row r="22" spans="1:64" s="433" customFormat="1" ht="16.5" thickBot="1">
      <c r="A22" s="506" t="s">
        <v>747</v>
      </c>
      <c r="B22" s="354" t="s">
        <v>748</v>
      </c>
      <c r="C22" s="456"/>
      <c r="D22" s="456"/>
      <c r="E22" s="456"/>
      <c r="F22" s="456"/>
      <c r="G22" s="456"/>
      <c r="H22" s="456"/>
      <c r="I22" s="508">
        <f>I20+I21</f>
        <v>0</v>
      </c>
      <c r="J22" s="437"/>
      <c r="K22" s="437"/>
      <c r="L22" s="434"/>
      <c r="M22" s="444"/>
      <c r="N22" s="443"/>
      <c r="O22" s="444"/>
      <c r="P22" s="444"/>
      <c r="Q22" s="444"/>
      <c r="R22" s="443"/>
      <c r="S22" s="443"/>
      <c r="T22" s="443"/>
      <c r="U22" s="435"/>
      <c r="V22" s="435"/>
      <c r="W22" s="435"/>
      <c r="X22" s="435"/>
      <c r="Y22" s="435"/>
      <c r="Z22" s="435"/>
      <c r="AA22" s="435"/>
      <c r="AB22" s="435"/>
      <c r="AC22" s="435"/>
      <c r="AD22" s="435"/>
      <c r="AE22" s="435"/>
      <c r="AF22" s="435"/>
      <c r="AG22" s="435"/>
      <c r="AH22" s="435"/>
      <c r="AI22" s="435"/>
      <c r="AJ22" s="435"/>
      <c r="AK22" s="435"/>
      <c r="AL22" s="435"/>
      <c r="AM22" s="435"/>
      <c r="AN22" s="435"/>
      <c r="AO22" s="435"/>
      <c r="AP22" s="435"/>
      <c r="AQ22" s="435"/>
      <c r="AR22" s="435"/>
      <c r="AS22" s="435"/>
      <c r="AT22" s="435"/>
      <c r="AU22" s="435"/>
      <c r="AV22" s="435"/>
      <c r="AW22" s="435"/>
      <c r="AX22" s="435"/>
      <c r="AY22" s="435"/>
      <c r="AZ22" s="435"/>
      <c r="BA22" s="435"/>
      <c r="BB22" s="435"/>
      <c r="BC22" s="435"/>
      <c r="BD22" s="435"/>
      <c r="BE22" s="435"/>
      <c r="BF22" s="435"/>
      <c r="BG22" s="435"/>
      <c r="BH22" s="435"/>
      <c r="BI22" s="435"/>
      <c r="BJ22" s="435"/>
      <c r="BK22" s="435"/>
      <c r="BL22" s="435"/>
    </row>
    <row r="23" spans="1:64" ht="15">
      <c r="A23" s="440"/>
      <c r="B23" s="433"/>
      <c r="C23" s="437"/>
      <c r="D23" s="439" t="s">
        <v>54</v>
      </c>
      <c r="E23" s="437"/>
      <c r="F23" s="437"/>
      <c r="G23" s="441"/>
      <c r="H23" s="437"/>
      <c r="I23" s="433"/>
      <c r="J23" s="80"/>
      <c r="K23" s="80"/>
      <c r="L23" s="77"/>
      <c r="M23" s="97"/>
      <c r="N23" s="96"/>
      <c r="O23" s="97"/>
      <c r="P23" s="97"/>
      <c r="Q23" s="97"/>
      <c r="R23" s="96"/>
      <c r="S23" s="96"/>
      <c r="T23" s="96"/>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row>
    <row r="24" spans="1:64" ht="15.75" thickBot="1">
      <c r="A24" s="440">
        <v>7</v>
      </c>
      <c r="B24" s="503" t="s">
        <v>70</v>
      </c>
      <c r="C24" s="437" t="s">
        <v>749</v>
      </c>
      <c r="D24" s="445" t="s">
        <v>54</v>
      </c>
      <c r="E24" s="439"/>
      <c r="F24" s="439"/>
      <c r="G24" s="439"/>
      <c r="H24" s="439"/>
      <c r="I24" s="103">
        <f>+I11-I18+I22</f>
        <v>228426.20372748078</v>
      </c>
      <c r="J24" s="80"/>
      <c r="K24" s="80"/>
      <c r="L24" s="77"/>
      <c r="M24" s="97" t="s">
        <v>54</v>
      </c>
      <c r="N24" s="96" t="s">
        <v>54</v>
      </c>
      <c r="O24" s="97"/>
      <c r="P24" s="97"/>
      <c r="Q24" s="97"/>
      <c r="R24" s="96"/>
      <c r="S24" s="96"/>
      <c r="T24" s="96"/>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row>
    <row r="25" spans="1:64" s="433" customFormat="1" ht="15.75" thickTop="1">
      <c r="A25" s="440"/>
      <c r="B25" s="436"/>
      <c r="C25" s="437"/>
      <c r="D25" s="445"/>
      <c r="E25" s="439"/>
      <c r="F25" s="439"/>
      <c r="G25" s="439"/>
      <c r="H25" s="439"/>
      <c r="I25" s="427"/>
      <c r="J25" s="437"/>
      <c r="K25" s="437"/>
      <c r="L25" s="434"/>
      <c r="M25" s="444"/>
      <c r="N25" s="443"/>
      <c r="O25" s="444"/>
      <c r="P25" s="444"/>
      <c r="Q25" s="444"/>
      <c r="R25" s="443"/>
      <c r="S25" s="443"/>
      <c r="T25" s="443"/>
      <c r="U25" s="435"/>
      <c r="V25" s="435"/>
      <c r="W25" s="435"/>
      <c r="X25" s="435"/>
      <c r="Y25" s="435"/>
      <c r="Z25" s="435"/>
      <c r="AA25" s="435"/>
      <c r="AB25" s="435"/>
      <c r="AC25" s="435"/>
      <c r="AD25" s="435"/>
      <c r="AE25" s="435"/>
      <c r="AF25" s="435"/>
      <c r="AG25" s="435"/>
      <c r="AH25" s="435"/>
      <c r="AI25" s="435"/>
      <c r="AJ25" s="435"/>
      <c r="AK25" s="435"/>
      <c r="AL25" s="435"/>
      <c r="AM25" s="435"/>
      <c r="AN25" s="435"/>
      <c r="AO25" s="435"/>
      <c r="AP25" s="435"/>
      <c r="AQ25" s="435"/>
      <c r="AR25" s="435"/>
      <c r="AS25" s="435"/>
      <c r="AT25" s="435"/>
      <c r="AU25" s="435"/>
      <c r="AV25" s="435"/>
      <c r="AW25" s="435"/>
      <c r="AX25" s="435"/>
      <c r="AY25" s="435"/>
      <c r="AZ25" s="435"/>
      <c r="BA25" s="435"/>
      <c r="BB25" s="435"/>
      <c r="BC25" s="435"/>
      <c r="BD25" s="435"/>
      <c r="BE25" s="435"/>
      <c r="BF25" s="435"/>
      <c r="BG25" s="435"/>
      <c r="BH25" s="435"/>
      <c r="BI25" s="435"/>
      <c r="BJ25" s="435"/>
      <c r="BK25" s="435"/>
      <c r="BL25" s="435"/>
    </row>
    <row r="26" spans="1:64" ht="15">
      <c r="A26" s="85" t="s">
        <v>54</v>
      </c>
      <c r="B26" s="79" t="s">
        <v>71</v>
      </c>
      <c r="C26" s="80"/>
      <c r="D26" s="91"/>
      <c r="E26" s="80"/>
      <c r="F26" s="80"/>
      <c r="G26" s="80"/>
      <c r="H26" s="80"/>
      <c r="I26" s="91"/>
      <c r="J26" s="80"/>
      <c r="K26" s="80"/>
      <c r="L26" s="77"/>
      <c r="M26" s="97"/>
      <c r="N26" s="96"/>
      <c r="O26" s="97"/>
      <c r="P26" s="97"/>
      <c r="Q26" s="97"/>
      <c r="R26" s="96"/>
      <c r="S26" s="96"/>
      <c r="T26" s="96"/>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row>
    <row r="27" spans="1:64" ht="15">
      <c r="A27" s="85">
        <v>8</v>
      </c>
      <c r="B27" s="79" t="s">
        <v>72</v>
      </c>
      <c r="C27" s="102"/>
      <c r="D27" s="91"/>
      <c r="E27" s="80"/>
      <c r="F27" s="80"/>
      <c r="G27" s="80" t="s">
        <v>73</v>
      </c>
      <c r="H27" s="80"/>
      <c r="I27" s="98">
        <f>'BES6_13 CP Load Data'!T3*1000</f>
        <v>8928.3333333333321</v>
      </c>
      <c r="J27" s="80"/>
      <c r="K27" s="104"/>
      <c r="L27" s="77"/>
      <c r="M27" s="105"/>
      <c r="N27" s="96"/>
      <c r="O27" s="95"/>
      <c r="P27" s="97"/>
      <c r="Q27" s="97"/>
      <c r="R27" s="96"/>
      <c r="S27" s="96"/>
      <c r="T27" s="96"/>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row>
    <row r="28" spans="1:64" ht="15">
      <c r="A28" s="85">
        <v>9</v>
      </c>
      <c r="B28" s="79" t="s">
        <v>74</v>
      </c>
      <c r="C28" s="84"/>
      <c r="D28" s="84"/>
      <c r="E28" s="84"/>
      <c r="F28" s="84"/>
      <c r="G28" s="84" t="s">
        <v>75</v>
      </c>
      <c r="H28" s="84"/>
      <c r="I28" s="98">
        <v>0</v>
      </c>
      <c r="J28" s="80"/>
      <c r="K28" s="80"/>
      <c r="L28" s="77"/>
      <c r="M28" s="97"/>
      <c r="N28" s="96"/>
      <c r="O28" s="95"/>
      <c r="P28" s="97"/>
      <c r="Q28" s="97"/>
      <c r="R28" s="96"/>
      <c r="S28" s="96"/>
      <c r="T28" s="96"/>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row>
    <row r="29" spans="1:64" ht="15">
      <c r="A29" s="85">
        <v>10</v>
      </c>
      <c r="B29" s="79" t="s">
        <v>76</v>
      </c>
      <c r="C29" s="80"/>
      <c r="D29" s="80"/>
      <c r="E29" s="80"/>
      <c r="F29" s="80"/>
      <c r="G29" s="80" t="s">
        <v>77</v>
      </c>
      <c r="H29" s="80"/>
      <c r="I29" s="98">
        <v>0</v>
      </c>
      <c r="J29" s="80"/>
      <c r="K29" s="80"/>
      <c r="L29" s="77"/>
      <c r="M29" s="97"/>
      <c r="N29" s="96"/>
      <c r="O29" s="95"/>
      <c r="P29" s="97"/>
      <c r="Q29" s="97"/>
      <c r="R29" s="96"/>
      <c r="S29" s="96"/>
      <c r="T29" s="96"/>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row>
    <row r="30" spans="1:64" ht="15">
      <c r="A30" s="85">
        <v>11</v>
      </c>
      <c r="B30" s="106" t="s">
        <v>78</v>
      </c>
      <c r="C30" s="80"/>
      <c r="D30" s="80"/>
      <c r="E30" s="80"/>
      <c r="F30" s="80"/>
      <c r="G30" s="80" t="s">
        <v>79</v>
      </c>
      <c r="H30" s="80"/>
      <c r="I30" s="98">
        <v>0</v>
      </c>
      <c r="J30" s="80"/>
      <c r="K30" s="80"/>
      <c r="L30" s="77"/>
      <c r="M30" s="97"/>
      <c r="N30" s="96"/>
      <c r="O30" s="95"/>
      <c r="P30" s="97"/>
      <c r="Q30" s="97"/>
      <c r="R30" s="96"/>
      <c r="S30" s="96"/>
      <c r="T30" s="96"/>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row>
    <row r="31" spans="1:64" ht="15">
      <c r="A31" s="85">
        <v>12</v>
      </c>
      <c r="B31" s="106" t="s">
        <v>80</v>
      </c>
      <c r="C31" s="80"/>
      <c r="D31" s="80"/>
      <c r="E31" s="80"/>
      <c r="F31" s="80"/>
      <c r="G31" s="80"/>
      <c r="H31" s="80"/>
      <c r="I31" s="98">
        <v>0</v>
      </c>
      <c r="J31" s="80"/>
      <c r="K31" s="80"/>
      <c r="L31" s="77"/>
      <c r="M31" s="97"/>
      <c r="N31" s="96"/>
      <c r="O31" s="95"/>
      <c r="P31" s="97"/>
      <c r="Q31" s="97"/>
      <c r="R31" s="96"/>
      <c r="S31" s="96"/>
      <c r="T31" s="96"/>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row>
    <row r="32" spans="1:64" ht="15">
      <c r="A32" s="85">
        <v>13</v>
      </c>
      <c r="B32" s="106" t="s">
        <v>81</v>
      </c>
      <c r="C32" s="80"/>
      <c r="D32" s="80"/>
      <c r="E32" s="80"/>
      <c r="F32" s="80"/>
      <c r="G32" s="80"/>
      <c r="H32" s="80"/>
      <c r="I32" s="107">
        <v>0</v>
      </c>
      <c r="J32" s="80"/>
      <c r="K32" s="80"/>
      <c r="L32" s="77"/>
      <c r="M32" s="97"/>
      <c r="N32" s="96"/>
      <c r="O32" s="95"/>
      <c r="P32" s="97"/>
      <c r="Q32" s="97"/>
      <c r="R32" s="96"/>
      <c r="S32" s="96"/>
      <c r="T32" s="96"/>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row>
    <row r="33" spans="1:64" ht="15.75" thickBot="1">
      <c r="A33" s="85">
        <v>14</v>
      </c>
      <c r="B33" s="79" t="s">
        <v>82</v>
      </c>
      <c r="C33" s="80"/>
      <c r="D33" s="80"/>
      <c r="E33" s="80"/>
      <c r="F33" s="80"/>
      <c r="G33" s="80"/>
      <c r="H33" s="80"/>
      <c r="I33" s="108">
        <v>0</v>
      </c>
      <c r="J33" s="80"/>
      <c r="K33" s="80"/>
      <c r="L33" s="77"/>
      <c r="M33" s="97"/>
      <c r="N33" s="96"/>
      <c r="O33" s="95"/>
      <c r="P33" s="97"/>
      <c r="Q33" s="97"/>
      <c r="R33" s="96"/>
      <c r="S33" s="96"/>
      <c r="T33" s="96"/>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row>
    <row r="34" spans="1:64" ht="15">
      <c r="A34" s="85">
        <v>15</v>
      </c>
      <c r="B34" s="79" t="s">
        <v>83</v>
      </c>
      <c r="C34" s="80"/>
      <c r="D34" s="80"/>
      <c r="E34" s="80"/>
      <c r="F34" s="80"/>
      <c r="G34" s="80"/>
      <c r="H34" s="80"/>
      <c r="I34" s="91">
        <f>SUM(I27:I33)</f>
        <v>8928.3333333333321</v>
      </c>
      <c r="J34" s="80"/>
      <c r="K34" s="80"/>
      <c r="L34" s="77"/>
      <c r="M34" s="97"/>
      <c r="N34" s="96"/>
      <c r="O34" s="95"/>
      <c r="P34" s="97"/>
      <c r="Q34" s="97"/>
      <c r="R34" s="96"/>
      <c r="S34" s="96"/>
      <c r="T34" s="96"/>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row>
    <row r="35" spans="1:64" ht="15">
      <c r="A35" s="85"/>
      <c r="B35" s="79"/>
      <c r="C35" s="80"/>
      <c r="D35" s="80"/>
      <c r="E35" s="80"/>
      <c r="F35" s="80"/>
      <c r="G35" s="80"/>
      <c r="H35" s="80"/>
      <c r="I35" s="91"/>
      <c r="J35" s="80"/>
      <c r="K35" s="80"/>
      <c r="L35" s="77"/>
      <c r="M35" s="97"/>
      <c r="N35" s="96"/>
      <c r="O35" s="97"/>
      <c r="P35" s="97"/>
      <c r="Q35" s="97"/>
      <c r="R35" s="96"/>
      <c r="S35" s="96"/>
      <c r="T35" s="96"/>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row>
    <row r="36" spans="1:64" ht="15">
      <c r="A36" s="85">
        <v>16</v>
      </c>
      <c r="B36" s="79" t="s">
        <v>84</v>
      </c>
      <c r="C36" s="80" t="s">
        <v>85</v>
      </c>
      <c r="D36" s="109">
        <f>IF(I34&gt;0,I24/I34,0)</f>
        <v>25.584417068599681</v>
      </c>
      <c r="E36" s="80"/>
      <c r="F36" s="80"/>
      <c r="G36" s="80"/>
      <c r="H36" s="80"/>
      <c r="I36" s="102"/>
      <c r="J36" s="80"/>
      <c r="K36" s="80"/>
      <c r="L36" s="77"/>
      <c r="M36" s="97"/>
      <c r="N36" s="96"/>
      <c r="O36" s="97"/>
      <c r="P36" s="97"/>
      <c r="Q36" s="97"/>
      <c r="R36" s="96"/>
      <c r="S36" s="96"/>
      <c r="T36" s="96"/>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row>
    <row r="37" spans="1:64" ht="15">
      <c r="A37" s="85">
        <v>17</v>
      </c>
      <c r="B37" s="79" t="s">
        <v>86</v>
      </c>
      <c r="C37" s="80"/>
      <c r="D37" s="109">
        <f>+D36/12</f>
        <v>2.1320347557166399</v>
      </c>
      <c r="E37" s="80"/>
      <c r="F37" s="80"/>
      <c r="G37" s="80"/>
      <c r="H37" s="80"/>
      <c r="I37" s="102"/>
      <c r="J37" s="80"/>
      <c r="K37" s="80"/>
      <c r="L37" s="77"/>
      <c r="M37" s="97"/>
      <c r="N37" s="96"/>
      <c r="O37" s="97"/>
      <c r="P37" s="97"/>
      <c r="Q37" s="97"/>
      <c r="R37" s="96"/>
      <c r="S37" s="96"/>
      <c r="T37" s="96"/>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row>
    <row r="38" spans="1:64" ht="15">
      <c r="A38" s="85"/>
      <c r="B38" s="79"/>
      <c r="C38" s="80"/>
      <c r="D38" s="109"/>
      <c r="E38" s="80"/>
      <c r="F38" s="80"/>
      <c r="G38" s="80"/>
      <c r="H38" s="80"/>
      <c r="I38" s="102"/>
      <c r="J38" s="80"/>
      <c r="K38" s="80"/>
      <c r="L38" s="77"/>
      <c r="M38" s="97"/>
      <c r="N38" s="96"/>
      <c r="O38" s="97"/>
      <c r="P38" s="97"/>
      <c r="Q38" s="97"/>
      <c r="R38" s="96"/>
      <c r="S38" s="96"/>
      <c r="T38" s="96"/>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row>
    <row r="39" spans="1:64" ht="15">
      <c r="A39" s="85"/>
      <c r="B39" s="79"/>
      <c r="C39" s="80"/>
      <c r="D39" s="110" t="s">
        <v>87</v>
      </c>
      <c r="E39" s="80"/>
      <c r="F39" s="80"/>
      <c r="G39" s="80"/>
      <c r="H39" s="80"/>
      <c r="I39" s="111" t="s">
        <v>88</v>
      </c>
      <c r="J39" s="80"/>
      <c r="K39" s="80"/>
      <c r="L39" s="77"/>
      <c r="M39" s="97"/>
      <c r="N39" s="96"/>
      <c r="O39" s="97"/>
      <c r="P39" s="97"/>
      <c r="Q39" s="97"/>
      <c r="R39" s="96"/>
      <c r="S39" s="96"/>
      <c r="T39" s="96"/>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row>
    <row r="40" spans="1:64" ht="15">
      <c r="A40" s="85">
        <v>18</v>
      </c>
      <c r="B40" s="79" t="s">
        <v>89</v>
      </c>
      <c r="C40" s="80" t="s">
        <v>90</v>
      </c>
      <c r="D40" s="109">
        <f>+D36/52</f>
        <v>0.49200802054999387</v>
      </c>
      <c r="E40" s="80"/>
      <c r="F40" s="80"/>
      <c r="G40" s="80"/>
      <c r="H40" s="80"/>
      <c r="I40" s="112">
        <f>+D36/52</f>
        <v>0.49200802054999387</v>
      </c>
      <c r="J40" s="80"/>
      <c r="K40" s="80"/>
      <c r="L40" s="77"/>
      <c r="M40" s="97"/>
      <c r="N40" s="96"/>
      <c r="O40" s="97"/>
      <c r="P40" s="97"/>
      <c r="Q40" s="97"/>
      <c r="R40" s="96"/>
      <c r="S40" s="96"/>
      <c r="T40" s="96"/>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row>
    <row r="41" spans="1:64" ht="15">
      <c r="A41" s="85">
        <v>19</v>
      </c>
      <c r="B41" s="79" t="s">
        <v>91</v>
      </c>
      <c r="C41" s="80" t="s">
        <v>626</v>
      </c>
      <c r="D41" s="109">
        <f>D36/260</f>
        <v>9.8401604109998778E-2</v>
      </c>
      <c r="E41" s="80" t="s">
        <v>92</v>
      </c>
      <c r="F41" s="102"/>
      <c r="G41" s="80"/>
      <c r="H41" s="80"/>
      <c r="I41" s="112">
        <f>D36/365</f>
        <v>7.0094293338629265E-2</v>
      </c>
      <c r="J41" s="80"/>
      <c r="K41" s="80"/>
      <c r="L41" s="77"/>
      <c r="M41" s="97"/>
      <c r="N41" s="96"/>
      <c r="O41" s="97"/>
      <c r="P41" s="97"/>
      <c r="Q41" s="97"/>
      <c r="R41" s="96"/>
      <c r="S41" s="96"/>
      <c r="T41" s="96"/>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row>
    <row r="42" spans="1:64" ht="15">
      <c r="A42" s="85">
        <v>20</v>
      </c>
      <c r="B42" s="79" t="s">
        <v>93</v>
      </c>
      <c r="C42" s="80" t="s">
        <v>627</v>
      </c>
      <c r="D42" s="109">
        <f>D36/4160</f>
        <v>6.1501002568749236E-3</v>
      </c>
      <c r="E42" s="80" t="s">
        <v>94</v>
      </c>
      <c r="F42" s="102"/>
      <c r="G42" s="80"/>
      <c r="H42" s="80"/>
      <c r="I42" s="112">
        <f>D36/8760*1000</f>
        <v>2.9205955557762193</v>
      </c>
      <c r="J42" s="80"/>
      <c r="K42" s="80" t="s">
        <v>54</v>
      </c>
      <c r="L42" s="77"/>
      <c r="M42" s="97"/>
      <c r="N42" s="96"/>
      <c r="O42" s="97"/>
      <c r="P42" s="97"/>
      <c r="Q42" s="97"/>
      <c r="R42" s="96"/>
      <c r="S42" s="96"/>
      <c r="T42" s="96"/>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row>
    <row r="43" spans="1:64" ht="15">
      <c r="A43" s="85"/>
      <c r="B43" s="79"/>
      <c r="C43" s="352" t="s">
        <v>628</v>
      </c>
      <c r="D43" s="80"/>
      <c r="E43" s="80" t="s">
        <v>95</v>
      </c>
      <c r="F43" s="102"/>
      <c r="G43" s="80"/>
      <c r="H43" s="80"/>
      <c r="I43" s="102"/>
      <c r="J43" s="80"/>
      <c r="K43" s="80" t="s">
        <v>54</v>
      </c>
      <c r="L43" s="77"/>
      <c r="M43" s="97"/>
      <c r="N43" s="96"/>
      <c r="O43" s="97"/>
      <c r="P43" s="97"/>
      <c r="Q43" s="97"/>
      <c r="R43" s="96"/>
      <c r="S43" s="96"/>
      <c r="T43" s="96"/>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row>
    <row r="44" spans="1:64" ht="15">
      <c r="A44" s="85"/>
      <c r="B44" s="79"/>
      <c r="C44" s="80"/>
      <c r="D44" s="80"/>
      <c r="E44" s="80"/>
      <c r="F44" s="102"/>
      <c r="G44" s="80"/>
      <c r="H44" s="80"/>
      <c r="I44" s="102"/>
      <c r="J44" s="80"/>
      <c r="K44" s="80" t="s">
        <v>54</v>
      </c>
      <c r="L44" s="77"/>
      <c r="M44" s="97"/>
      <c r="N44" s="96"/>
      <c r="O44" s="97"/>
      <c r="P44" s="97"/>
      <c r="Q44" s="97"/>
      <c r="R44" s="96"/>
      <c r="S44" s="96"/>
      <c r="T44" s="96"/>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row>
    <row r="45" spans="1:64" ht="15">
      <c r="A45" s="85">
        <v>21</v>
      </c>
      <c r="B45" s="79" t="s">
        <v>96</v>
      </c>
      <c r="C45" s="80" t="s">
        <v>97</v>
      </c>
      <c r="D45" s="113">
        <v>0</v>
      </c>
      <c r="E45" s="114" t="s">
        <v>98</v>
      </c>
      <c r="F45" s="114"/>
      <c r="G45" s="114"/>
      <c r="H45" s="114"/>
      <c r="I45" s="114">
        <f>D45</f>
        <v>0</v>
      </c>
      <c r="J45" s="114" t="s">
        <v>98</v>
      </c>
      <c r="K45" s="80"/>
      <c r="L45" s="77"/>
      <c r="M45" s="97"/>
      <c r="N45" s="96"/>
      <c r="O45" s="97"/>
      <c r="P45" s="97"/>
      <c r="Q45" s="97"/>
      <c r="R45" s="96"/>
      <c r="S45" s="96"/>
      <c r="T45" s="96"/>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64" ht="15">
      <c r="A46" s="85">
        <v>22</v>
      </c>
      <c r="B46" s="79"/>
      <c r="C46" s="80"/>
      <c r="D46" s="113">
        <v>0</v>
      </c>
      <c r="E46" s="114" t="s">
        <v>99</v>
      </c>
      <c r="F46" s="114"/>
      <c r="G46" s="114"/>
      <c r="H46" s="114"/>
      <c r="I46" s="114">
        <f>D46</f>
        <v>0</v>
      </c>
      <c r="J46" s="114" t="s">
        <v>99</v>
      </c>
      <c r="K46" s="80"/>
      <c r="L46" s="77"/>
      <c r="M46" s="97"/>
      <c r="N46" s="96"/>
      <c r="O46" s="97"/>
      <c r="P46" s="97"/>
      <c r="Q46" s="97"/>
      <c r="R46" s="96"/>
      <c r="S46" s="96"/>
      <c r="T46" s="96"/>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row>
    <row r="47" spans="1:64" ht="15">
      <c r="J47" s="115"/>
      <c r="K47" s="80"/>
      <c r="L47" s="77"/>
      <c r="M47" s="97"/>
      <c r="N47" s="96"/>
      <c r="O47" s="97"/>
      <c r="P47" s="97"/>
      <c r="Q47" s="97"/>
      <c r="R47" s="96"/>
      <c r="S47" s="96"/>
      <c r="T47" s="96"/>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row>
    <row r="48" spans="1:64" ht="15">
      <c r="A48"/>
      <c r="B48"/>
      <c r="C48"/>
      <c r="D48"/>
      <c r="E48"/>
      <c r="F48"/>
      <c r="G48"/>
      <c r="H48"/>
      <c r="I48"/>
      <c r="J48"/>
      <c r="K48"/>
      <c r="L48"/>
      <c r="M48" s="97"/>
      <c r="N48" s="96"/>
      <c r="O48" s="97"/>
      <c r="P48" s="97"/>
      <c r="Q48" s="97"/>
      <c r="R48" s="96"/>
      <c r="S48" s="96"/>
      <c r="T48" s="96"/>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row>
    <row r="49" spans="1:64" ht="15">
      <c r="A49"/>
      <c r="B49"/>
      <c r="C49"/>
      <c r="D49"/>
      <c r="E49"/>
      <c r="F49"/>
      <c r="G49"/>
      <c r="H49"/>
      <c r="I49"/>
      <c r="J49"/>
      <c r="K49"/>
      <c r="L49"/>
      <c r="M49" s="97"/>
      <c r="N49" s="96"/>
      <c r="O49" s="97"/>
      <c r="P49" s="97"/>
      <c r="Q49" s="97"/>
      <c r="R49" s="96"/>
      <c r="S49" s="96"/>
      <c r="T49" s="96"/>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row>
    <row r="50" spans="1:64" ht="15">
      <c r="A50"/>
      <c r="B50"/>
      <c r="C50"/>
      <c r="D50"/>
      <c r="E50"/>
      <c r="F50"/>
      <c r="G50"/>
      <c r="H50"/>
      <c r="I50"/>
      <c r="J50"/>
      <c r="K50"/>
      <c r="L50"/>
      <c r="M50" s="97"/>
      <c r="N50" s="96"/>
      <c r="O50" s="97"/>
      <c r="P50" s="97"/>
      <c r="Q50" s="97"/>
      <c r="R50" s="96"/>
      <c r="S50" s="96"/>
      <c r="T50" s="96"/>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row>
    <row r="51" spans="1:64" ht="15">
      <c r="A51"/>
      <c r="B51"/>
      <c r="C51"/>
      <c r="D51"/>
      <c r="E51"/>
      <c r="F51"/>
      <c r="G51"/>
      <c r="H51"/>
      <c r="I51"/>
      <c r="J51"/>
      <c r="K51"/>
      <c r="L51"/>
      <c r="M51" s="97"/>
      <c r="N51" s="96"/>
      <c r="O51" s="97"/>
      <c r="P51" s="97"/>
      <c r="Q51" s="97"/>
      <c r="R51" s="96"/>
      <c r="S51" s="96"/>
      <c r="T51" s="96"/>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row>
    <row r="52" spans="1:64" ht="15">
      <c r="A52"/>
      <c r="B52"/>
      <c r="C52"/>
      <c r="D52"/>
      <c r="E52"/>
      <c r="F52"/>
      <c r="G52"/>
      <c r="H52"/>
      <c r="I52"/>
      <c r="J52"/>
      <c r="K52"/>
      <c r="L52"/>
      <c r="M52" s="97"/>
      <c r="N52" s="96"/>
      <c r="O52" s="97"/>
      <c r="P52" s="97"/>
      <c r="Q52" s="97"/>
      <c r="R52" s="96"/>
      <c r="S52" s="96"/>
      <c r="T52" s="96"/>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row>
    <row r="53" spans="1:64" ht="15">
      <c r="A53"/>
      <c r="B53"/>
      <c r="C53"/>
      <c r="D53"/>
      <c r="E53"/>
      <c r="F53"/>
      <c r="G53"/>
      <c r="H53"/>
      <c r="I53"/>
      <c r="J53"/>
      <c r="K53"/>
      <c r="L53"/>
      <c r="M53" s="97"/>
      <c r="N53" s="96"/>
      <c r="O53" s="97"/>
      <c r="P53" s="97"/>
      <c r="Q53" s="97"/>
      <c r="R53" s="96"/>
      <c r="S53" s="96"/>
      <c r="T53" s="96"/>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row>
    <row r="54" spans="1:64" s="433" customFormat="1" ht="15">
      <c r="A54" s="500"/>
      <c r="B54" s="500"/>
      <c r="C54" s="500"/>
      <c r="D54" s="500"/>
      <c r="E54" s="500"/>
      <c r="F54" s="500"/>
      <c r="G54" s="500"/>
      <c r="H54" s="500"/>
      <c r="I54" s="500"/>
      <c r="J54" s="500"/>
      <c r="K54" s="500"/>
      <c r="L54" s="500"/>
      <c r="M54" s="444"/>
      <c r="N54" s="443"/>
      <c r="O54" s="444"/>
      <c r="P54" s="444"/>
      <c r="Q54" s="444"/>
      <c r="R54" s="443"/>
      <c r="S54" s="443"/>
      <c r="T54" s="443"/>
      <c r="U54" s="435"/>
      <c r="V54" s="435"/>
      <c r="W54" s="435"/>
      <c r="X54" s="435"/>
      <c r="Y54" s="435"/>
      <c r="Z54" s="435"/>
      <c r="AA54" s="435"/>
      <c r="AB54" s="435"/>
      <c r="AC54" s="435"/>
      <c r="AD54" s="435"/>
      <c r="AE54" s="435"/>
      <c r="AF54" s="435"/>
      <c r="AG54" s="435"/>
      <c r="AH54" s="435"/>
      <c r="AI54" s="435"/>
      <c r="AJ54" s="435"/>
      <c r="AK54" s="435"/>
      <c r="AL54" s="435"/>
      <c r="AM54" s="435"/>
      <c r="AN54" s="435"/>
      <c r="AO54" s="435"/>
      <c r="AP54" s="435"/>
      <c r="AQ54" s="435"/>
      <c r="AR54" s="435"/>
      <c r="AS54" s="435"/>
      <c r="AT54" s="435"/>
      <c r="AU54" s="435"/>
      <c r="AV54" s="435"/>
      <c r="AW54" s="435"/>
      <c r="AX54" s="435"/>
      <c r="AY54" s="435"/>
      <c r="AZ54" s="435"/>
      <c r="BA54" s="435"/>
      <c r="BB54" s="435"/>
      <c r="BC54" s="435"/>
      <c r="BD54" s="435"/>
      <c r="BE54" s="435"/>
      <c r="BF54" s="435"/>
      <c r="BG54" s="435"/>
      <c r="BH54" s="435"/>
      <c r="BI54" s="435"/>
      <c r="BJ54" s="435"/>
      <c r="BK54" s="435"/>
      <c r="BL54" s="435"/>
    </row>
    <row r="55" spans="1:64" s="433" customFormat="1" ht="15">
      <c r="A55" s="500"/>
      <c r="B55" s="500"/>
      <c r="C55" s="500"/>
      <c r="D55" s="500"/>
      <c r="E55" s="500"/>
      <c r="F55" s="500"/>
      <c r="G55" s="500"/>
      <c r="H55" s="500"/>
      <c r="I55" s="500"/>
      <c r="J55" s="500"/>
      <c r="K55" s="500"/>
      <c r="L55" s="500"/>
      <c r="M55" s="444"/>
      <c r="N55" s="443"/>
      <c r="O55" s="444"/>
      <c r="P55" s="444"/>
      <c r="Q55" s="444"/>
      <c r="R55" s="443"/>
      <c r="S55" s="443"/>
      <c r="T55" s="443"/>
      <c r="U55" s="435"/>
      <c r="V55" s="435"/>
      <c r="W55" s="435"/>
      <c r="X55" s="435"/>
      <c r="Y55" s="435"/>
      <c r="Z55" s="435"/>
      <c r="AA55" s="435"/>
      <c r="AB55" s="435"/>
      <c r="AC55" s="435"/>
      <c r="AD55" s="435"/>
      <c r="AE55" s="435"/>
      <c r="AF55" s="435"/>
      <c r="AG55" s="435"/>
      <c r="AH55" s="435"/>
      <c r="AI55" s="435"/>
      <c r="AJ55" s="435"/>
      <c r="AK55" s="435"/>
      <c r="AL55" s="435"/>
      <c r="AM55" s="435"/>
      <c r="AN55" s="435"/>
      <c r="AO55" s="435"/>
      <c r="AP55" s="435"/>
      <c r="AQ55" s="435"/>
      <c r="AR55" s="435"/>
      <c r="AS55" s="435"/>
      <c r="AT55" s="435"/>
      <c r="AU55" s="435"/>
      <c r="AV55" s="435"/>
      <c r="AW55" s="435"/>
      <c r="AX55" s="435"/>
      <c r="AY55" s="435"/>
      <c r="AZ55" s="435"/>
      <c r="BA55" s="435"/>
      <c r="BB55" s="435"/>
      <c r="BC55" s="435"/>
      <c r="BD55" s="435"/>
      <c r="BE55" s="435"/>
      <c r="BF55" s="435"/>
      <c r="BG55" s="435"/>
      <c r="BH55" s="435"/>
      <c r="BI55" s="435"/>
      <c r="BJ55" s="435"/>
      <c r="BK55" s="435"/>
      <c r="BL55" s="435"/>
    </row>
    <row r="56" spans="1:64" s="433" customFormat="1" ht="15">
      <c r="A56" s="500"/>
      <c r="B56" s="500"/>
      <c r="C56" s="500"/>
      <c r="D56" s="500"/>
      <c r="E56" s="500"/>
      <c r="F56" s="500"/>
      <c r="G56" s="500"/>
      <c r="H56" s="500"/>
      <c r="I56" s="500"/>
      <c r="J56" s="500"/>
      <c r="K56" s="500"/>
      <c r="L56" s="500"/>
      <c r="M56" s="444"/>
      <c r="N56" s="443"/>
      <c r="O56" s="444"/>
      <c r="P56" s="444"/>
      <c r="Q56" s="444"/>
      <c r="R56" s="443"/>
      <c r="S56" s="443"/>
      <c r="T56" s="443"/>
      <c r="U56" s="435"/>
      <c r="V56" s="435"/>
      <c r="W56" s="435"/>
      <c r="X56" s="435"/>
      <c r="Y56" s="435"/>
      <c r="Z56" s="435"/>
      <c r="AA56" s="435"/>
      <c r="AB56" s="435"/>
      <c r="AC56" s="435"/>
      <c r="AD56" s="435"/>
      <c r="AE56" s="435"/>
      <c r="AF56" s="435"/>
      <c r="AG56" s="435"/>
      <c r="AH56" s="435"/>
      <c r="AI56" s="435"/>
      <c r="AJ56" s="435"/>
      <c r="AK56" s="435"/>
      <c r="AL56" s="435"/>
      <c r="AM56" s="435"/>
      <c r="AN56" s="435"/>
      <c r="AO56" s="435"/>
      <c r="AP56" s="435"/>
      <c r="AQ56" s="435"/>
      <c r="AR56" s="435"/>
      <c r="AS56" s="435"/>
      <c r="AT56" s="435"/>
      <c r="AU56" s="435"/>
      <c r="AV56" s="435"/>
      <c r="AW56" s="435"/>
      <c r="AX56" s="435"/>
      <c r="AY56" s="435"/>
      <c r="AZ56" s="435"/>
      <c r="BA56" s="435"/>
      <c r="BB56" s="435"/>
      <c r="BC56" s="435"/>
      <c r="BD56" s="435"/>
      <c r="BE56" s="435"/>
      <c r="BF56" s="435"/>
      <c r="BG56" s="435"/>
      <c r="BH56" s="435"/>
      <c r="BI56" s="435"/>
      <c r="BJ56" s="435"/>
      <c r="BK56" s="435"/>
      <c r="BL56" s="435"/>
    </row>
    <row r="57" spans="1:64" s="433" customFormat="1" ht="15">
      <c r="A57" s="500"/>
      <c r="B57" s="500"/>
      <c r="C57" s="500"/>
      <c r="D57" s="500"/>
      <c r="E57" s="500"/>
      <c r="F57" s="500"/>
      <c r="G57" s="500"/>
      <c r="H57" s="500"/>
      <c r="I57" s="500"/>
      <c r="J57" s="500"/>
      <c r="K57" s="500"/>
      <c r="L57" s="500"/>
      <c r="M57" s="444"/>
      <c r="N57" s="443"/>
      <c r="O57" s="444"/>
      <c r="P57" s="444"/>
      <c r="Q57" s="444"/>
      <c r="R57" s="443"/>
      <c r="S57" s="443"/>
      <c r="T57" s="443"/>
      <c r="U57" s="435"/>
      <c r="V57" s="435"/>
      <c r="W57" s="435"/>
      <c r="X57" s="435"/>
      <c r="Y57" s="435"/>
      <c r="Z57" s="435"/>
      <c r="AA57" s="435"/>
      <c r="AB57" s="435"/>
      <c r="AC57" s="435"/>
      <c r="AD57" s="435"/>
      <c r="AE57" s="435"/>
      <c r="AF57" s="435"/>
      <c r="AG57" s="435"/>
      <c r="AH57" s="435"/>
      <c r="AI57" s="435"/>
      <c r="AJ57" s="435"/>
      <c r="AK57" s="435"/>
      <c r="AL57" s="435"/>
      <c r="AM57" s="435"/>
      <c r="AN57" s="435"/>
      <c r="AO57" s="435"/>
      <c r="AP57" s="435"/>
      <c r="AQ57" s="435"/>
      <c r="AR57" s="435"/>
      <c r="AS57" s="435"/>
      <c r="AT57" s="435"/>
      <c r="AU57" s="435"/>
      <c r="AV57" s="435"/>
      <c r="AW57" s="435"/>
      <c r="AX57" s="435"/>
      <c r="AY57" s="435"/>
      <c r="AZ57" s="435"/>
      <c r="BA57" s="435"/>
      <c r="BB57" s="435"/>
      <c r="BC57" s="435"/>
      <c r="BD57" s="435"/>
      <c r="BE57" s="435"/>
      <c r="BF57" s="435"/>
      <c r="BG57" s="435"/>
      <c r="BH57" s="435"/>
      <c r="BI57" s="435"/>
      <c r="BJ57" s="435"/>
      <c r="BK57" s="435"/>
      <c r="BL57" s="435"/>
    </row>
    <row r="58" spans="1:64" s="433" customFormat="1" ht="15">
      <c r="A58" s="500"/>
      <c r="B58" s="500"/>
      <c r="C58" s="500"/>
      <c r="D58" s="500"/>
      <c r="E58" s="500"/>
      <c r="F58" s="500"/>
      <c r="G58" s="500"/>
      <c r="H58" s="500"/>
      <c r="I58" s="500"/>
      <c r="J58" s="500"/>
      <c r="K58" s="500"/>
      <c r="L58" s="500"/>
      <c r="M58" s="444"/>
      <c r="N58" s="443"/>
      <c r="O58" s="444"/>
      <c r="P58" s="444"/>
      <c r="Q58" s="444"/>
      <c r="R58" s="443"/>
      <c r="S58" s="443"/>
      <c r="T58" s="443"/>
      <c r="U58" s="435"/>
      <c r="V58" s="435"/>
      <c r="W58" s="435"/>
      <c r="X58" s="435"/>
      <c r="Y58" s="435"/>
      <c r="Z58" s="435"/>
      <c r="AA58" s="435"/>
      <c r="AB58" s="435"/>
      <c r="AC58" s="435"/>
      <c r="AD58" s="435"/>
      <c r="AE58" s="435"/>
      <c r="AF58" s="435"/>
      <c r="AG58" s="435"/>
      <c r="AH58" s="435"/>
      <c r="AI58" s="435"/>
      <c r="AJ58" s="435"/>
      <c r="AK58" s="435"/>
      <c r="AL58" s="435"/>
      <c r="AM58" s="435"/>
      <c r="AN58" s="435"/>
      <c r="AO58" s="435"/>
      <c r="AP58" s="435"/>
      <c r="AQ58" s="435"/>
      <c r="AR58" s="435"/>
      <c r="AS58" s="435"/>
      <c r="AT58" s="435"/>
      <c r="AU58" s="435"/>
      <c r="AV58" s="435"/>
      <c r="AW58" s="435"/>
      <c r="AX58" s="435"/>
      <c r="AY58" s="435"/>
      <c r="AZ58" s="435"/>
      <c r="BA58" s="435"/>
      <c r="BB58" s="435"/>
      <c r="BC58" s="435"/>
      <c r="BD58" s="435"/>
      <c r="BE58" s="435"/>
      <c r="BF58" s="435"/>
      <c r="BG58" s="435"/>
      <c r="BH58" s="435"/>
      <c r="BI58" s="435"/>
      <c r="BJ58" s="435"/>
      <c r="BK58" s="435"/>
      <c r="BL58" s="435"/>
    </row>
    <row r="59" spans="1:64" s="433" customFormat="1" ht="15">
      <c r="A59" s="500"/>
      <c r="B59" s="500"/>
      <c r="C59" s="500"/>
      <c r="D59" s="500"/>
      <c r="E59" s="500"/>
      <c r="F59" s="500"/>
      <c r="G59" s="500"/>
      <c r="H59" s="500"/>
      <c r="I59" s="500"/>
      <c r="J59" s="500"/>
      <c r="K59" s="500"/>
      <c r="L59" s="500"/>
      <c r="M59" s="444"/>
      <c r="N59" s="443"/>
      <c r="O59" s="444"/>
      <c r="P59" s="444"/>
      <c r="Q59" s="444"/>
      <c r="R59" s="443"/>
      <c r="S59" s="443"/>
      <c r="T59" s="443"/>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5"/>
      <c r="AY59" s="435"/>
      <c r="AZ59" s="435"/>
      <c r="BA59" s="435"/>
      <c r="BB59" s="435"/>
      <c r="BC59" s="435"/>
      <c r="BD59" s="435"/>
      <c r="BE59" s="435"/>
      <c r="BF59" s="435"/>
      <c r="BG59" s="435"/>
      <c r="BH59" s="435"/>
      <c r="BI59" s="435"/>
      <c r="BJ59" s="435"/>
      <c r="BK59" s="435"/>
      <c r="BL59" s="435"/>
    </row>
    <row r="60" spans="1:64" s="433" customFormat="1" ht="15">
      <c r="A60" s="500"/>
      <c r="B60" s="500"/>
      <c r="C60" s="500"/>
      <c r="D60" s="500"/>
      <c r="E60" s="500"/>
      <c r="F60" s="500"/>
      <c r="G60" s="500"/>
      <c r="H60" s="500"/>
      <c r="I60" s="500"/>
      <c r="J60" s="500"/>
      <c r="K60" s="500"/>
      <c r="L60" s="500"/>
      <c r="M60" s="444"/>
      <c r="N60" s="443"/>
      <c r="O60" s="444"/>
      <c r="P60" s="444"/>
      <c r="Q60" s="444"/>
      <c r="R60" s="443"/>
      <c r="S60" s="443"/>
      <c r="T60" s="443"/>
      <c r="U60" s="435"/>
      <c r="V60" s="435"/>
      <c r="W60" s="435"/>
      <c r="X60" s="435"/>
      <c r="Y60" s="435"/>
      <c r="Z60" s="435"/>
      <c r="AA60" s="435"/>
      <c r="AB60" s="435"/>
      <c r="AC60" s="435"/>
      <c r="AD60" s="435"/>
      <c r="AE60" s="435"/>
      <c r="AF60" s="435"/>
      <c r="AG60" s="435"/>
      <c r="AH60" s="435"/>
      <c r="AI60" s="435"/>
      <c r="AJ60" s="435"/>
      <c r="AK60" s="435"/>
      <c r="AL60" s="435"/>
      <c r="AM60" s="435"/>
      <c r="AN60" s="435"/>
      <c r="AO60" s="435"/>
      <c r="AP60" s="435"/>
      <c r="AQ60" s="435"/>
      <c r="AR60" s="435"/>
      <c r="AS60" s="435"/>
      <c r="AT60" s="435"/>
      <c r="AU60" s="435"/>
      <c r="AV60" s="435"/>
      <c r="AW60" s="435"/>
      <c r="AX60" s="435"/>
      <c r="AY60" s="435"/>
      <c r="AZ60" s="435"/>
      <c r="BA60" s="435"/>
      <c r="BB60" s="435"/>
      <c r="BC60" s="435"/>
      <c r="BD60" s="435"/>
      <c r="BE60" s="435"/>
      <c r="BF60" s="435"/>
      <c r="BG60" s="435"/>
      <c r="BH60" s="435"/>
      <c r="BI60" s="435"/>
      <c r="BJ60" s="435"/>
      <c r="BK60" s="435"/>
      <c r="BL60" s="435"/>
    </row>
    <row r="61" spans="1:64" s="433" customFormat="1" ht="15">
      <c r="A61" s="500"/>
      <c r="B61" s="500"/>
      <c r="C61" s="500"/>
      <c r="D61" s="500"/>
      <c r="E61" s="500"/>
      <c r="F61" s="500"/>
      <c r="G61" s="500"/>
      <c r="H61" s="500"/>
      <c r="I61" s="500"/>
      <c r="J61" s="500"/>
      <c r="K61" s="500"/>
      <c r="L61" s="500"/>
      <c r="M61" s="444"/>
      <c r="N61" s="443"/>
      <c r="O61" s="444"/>
      <c r="P61" s="444"/>
      <c r="Q61" s="444"/>
      <c r="R61" s="443"/>
      <c r="S61" s="443"/>
      <c r="T61" s="443"/>
      <c r="U61" s="435"/>
      <c r="V61" s="435"/>
      <c r="W61" s="435"/>
      <c r="X61" s="435"/>
      <c r="Y61" s="435"/>
      <c r="Z61" s="435"/>
      <c r="AA61" s="435"/>
      <c r="AB61" s="435"/>
      <c r="AC61" s="435"/>
      <c r="AD61" s="435"/>
      <c r="AE61" s="435"/>
      <c r="AF61" s="435"/>
      <c r="AG61" s="435"/>
      <c r="AH61" s="435"/>
      <c r="AI61" s="435"/>
      <c r="AJ61" s="435"/>
      <c r="AK61" s="435"/>
      <c r="AL61" s="435"/>
      <c r="AM61" s="435"/>
      <c r="AN61" s="435"/>
      <c r="AO61" s="435"/>
      <c r="AP61" s="435"/>
      <c r="AQ61" s="435"/>
      <c r="AR61" s="435"/>
      <c r="AS61" s="435"/>
      <c r="AT61" s="435"/>
      <c r="AU61" s="435"/>
      <c r="AV61" s="435"/>
      <c r="AW61" s="435"/>
      <c r="AX61" s="435"/>
      <c r="AY61" s="435"/>
      <c r="AZ61" s="435"/>
      <c r="BA61" s="435"/>
      <c r="BB61" s="435"/>
      <c r="BC61" s="435"/>
      <c r="BD61" s="435"/>
      <c r="BE61" s="435"/>
      <c r="BF61" s="435"/>
      <c r="BG61" s="435"/>
      <c r="BH61" s="435"/>
      <c r="BI61" s="435"/>
      <c r="BJ61" s="435"/>
      <c r="BK61" s="435"/>
      <c r="BL61" s="435"/>
    </row>
    <row r="62" spans="1:64" s="433" customFormat="1" ht="15">
      <c r="A62" s="500"/>
      <c r="B62" s="500"/>
      <c r="C62" s="500"/>
      <c r="D62" s="500"/>
      <c r="E62" s="500"/>
      <c r="F62" s="500"/>
      <c r="G62" s="500"/>
      <c r="H62" s="500"/>
      <c r="I62" s="500"/>
      <c r="J62" s="500"/>
      <c r="K62" s="500"/>
      <c r="L62" s="500"/>
      <c r="M62" s="444"/>
      <c r="N62" s="443"/>
      <c r="O62" s="444"/>
      <c r="P62" s="444"/>
      <c r="Q62" s="444"/>
      <c r="R62" s="443"/>
      <c r="S62" s="443"/>
      <c r="T62" s="443"/>
      <c r="U62" s="435"/>
      <c r="V62" s="435"/>
      <c r="W62" s="435"/>
      <c r="X62" s="435"/>
      <c r="Y62" s="435"/>
      <c r="Z62" s="435"/>
      <c r="AA62" s="435"/>
      <c r="AB62" s="435"/>
      <c r="AC62" s="435"/>
      <c r="AD62" s="435"/>
      <c r="AE62" s="435"/>
      <c r="AF62" s="435"/>
      <c r="AG62" s="435"/>
      <c r="AH62" s="435"/>
      <c r="AI62" s="435"/>
      <c r="AJ62" s="435"/>
      <c r="AK62" s="435"/>
      <c r="AL62" s="435"/>
      <c r="AM62" s="435"/>
      <c r="AN62" s="435"/>
      <c r="AO62" s="435"/>
      <c r="AP62" s="435"/>
      <c r="AQ62" s="435"/>
      <c r="AR62" s="435"/>
      <c r="AS62" s="435"/>
      <c r="AT62" s="435"/>
      <c r="AU62" s="435"/>
      <c r="AV62" s="435"/>
      <c r="AW62" s="435"/>
      <c r="AX62" s="435"/>
      <c r="AY62" s="435"/>
      <c r="AZ62" s="435"/>
      <c r="BA62" s="435"/>
      <c r="BB62" s="435"/>
      <c r="BC62" s="435"/>
      <c r="BD62" s="435"/>
      <c r="BE62" s="435"/>
      <c r="BF62" s="435"/>
      <c r="BG62" s="435"/>
      <c r="BH62" s="435"/>
      <c r="BI62" s="435"/>
      <c r="BJ62" s="435"/>
      <c r="BK62" s="435"/>
      <c r="BL62" s="435"/>
    </row>
    <row r="63" spans="1:64" s="433" customFormat="1" ht="15">
      <c r="A63" s="500"/>
      <c r="B63" s="500"/>
      <c r="C63" s="500"/>
      <c r="D63" s="500"/>
      <c r="E63" s="500"/>
      <c r="F63" s="500"/>
      <c r="G63" s="500"/>
      <c r="H63" s="500"/>
      <c r="I63" s="500"/>
      <c r="J63" s="500"/>
      <c r="K63" s="500"/>
      <c r="L63" s="500"/>
      <c r="M63" s="444"/>
      <c r="N63" s="443"/>
      <c r="O63" s="444"/>
      <c r="P63" s="444"/>
      <c r="Q63" s="444"/>
      <c r="R63" s="443"/>
      <c r="S63" s="443"/>
      <c r="T63" s="443"/>
      <c r="U63" s="435"/>
      <c r="V63" s="435"/>
      <c r="W63" s="435"/>
      <c r="X63" s="435"/>
      <c r="Y63" s="435"/>
      <c r="Z63" s="435"/>
      <c r="AA63" s="435"/>
      <c r="AB63" s="435"/>
      <c r="AC63" s="435"/>
      <c r="AD63" s="435"/>
      <c r="AE63" s="435"/>
      <c r="AF63" s="435"/>
      <c r="AG63" s="435"/>
      <c r="AH63" s="435"/>
      <c r="AI63" s="435"/>
      <c r="AJ63" s="435"/>
      <c r="AK63" s="435"/>
      <c r="AL63" s="435"/>
      <c r="AM63" s="435"/>
      <c r="AN63" s="435"/>
      <c r="AO63" s="435"/>
      <c r="AP63" s="435"/>
      <c r="AQ63" s="435"/>
      <c r="AR63" s="435"/>
      <c r="AS63" s="435"/>
      <c r="AT63" s="435"/>
      <c r="AU63" s="435"/>
      <c r="AV63" s="435"/>
      <c r="AW63" s="435"/>
      <c r="AX63" s="435"/>
      <c r="AY63" s="435"/>
      <c r="AZ63" s="435"/>
      <c r="BA63" s="435"/>
      <c r="BB63" s="435"/>
      <c r="BC63" s="435"/>
      <c r="BD63" s="435"/>
      <c r="BE63" s="435"/>
      <c r="BF63" s="435"/>
      <c r="BG63" s="435"/>
      <c r="BH63" s="435"/>
      <c r="BI63" s="435"/>
      <c r="BJ63" s="435"/>
      <c r="BK63" s="435"/>
      <c r="BL63" s="435"/>
    </row>
    <row r="64" spans="1:64" s="433" customFormat="1" ht="15">
      <c r="A64" s="500"/>
      <c r="B64" s="500"/>
      <c r="C64" s="500"/>
      <c r="D64" s="500"/>
      <c r="E64" s="500"/>
      <c r="F64" s="500"/>
      <c r="G64" s="500"/>
      <c r="H64" s="500"/>
      <c r="I64" s="500"/>
      <c r="J64" s="500"/>
      <c r="K64" s="500"/>
      <c r="L64" s="500"/>
      <c r="M64" s="444"/>
      <c r="N64" s="443"/>
      <c r="O64" s="444"/>
      <c r="P64" s="444"/>
      <c r="Q64" s="444"/>
      <c r="R64" s="443"/>
      <c r="S64" s="443"/>
      <c r="T64" s="443"/>
      <c r="U64" s="435"/>
      <c r="V64" s="435"/>
      <c r="W64" s="435"/>
      <c r="X64" s="435"/>
      <c r="Y64" s="435"/>
      <c r="Z64" s="435"/>
      <c r="AA64" s="435"/>
      <c r="AB64" s="435"/>
      <c r="AC64" s="435"/>
      <c r="AD64" s="435"/>
      <c r="AE64" s="435"/>
      <c r="AF64" s="435"/>
      <c r="AG64" s="435"/>
      <c r="AH64" s="435"/>
      <c r="AI64" s="435"/>
      <c r="AJ64" s="435"/>
      <c r="AK64" s="435"/>
      <c r="AL64" s="435"/>
      <c r="AM64" s="435"/>
      <c r="AN64" s="435"/>
      <c r="AO64" s="435"/>
      <c r="AP64" s="435"/>
      <c r="AQ64" s="435"/>
      <c r="AR64" s="435"/>
      <c r="AS64" s="435"/>
      <c r="AT64" s="435"/>
      <c r="AU64" s="435"/>
      <c r="AV64" s="435"/>
      <c r="AW64" s="435"/>
      <c r="AX64" s="435"/>
      <c r="AY64" s="435"/>
      <c r="AZ64" s="435"/>
      <c r="BA64" s="435"/>
      <c r="BB64" s="435"/>
      <c r="BC64" s="435"/>
      <c r="BD64" s="435"/>
      <c r="BE64" s="435"/>
      <c r="BF64" s="435"/>
      <c r="BG64" s="435"/>
      <c r="BH64" s="435"/>
      <c r="BI64" s="435"/>
      <c r="BJ64" s="435"/>
      <c r="BK64" s="435"/>
      <c r="BL64" s="435"/>
    </row>
    <row r="65" spans="1:64" s="433" customFormat="1" ht="15">
      <c r="A65" s="500"/>
      <c r="B65" s="500"/>
      <c r="C65" s="500"/>
      <c r="D65" s="500"/>
      <c r="E65" s="500"/>
      <c r="F65" s="500"/>
      <c r="G65" s="500"/>
      <c r="H65" s="500"/>
      <c r="I65" s="500"/>
      <c r="J65" s="500"/>
      <c r="K65" s="500"/>
      <c r="L65" s="500"/>
      <c r="M65" s="444"/>
      <c r="N65" s="443"/>
      <c r="O65" s="444"/>
      <c r="P65" s="444"/>
      <c r="Q65" s="444"/>
      <c r="R65" s="443"/>
      <c r="S65" s="443"/>
      <c r="T65" s="443"/>
      <c r="U65" s="435"/>
      <c r="V65" s="435"/>
      <c r="W65" s="435"/>
      <c r="X65" s="435"/>
      <c r="Y65" s="435"/>
      <c r="Z65" s="435"/>
      <c r="AA65" s="435"/>
      <c r="AB65" s="435"/>
      <c r="AC65" s="435"/>
      <c r="AD65" s="435"/>
      <c r="AE65" s="435"/>
      <c r="AF65" s="435"/>
      <c r="AG65" s="435"/>
      <c r="AH65" s="435"/>
      <c r="AI65" s="435"/>
      <c r="AJ65" s="435"/>
      <c r="AK65" s="435"/>
      <c r="AL65" s="435"/>
      <c r="AM65" s="435"/>
      <c r="AN65" s="435"/>
      <c r="AO65" s="435"/>
      <c r="AP65" s="435"/>
      <c r="AQ65" s="435"/>
      <c r="AR65" s="435"/>
      <c r="AS65" s="435"/>
      <c r="AT65" s="435"/>
      <c r="AU65" s="435"/>
      <c r="AV65" s="435"/>
      <c r="AW65" s="435"/>
      <c r="AX65" s="435"/>
      <c r="AY65" s="435"/>
      <c r="AZ65" s="435"/>
      <c r="BA65" s="435"/>
      <c r="BB65" s="435"/>
      <c r="BC65" s="435"/>
      <c r="BD65" s="435"/>
      <c r="BE65" s="435"/>
      <c r="BF65" s="435"/>
      <c r="BG65" s="435"/>
      <c r="BH65" s="435"/>
      <c r="BI65" s="435"/>
      <c r="BJ65" s="435"/>
      <c r="BK65" s="435"/>
      <c r="BL65" s="435"/>
    </row>
    <row r="66" spans="1:64" s="433" customFormat="1" ht="15">
      <c r="A66" s="500"/>
      <c r="B66" s="500"/>
      <c r="C66" s="500"/>
      <c r="D66" s="500"/>
      <c r="E66" s="500"/>
      <c r="F66" s="500"/>
      <c r="G66" s="500"/>
      <c r="H66" s="500"/>
      <c r="I66" s="500"/>
      <c r="J66" s="500"/>
      <c r="K66" s="500"/>
      <c r="L66" s="500"/>
      <c r="M66" s="444"/>
      <c r="N66" s="443"/>
      <c r="O66" s="444"/>
      <c r="P66" s="444"/>
      <c r="Q66" s="444"/>
      <c r="R66" s="443"/>
      <c r="S66" s="443"/>
      <c r="T66" s="443"/>
      <c r="U66" s="435"/>
      <c r="V66" s="435"/>
      <c r="W66" s="435"/>
      <c r="X66" s="435"/>
      <c r="Y66" s="435"/>
      <c r="Z66" s="435"/>
      <c r="AA66" s="435"/>
      <c r="AB66" s="435"/>
      <c r="AC66" s="435"/>
      <c r="AD66" s="435"/>
      <c r="AE66" s="435"/>
      <c r="AF66" s="435"/>
      <c r="AG66" s="435"/>
      <c r="AH66" s="435"/>
      <c r="AI66" s="435"/>
      <c r="AJ66" s="435"/>
      <c r="AK66" s="435"/>
      <c r="AL66" s="435"/>
      <c r="AM66" s="435"/>
      <c r="AN66" s="435"/>
      <c r="AO66" s="435"/>
      <c r="AP66" s="435"/>
      <c r="AQ66" s="435"/>
      <c r="AR66" s="435"/>
      <c r="AS66" s="435"/>
      <c r="AT66" s="435"/>
      <c r="AU66" s="435"/>
      <c r="AV66" s="435"/>
      <c r="AW66" s="435"/>
      <c r="AX66" s="435"/>
      <c r="AY66" s="435"/>
      <c r="AZ66" s="435"/>
      <c r="BA66" s="435"/>
      <c r="BB66" s="435"/>
      <c r="BC66" s="435"/>
      <c r="BD66" s="435"/>
      <c r="BE66" s="435"/>
      <c r="BF66" s="435"/>
      <c r="BG66" s="435"/>
      <c r="BH66" s="435"/>
      <c r="BI66" s="435"/>
      <c r="BJ66" s="435"/>
      <c r="BK66" s="435"/>
      <c r="BL66" s="435"/>
    </row>
    <row r="67" spans="1:64" s="433" customFormat="1" ht="15">
      <c r="A67" s="500"/>
      <c r="B67" s="500"/>
      <c r="C67" s="500"/>
      <c r="D67" s="500"/>
      <c r="E67" s="500"/>
      <c r="F67" s="500"/>
      <c r="G67" s="500"/>
      <c r="H67" s="500"/>
      <c r="I67" s="500"/>
      <c r="J67" s="500"/>
      <c r="K67" s="500"/>
      <c r="L67" s="500"/>
      <c r="M67" s="444"/>
      <c r="N67" s="443"/>
      <c r="O67" s="444"/>
      <c r="P67" s="444"/>
      <c r="Q67" s="444"/>
      <c r="R67" s="443"/>
      <c r="S67" s="443"/>
      <c r="T67" s="443"/>
      <c r="U67" s="435"/>
      <c r="V67" s="435"/>
      <c r="W67" s="435"/>
      <c r="X67" s="435"/>
      <c r="Y67" s="435"/>
      <c r="Z67" s="435"/>
      <c r="AA67" s="435"/>
      <c r="AB67" s="435"/>
      <c r="AC67" s="435"/>
      <c r="AD67" s="435"/>
      <c r="AE67" s="435"/>
      <c r="AF67" s="435"/>
      <c r="AG67" s="435"/>
      <c r="AH67" s="435"/>
      <c r="AI67" s="435"/>
      <c r="AJ67" s="435"/>
      <c r="AK67" s="435"/>
      <c r="AL67" s="435"/>
      <c r="AM67" s="435"/>
      <c r="AN67" s="435"/>
      <c r="AO67" s="435"/>
      <c r="AP67" s="435"/>
      <c r="AQ67" s="435"/>
      <c r="AR67" s="435"/>
      <c r="AS67" s="435"/>
      <c r="AT67" s="435"/>
      <c r="AU67" s="435"/>
      <c r="AV67" s="435"/>
      <c r="AW67" s="435"/>
      <c r="AX67" s="435"/>
      <c r="AY67" s="435"/>
      <c r="AZ67" s="435"/>
      <c r="BA67" s="435"/>
      <c r="BB67" s="435"/>
      <c r="BC67" s="435"/>
      <c r="BD67" s="435"/>
      <c r="BE67" s="435"/>
      <c r="BF67" s="435"/>
      <c r="BG67" s="435"/>
      <c r="BH67" s="435"/>
      <c r="BI67" s="435"/>
      <c r="BJ67" s="435"/>
      <c r="BK67" s="435"/>
      <c r="BL67" s="435"/>
    </row>
    <row r="68" spans="1:64" s="433" customFormat="1" ht="15">
      <c r="A68" s="500"/>
      <c r="B68" s="500"/>
      <c r="C68" s="500"/>
      <c r="D68" s="500"/>
      <c r="E68" s="500"/>
      <c r="F68" s="500"/>
      <c r="G68" s="500"/>
      <c r="H68" s="500"/>
      <c r="I68" s="500"/>
      <c r="J68" s="500"/>
      <c r="K68" s="500"/>
      <c r="L68" s="500"/>
      <c r="M68" s="444"/>
      <c r="N68" s="443"/>
      <c r="O68" s="444"/>
      <c r="P68" s="444"/>
      <c r="Q68" s="444"/>
      <c r="R68" s="443"/>
      <c r="S68" s="443"/>
      <c r="T68" s="443"/>
      <c r="U68" s="435"/>
      <c r="V68" s="435"/>
      <c r="W68" s="435"/>
      <c r="X68" s="435"/>
      <c r="Y68" s="435"/>
      <c r="Z68" s="435"/>
      <c r="AA68" s="435"/>
      <c r="AB68" s="435"/>
      <c r="AC68" s="435"/>
      <c r="AD68" s="435"/>
      <c r="AE68" s="435"/>
      <c r="AF68" s="435"/>
      <c r="AG68" s="435"/>
      <c r="AH68" s="435"/>
      <c r="AI68" s="435"/>
      <c r="AJ68" s="435"/>
      <c r="AK68" s="435"/>
      <c r="AL68" s="435"/>
      <c r="AM68" s="435"/>
      <c r="AN68" s="435"/>
      <c r="AO68" s="435"/>
      <c r="AP68" s="435"/>
      <c r="AQ68" s="435"/>
      <c r="AR68" s="435"/>
      <c r="AS68" s="435"/>
      <c r="AT68" s="435"/>
      <c r="AU68" s="435"/>
      <c r="AV68" s="435"/>
      <c r="AW68" s="435"/>
      <c r="AX68" s="435"/>
      <c r="AY68" s="435"/>
      <c r="AZ68" s="435"/>
      <c r="BA68" s="435"/>
      <c r="BB68" s="435"/>
      <c r="BC68" s="435"/>
      <c r="BD68" s="435"/>
      <c r="BE68" s="435"/>
      <c r="BF68" s="435"/>
      <c r="BG68" s="435"/>
      <c r="BH68" s="435"/>
      <c r="BI68" s="435"/>
      <c r="BJ68" s="435"/>
      <c r="BK68" s="435"/>
      <c r="BL68" s="435"/>
    </row>
    <row r="69" spans="1:64" s="433" customFormat="1" ht="15">
      <c r="A69" s="500"/>
      <c r="B69" s="500"/>
      <c r="C69" s="500"/>
      <c r="D69" s="500"/>
      <c r="E69" s="500"/>
      <c r="F69" s="500"/>
      <c r="G69" s="500"/>
      <c r="H69" s="500"/>
      <c r="I69" s="500"/>
      <c r="J69" s="500"/>
      <c r="K69" s="500"/>
      <c r="L69" s="500"/>
      <c r="M69" s="444"/>
      <c r="N69" s="443"/>
      <c r="O69" s="444"/>
      <c r="P69" s="444"/>
      <c r="Q69" s="444"/>
      <c r="R69" s="443"/>
      <c r="S69" s="443"/>
      <c r="T69" s="443"/>
      <c r="U69" s="435"/>
      <c r="V69" s="435"/>
      <c r="W69" s="435"/>
      <c r="X69" s="435"/>
      <c r="Y69" s="435"/>
      <c r="Z69" s="435"/>
      <c r="AA69" s="435"/>
      <c r="AB69" s="435"/>
      <c r="AC69" s="435"/>
      <c r="AD69" s="435"/>
      <c r="AE69" s="435"/>
      <c r="AF69" s="435"/>
      <c r="AG69" s="435"/>
      <c r="AH69" s="435"/>
      <c r="AI69" s="435"/>
      <c r="AJ69" s="435"/>
      <c r="AK69" s="435"/>
      <c r="AL69" s="435"/>
      <c r="AM69" s="435"/>
      <c r="AN69" s="435"/>
      <c r="AO69" s="435"/>
      <c r="AP69" s="435"/>
      <c r="AQ69" s="435"/>
      <c r="AR69" s="435"/>
      <c r="AS69" s="435"/>
      <c r="AT69" s="435"/>
      <c r="AU69" s="435"/>
      <c r="AV69" s="435"/>
      <c r="AW69" s="435"/>
      <c r="AX69" s="435"/>
      <c r="AY69" s="435"/>
      <c r="AZ69" s="435"/>
      <c r="BA69" s="435"/>
      <c r="BB69" s="435"/>
      <c r="BC69" s="435"/>
      <c r="BD69" s="435"/>
      <c r="BE69" s="435"/>
      <c r="BF69" s="435"/>
      <c r="BG69" s="435"/>
      <c r="BH69" s="435"/>
      <c r="BI69" s="435"/>
      <c r="BJ69" s="435"/>
      <c r="BK69" s="435"/>
      <c r="BL69" s="435"/>
    </row>
    <row r="70" spans="1:64" s="433" customFormat="1" ht="15">
      <c r="A70" s="500"/>
      <c r="B70" s="500"/>
      <c r="C70" s="500"/>
      <c r="D70" s="500"/>
      <c r="E70" s="500"/>
      <c r="F70" s="500"/>
      <c r="G70" s="500"/>
      <c r="H70" s="500"/>
      <c r="I70" s="500"/>
      <c r="J70" s="500"/>
      <c r="K70" s="500"/>
      <c r="L70" s="500"/>
      <c r="M70" s="444"/>
      <c r="N70" s="443"/>
      <c r="O70" s="444"/>
      <c r="P70" s="444"/>
      <c r="Q70" s="444"/>
      <c r="R70" s="443"/>
      <c r="S70" s="443"/>
      <c r="T70" s="443"/>
      <c r="U70" s="435"/>
      <c r="V70" s="435"/>
      <c r="W70" s="435"/>
      <c r="X70" s="435"/>
      <c r="Y70" s="435"/>
      <c r="Z70" s="435"/>
      <c r="AA70" s="435"/>
      <c r="AB70" s="435"/>
      <c r="AC70" s="435"/>
      <c r="AD70" s="435"/>
      <c r="AE70" s="435"/>
      <c r="AF70" s="435"/>
      <c r="AG70" s="435"/>
      <c r="AH70" s="435"/>
      <c r="AI70" s="435"/>
      <c r="AJ70" s="435"/>
      <c r="AK70" s="435"/>
      <c r="AL70" s="435"/>
      <c r="AM70" s="435"/>
      <c r="AN70" s="435"/>
      <c r="AO70" s="435"/>
      <c r="AP70" s="435"/>
      <c r="AQ70" s="435"/>
      <c r="AR70" s="435"/>
      <c r="AS70" s="435"/>
      <c r="AT70" s="435"/>
      <c r="AU70" s="435"/>
      <c r="AV70" s="435"/>
      <c r="AW70" s="435"/>
      <c r="AX70" s="435"/>
      <c r="AY70" s="435"/>
      <c r="AZ70" s="435"/>
      <c r="BA70" s="435"/>
      <c r="BB70" s="435"/>
      <c r="BC70" s="435"/>
      <c r="BD70" s="435"/>
      <c r="BE70" s="435"/>
      <c r="BF70" s="435"/>
      <c r="BG70" s="435"/>
      <c r="BH70" s="435"/>
      <c r="BI70" s="435"/>
      <c r="BJ70" s="435"/>
      <c r="BK70" s="435"/>
      <c r="BL70" s="435"/>
    </row>
    <row r="71" spans="1:64" s="433" customFormat="1" ht="15">
      <c r="A71" s="500"/>
      <c r="B71" s="500"/>
      <c r="C71" s="500"/>
      <c r="D71" s="500"/>
      <c r="E71" s="500"/>
      <c r="F71" s="500"/>
      <c r="G71" s="500"/>
      <c r="H71" s="500"/>
      <c r="I71" s="500"/>
      <c r="J71" s="500"/>
      <c r="K71" s="500"/>
      <c r="L71" s="500"/>
      <c r="M71" s="444"/>
      <c r="N71" s="443"/>
      <c r="O71" s="444"/>
      <c r="P71" s="444"/>
      <c r="Q71" s="444"/>
      <c r="R71" s="443"/>
      <c r="S71" s="443"/>
      <c r="T71" s="443"/>
      <c r="U71" s="435"/>
      <c r="V71" s="435"/>
      <c r="W71" s="435"/>
      <c r="X71" s="435"/>
      <c r="Y71" s="435"/>
      <c r="Z71" s="435"/>
      <c r="AA71" s="435"/>
      <c r="AB71" s="435"/>
      <c r="AC71" s="435"/>
      <c r="AD71" s="435"/>
      <c r="AE71" s="435"/>
      <c r="AF71" s="435"/>
      <c r="AG71" s="435"/>
      <c r="AH71" s="435"/>
      <c r="AI71" s="435"/>
      <c r="AJ71" s="435"/>
      <c r="AK71" s="435"/>
      <c r="AL71" s="435"/>
      <c r="AM71" s="435"/>
      <c r="AN71" s="435"/>
      <c r="AO71" s="435"/>
      <c r="AP71" s="435"/>
      <c r="AQ71" s="435"/>
      <c r="AR71" s="435"/>
      <c r="AS71" s="435"/>
      <c r="AT71" s="435"/>
      <c r="AU71" s="435"/>
      <c r="AV71" s="435"/>
      <c r="AW71" s="435"/>
      <c r="AX71" s="435"/>
      <c r="AY71" s="435"/>
      <c r="AZ71" s="435"/>
      <c r="BA71" s="435"/>
      <c r="BB71" s="435"/>
      <c r="BC71" s="435"/>
      <c r="BD71" s="435"/>
      <c r="BE71" s="435"/>
      <c r="BF71" s="435"/>
      <c r="BG71" s="435"/>
      <c r="BH71" s="435"/>
      <c r="BI71" s="435"/>
      <c r="BJ71" s="435"/>
      <c r="BK71" s="435"/>
      <c r="BL71" s="435"/>
    </row>
    <row r="72" spans="1:64" ht="15">
      <c r="A72"/>
      <c r="B72"/>
      <c r="C72"/>
      <c r="D72"/>
      <c r="E72"/>
      <c r="F72"/>
      <c r="G72"/>
      <c r="H72" s="426" t="str">
        <f>H1</f>
        <v>Attachment O-EIA Non-Levelized Generic</v>
      </c>
      <c r="I72" s="426"/>
      <c r="J72" s="426"/>
      <c r="K72" s="426"/>
      <c r="L72"/>
      <c r="M72"/>
      <c r="N72" s="96"/>
      <c r="O72" s="97"/>
      <c r="P72" s="97"/>
      <c r="Q72" s="97"/>
      <c r="R72" s="96"/>
      <c r="S72" s="96"/>
      <c r="T72" s="96"/>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row>
    <row r="73" spans="1:64" ht="15">
      <c r="B73" s="79"/>
      <c r="C73" s="79"/>
      <c r="D73" s="81"/>
      <c r="E73" s="79"/>
      <c r="F73" s="79"/>
      <c r="G73" s="79"/>
      <c r="H73" s="80"/>
      <c r="I73" s="80"/>
      <c r="J73" s="80"/>
      <c r="K73" s="587" t="s">
        <v>100</v>
      </c>
      <c r="L73" s="587"/>
      <c r="M73" s="97"/>
      <c r="N73" s="96"/>
      <c r="O73" s="97"/>
      <c r="P73" s="97"/>
      <c r="Q73" s="97"/>
      <c r="R73" s="96"/>
      <c r="S73" s="96"/>
      <c r="T73" s="96"/>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row>
    <row r="74" spans="1:64" ht="15">
      <c r="B74" s="80"/>
      <c r="C74" s="80"/>
      <c r="D74" s="80"/>
      <c r="E74" s="80"/>
      <c r="F74" s="80"/>
      <c r="G74" s="80"/>
      <c r="H74" s="80"/>
      <c r="I74" s="80"/>
      <c r="J74" s="80"/>
      <c r="K74" s="80"/>
      <c r="L74" s="77"/>
      <c r="M74" s="97"/>
      <c r="N74" s="96"/>
      <c r="O74" s="97"/>
      <c r="P74" s="97"/>
      <c r="Q74" s="97"/>
      <c r="R74" s="96"/>
      <c r="S74" s="96"/>
      <c r="T74" s="96"/>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row>
    <row r="75" spans="1:64" ht="15">
      <c r="B75" s="79" t="str">
        <f>B4</f>
        <v xml:space="preserve">Formula Rate - Non-Levelized </v>
      </c>
      <c r="C75" s="79"/>
      <c r="D75" s="81" t="str">
        <f>D4</f>
        <v xml:space="preserve">   Rate Formula Template</v>
      </c>
      <c r="E75" s="79"/>
      <c r="F75" s="79"/>
      <c r="G75" s="79"/>
      <c r="H75" s="79"/>
      <c r="I75" s="79" t="str">
        <f>I4</f>
        <v>For the 12 months ended 12/31/14</v>
      </c>
      <c r="J75" s="79"/>
      <c r="K75" s="79"/>
      <c r="L75" s="116"/>
      <c r="M75" s="97"/>
      <c r="N75" s="96"/>
      <c r="O75" s="117"/>
      <c r="P75" s="117"/>
      <c r="Q75" s="117"/>
      <c r="R75" s="96"/>
      <c r="S75" s="96"/>
      <c r="T75" s="96"/>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row>
    <row r="76" spans="1:64" ht="15">
      <c r="B76" s="79"/>
      <c r="C76" s="84" t="s">
        <v>54</v>
      </c>
      <c r="D76" s="84" t="str">
        <f>D5</f>
        <v>Utilizing EIA Form 412 Data</v>
      </c>
      <c r="E76" s="84"/>
      <c r="F76" s="84"/>
      <c r="G76" s="84"/>
      <c r="H76" s="84"/>
      <c r="I76" s="84"/>
      <c r="J76" s="84"/>
      <c r="K76" s="84"/>
      <c r="L76" s="118"/>
      <c r="M76" s="97"/>
      <c r="N76" s="96"/>
      <c r="O76" s="97"/>
      <c r="P76" s="119"/>
      <c r="Q76" s="117"/>
      <c r="R76" s="96"/>
      <c r="S76" s="96"/>
      <c r="T76" s="96"/>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row>
    <row r="77" spans="1:64" ht="15">
      <c r="B77" s="79"/>
      <c r="C77" s="84" t="s">
        <v>54</v>
      </c>
      <c r="D77" s="84" t="s">
        <v>54</v>
      </c>
      <c r="E77" s="84"/>
      <c r="F77" s="84"/>
      <c r="G77" s="84" t="s">
        <v>54</v>
      </c>
      <c r="H77" s="84"/>
      <c r="I77" s="84"/>
      <c r="J77" s="84"/>
      <c r="K77" s="84"/>
      <c r="L77" s="118"/>
      <c r="M77" s="117"/>
      <c r="N77" s="96"/>
      <c r="O77" s="119"/>
      <c r="P77" s="119"/>
      <c r="Q77" s="117"/>
      <c r="R77" s="96"/>
      <c r="S77" s="96"/>
      <c r="T77" s="96"/>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row>
    <row r="78" spans="1:64" ht="15">
      <c r="B78" s="79"/>
      <c r="C78" s="80"/>
      <c r="D78" s="84" t="str">
        <f>D7</f>
        <v>Blue Earth</v>
      </c>
      <c r="E78" s="84"/>
      <c r="F78" s="84"/>
      <c r="G78" s="84"/>
      <c r="H78" s="84"/>
      <c r="I78" s="84"/>
      <c r="J78" s="84"/>
      <c r="K78" s="84"/>
      <c r="L78" s="118"/>
      <c r="M78" s="117"/>
      <c r="N78" s="96"/>
      <c r="O78" s="119"/>
      <c r="P78" s="119"/>
      <c r="Q78" s="117"/>
      <c r="R78" s="96"/>
      <c r="S78" s="96"/>
      <c r="T78" s="96"/>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row>
    <row r="79" spans="1:64" ht="15">
      <c r="B79" s="82" t="s">
        <v>101</v>
      </c>
      <c r="C79" s="82" t="s">
        <v>102</v>
      </c>
      <c r="D79" s="82" t="s">
        <v>103</v>
      </c>
      <c r="E79" s="84" t="s">
        <v>54</v>
      </c>
      <c r="F79" s="84"/>
      <c r="G79" s="120" t="s">
        <v>104</v>
      </c>
      <c r="H79" s="84"/>
      <c r="I79" s="121" t="s">
        <v>105</v>
      </c>
      <c r="J79" s="84"/>
      <c r="K79" s="82"/>
      <c r="L79" s="118"/>
      <c r="M79" s="117"/>
      <c r="N79" s="96"/>
      <c r="O79" s="122"/>
      <c r="P79" s="119"/>
      <c r="Q79" s="117"/>
      <c r="R79" s="96"/>
      <c r="S79" s="96"/>
      <c r="T79" s="96"/>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row>
    <row r="80" spans="1:64" ht="15.75">
      <c r="A80" s="85" t="s">
        <v>56</v>
      </c>
      <c r="B80" s="436"/>
      <c r="C80" s="123" t="s">
        <v>106</v>
      </c>
      <c r="D80" s="84"/>
      <c r="E80" s="84"/>
      <c r="F80" s="84"/>
      <c r="G80" s="82"/>
      <c r="H80" s="84"/>
      <c r="I80" s="124" t="s">
        <v>607</v>
      </c>
      <c r="J80" s="84"/>
      <c r="K80" s="82"/>
      <c r="L80" s="118"/>
      <c r="M80" s="117"/>
      <c r="N80" s="96"/>
      <c r="O80" s="122"/>
      <c r="P80" s="122"/>
      <c r="Q80" s="117"/>
      <c r="R80" s="96"/>
      <c r="S80" s="96"/>
      <c r="T80" s="96"/>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78"/>
    </row>
    <row r="81" spans="1:64" s="433" customFormat="1" ht="16.5" thickBot="1">
      <c r="A81" s="425" t="s">
        <v>58</v>
      </c>
      <c r="B81" s="128" t="s">
        <v>111</v>
      </c>
      <c r="C81" s="125" t="s">
        <v>107</v>
      </c>
      <c r="D81" s="124" t="s">
        <v>108</v>
      </c>
      <c r="E81" s="439"/>
      <c r="F81" s="124" t="s">
        <v>109</v>
      </c>
      <c r="G81" s="438"/>
      <c r="H81" s="439"/>
      <c r="I81" s="127" t="s">
        <v>110</v>
      </c>
      <c r="J81" s="439"/>
      <c r="K81" s="438"/>
      <c r="L81" s="448"/>
      <c r="M81" s="447"/>
      <c r="N81" s="443"/>
      <c r="O81" s="450"/>
      <c r="P81" s="450"/>
      <c r="Q81" s="447"/>
      <c r="R81" s="443"/>
      <c r="S81" s="443"/>
      <c r="T81" s="443"/>
      <c r="U81" s="435"/>
      <c r="V81" s="435"/>
      <c r="W81" s="435"/>
      <c r="X81" s="435"/>
      <c r="Y81" s="435"/>
      <c r="Z81" s="435"/>
      <c r="AA81" s="435"/>
      <c r="AB81" s="43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5"/>
      <c r="AY81" s="435"/>
      <c r="AZ81" s="435"/>
      <c r="BA81" s="435"/>
      <c r="BB81" s="435"/>
      <c r="BC81" s="435"/>
      <c r="BD81" s="435"/>
      <c r="BE81" s="435"/>
      <c r="BF81" s="435"/>
      <c r="BG81" s="435"/>
      <c r="BH81" s="435"/>
      <c r="BI81" s="435"/>
      <c r="BJ81" s="435"/>
      <c r="BK81" s="435"/>
      <c r="BL81" s="435"/>
    </row>
    <row r="82" spans="1:64" ht="15">
      <c r="A82" s="85"/>
      <c r="B82" s="79" t="s">
        <v>649</v>
      </c>
      <c r="C82" s="84"/>
      <c r="D82" s="84"/>
      <c r="E82" s="84"/>
      <c r="F82" s="84"/>
      <c r="G82" s="84"/>
      <c r="H82" s="84"/>
      <c r="I82" s="84"/>
      <c r="J82" s="84"/>
      <c r="K82" s="84"/>
      <c r="L82" s="77"/>
      <c r="M82" s="117"/>
      <c r="N82" s="96"/>
      <c r="O82" s="119"/>
      <c r="P82" s="119"/>
      <c r="Q82" s="117"/>
      <c r="R82" s="96"/>
      <c r="S82" s="96"/>
      <c r="T82" s="96"/>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row>
    <row r="83" spans="1:64" ht="15">
      <c r="A83" s="85">
        <v>1</v>
      </c>
      <c r="B83" s="79" t="s">
        <v>112</v>
      </c>
      <c r="C83" s="84" t="s">
        <v>630</v>
      </c>
      <c r="D83" s="129">
        <f>'EIA412 ELECTRIC PLANT'!G15</f>
        <v>4250576</v>
      </c>
      <c r="E83" s="84"/>
      <c r="F83" s="84" t="s">
        <v>113</v>
      </c>
      <c r="G83" s="130" t="s">
        <v>54</v>
      </c>
      <c r="H83" s="84"/>
      <c r="I83" s="84" t="s">
        <v>54</v>
      </c>
      <c r="J83" s="84"/>
      <c r="K83" s="84"/>
      <c r="L83" s="77"/>
      <c r="M83" s="117"/>
      <c r="N83" s="96"/>
      <c r="O83" s="95"/>
      <c r="P83" s="119"/>
      <c r="Q83" s="117"/>
      <c r="R83" s="96"/>
      <c r="S83" s="96"/>
      <c r="T83" s="96"/>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row>
    <row r="84" spans="1:64" ht="15">
      <c r="A84" s="85">
        <v>2</v>
      </c>
      <c r="B84" s="79" t="s">
        <v>114</v>
      </c>
      <c r="C84" s="84" t="s">
        <v>629</v>
      </c>
      <c r="D84" s="129">
        <f>'EIA412 ELECTRIC PLANT'!G17</f>
        <v>2520033</v>
      </c>
      <c r="E84" s="84"/>
      <c r="F84" s="84" t="s">
        <v>65</v>
      </c>
      <c r="G84" s="130">
        <f>I220</f>
        <v>1</v>
      </c>
      <c r="H84" s="84"/>
      <c r="I84" s="84">
        <f>+G84*D84</f>
        <v>2520033</v>
      </c>
      <c r="J84" s="84"/>
      <c r="K84" s="84"/>
      <c r="L84" s="77"/>
      <c r="M84" s="117"/>
      <c r="N84" s="96"/>
      <c r="O84" s="95"/>
      <c r="P84" s="119"/>
      <c r="Q84" s="117"/>
      <c r="R84" s="96"/>
      <c r="S84" s="96"/>
      <c r="T84" s="96"/>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c r="BI84" s="78"/>
      <c r="BJ84" s="78"/>
      <c r="BK84" s="78"/>
      <c r="BL84" s="78"/>
    </row>
    <row r="85" spans="1:64" ht="15">
      <c r="A85" s="85">
        <v>3</v>
      </c>
      <c r="B85" s="79" t="s">
        <v>115</v>
      </c>
      <c r="C85" s="84" t="s">
        <v>631</v>
      </c>
      <c r="D85" s="129">
        <f>'EIA412 ELECTRIC PLANT'!G18</f>
        <v>9015235</v>
      </c>
      <c r="E85" s="84"/>
      <c r="F85" s="84" t="s">
        <v>113</v>
      </c>
      <c r="G85" s="130" t="s">
        <v>54</v>
      </c>
      <c r="H85" s="84"/>
      <c r="I85" s="84" t="s">
        <v>54</v>
      </c>
      <c r="J85" s="84"/>
      <c r="K85" s="84"/>
      <c r="L85" s="77"/>
      <c r="M85" s="117"/>
      <c r="N85" s="96"/>
      <c r="O85" s="95"/>
      <c r="P85" s="119"/>
      <c r="Q85" s="117"/>
      <c r="R85" s="96"/>
      <c r="S85" s="96"/>
      <c r="T85" s="96"/>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c r="BL85" s="78"/>
    </row>
    <row r="86" spans="1:64" ht="15">
      <c r="A86" s="85">
        <v>4</v>
      </c>
      <c r="B86" s="79" t="s">
        <v>116</v>
      </c>
      <c r="C86" s="84" t="s">
        <v>650</v>
      </c>
      <c r="D86" s="129">
        <f>'EIA412 ELECTRIC PLANT'!G19</f>
        <v>1261309</v>
      </c>
      <c r="E86" s="84"/>
      <c r="F86" s="84" t="s">
        <v>117</v>
      </c>
      <c r="G86" s="130">
        <f>I236</f>
        <v>1.3736891558655394E-2</v>
      </c>
      <c r="H86" s="84"/>
      <c r="I86" s="84">
        <f>+G86*D86</f>
        <v>17326.464954956075</v>
      </c>
      <c r="J86" s="84"/>
      <c r="K86" s="84"/>
      <c r="L86" s="118"/>
      <c r="M86" s="117"/>
      <c r="N86" s="96"/>
      <c r="O86" s="95"/>
      <c r="P86" s="122"/>
      <c r="Q86" s="117"/>
      <c r="R86" s="96"/>
      <c r="S86" s="96"/>
      <c r="T86" s="96"/>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c r="BL86" s="78"/>
    </row>
    <row r="87" spans="1:64" ht="15.75" thickBot="1">
      <c r="A87" s="85">
        <v>5</v>
      </c>
      <c r="B87" s="79" t="s">
        <v>118</v>
      </c>
      <c r="C87" s="84"/>
      <c r="D87" s="131"/>
      <c r="E87" s="84"/>
      <c r="F87" s="84" t="s">
        <v>119</v>
      </c>
      <c r="G87" s="130">
        <f>K240</f>
        <v>1.3736891558655394E-2</v>
      </c>
      <c r="H87" s="84"/>
      <c r="I87" s="100">
        <f>+G87*D87</f>
        <v>0</v>
      </c>
      <c r="J87" s="84"/>
      <c r="K87" s="84"/>
      <c r="L87" s="118"/>
      <c r="M87" s="117"/>
      <c r="N87" s="96"/>
      <c r="O87" s="95"/>
      <c r="P87" s="122"/>
      <c r="Q87" s="117"/>
      <c r="R87" s="96"/>
      <c r="S87" s="96"/>
      <c r="T87" s="96"/>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row>
    <row r="88" spans="1:64" ht="15">
      <c r="A88" s="85">
        <v>6</v>
      </c>
      <c r="B88" s="79" t="s">
        <v>120</v>
      </c>
      <c r="C88" s="84"/>
      <c r="D88" s="84">
        <f>SUM(D83:D87)</f>
        <v>17047153</v>
      </c>
      <c r="E88" s="84"/>
      <c r="F88" s="84" t="s">
        <v>121</v>
      </c>
      <c r="G88" s="132">
        <f>IF(I88&gt;0,I88/D88,0)</f>
        <v>0.14884359077172335</v>
      </c>
      <c r="H88" s="84"/>
      <c r="I88" s="84">
        <f>SUM(I83:I87)</f>
        <v>2537359.464954956</v>
      </c>
      <c r="J88" s="84"/>
      <c r="K88" s="132"/>
      <c r="L88" s="77"/>
      <c r="M88" s="117"/>
      <c r="N88" s="96"/>
      <c r="O88" s="119"/>
      <c r="P88" s="119"/>
      <c r="Q88" s="117"/>
      <c r="R88" s="96"/>
      <c r="S88" s="96"/>
      <c r="T88" s="96"/>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c r="BD88" s="78"/>
      <c r="BE88" s="78"/>
      <c r="BF88" s="78"/>
      <c r="BG88" s="78"/>
      <c r="BH88" s="78"/>
      <c r="BI88" s="78"/>
      <c r="BJ88" s="78"/>
      <c r="BK88" s="78"/>
      <c r="BL88" s="78"/>
    </row>
    <row r="89" spans="1:64" ht="15">
      <c r="B89" s="79"/>
      <c r="C89" s="84"/>
      <c r="D89" s="84"/>
      <c r="E89" s="84"/>
      <c r="F89" s="84"/>
      <c r="G89" s="132"/>
      <c r="H89" s="84"/>
      <c r="I89" s="84"/>
      <c r="J89" s="84"/>
      <c r="K89" s="132"/>
      <c r="L89" s="77"/>
      <c r="M89" s="117"/>
      <c r="N89" s="96"/>
      <c r="O89" s="119"/>
      <c r="P89" s="119"/>
      <c r="Q89" s="117"/>
      <c r="R89" s="96"/>
      <c r="S89" s="96"/>
      <c r="T89" s="96"/>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c r="BI89" s="78"/>
      <c r="BJ89" s="78"/>
      <c r="BK89" s="78"/>
      <c r="BL89" s="78"/>
    </row>
    <row r="90" spans="1:64" ht="15">
      <c r="B90" s="79" t="s">
        <v>651</v>
      </c>
      <c r="C90" s="84"/>
      <c r="D90" s="84"/>
      <c r="E90" s="84"/>
      <c r="F90" s="84"/>
      <c r="G90" s="84"/>
      <c r="H90" s="84"/>
      <c r="I90" s="84"/>
      <c r="J90" s="84"/>
      <c r="K90" s="84"/>
      <c r="L90" s="77"/>
      <c r="M90" s="117"/>
      <c r="N90" s="96"/>
      <c r="O90" s="119"/>
      <c r="P90" s="119"/>
      <c r="Q90" s="117"/>
      <c r="R90" s="96"/>
      <c r="S90" s="96"/>
      <c r="T90" s="96"/>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row>
    <row r="91" spans="1:64" ht="15">
      <c r="A91" s="85">
        <v>7</v>
      </c>
      <c r="B91" s="79" t="str">
        <f>+B83</f>
        <v xml:space="preserve">  Production</v>
      </c>
      <c r="C91" s="102"/>
      <c r="D91" s="133">
        <f>'EIA412 ELECTRIC PLANT'!I15</f>
        <v>2533045</v>
      </c>
      <c r="E91" s="84"/>
      <c r="F91" s="84" t="str">
        <f t="shared" ref="F91:G95" si="0">+F83</f>
        <v>NA</v>
      </c>
      <c r="G91" s="130" t="str">
        <f t="shared" si="0"/>
        <v xml:space="preserve"> </v>
      </c>
      <c r="H91" s="84"/>
      <c r="I91" s="84" t="s">
        <v>54</v>
      </c>
      <c r="J91" s="84"/>
      <c r="K91" s="84"/>
      <c r="L91" s="77"/>
      <c r="M91" s="117"/>
      <c r="N91" s="96"/>
      <c r="O91" s="119"/>
      <c r="P91" s="119"/>
      <c r="Q91" s="117"/>
      <c r="R91" s="96"/>
      <c r="S91" s="96"/>
      <c r="T91" s="96"/>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c r="BL91" s="78"/>
    </row>
    <row r="92" spans="1:64" ht="15">
      <c r="A92" s="85">
        <v>8</v>
      </c>
      <c r="B92" s="79" t="str">
        <f>+B84</f>
        <v xml:space="preserve">  Transmission</v>
      </c>
      <c r="C92" s="102"/>
      <c r="D92" s="133">
        <f>'EIA412 ELECTRIC PLANT'!I17</f>
        <v>2032420</v>
      </c>
      <c r="E92" s="84"/>
      <c r="F92" s="84" t="str">
        <f t="shared" si="0"/>
        <v>TP</v>
      </c>
      <c r="G92" s="130">
        <f t="shared" si="0"/>
        <v>1</v>
      </c>
      <c r="H92" s="84"/>
      <c r="I92" s="84">
        <f>+G92*D92</f>
        <v>2032420</v>
      </c>
      <c r="J92" s="84"/>
      <c r="K92" s="84"/>
      <c r="L92" s="77"/>
      <c r="M92" s="117"/>
      <c r="N92" s="96"/>
      <c r="O92" s="119"/>
      <c r="P92" s="119"/>
      <c r="Q92" s="117"/>
      <c r="R92" s="96"/>
      <c r="S92" s="96"/>
      <c r="T92" s="96"/>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c r="BL92" s="78"/>
    </row>
    <row r="93" spans="1:64" ht="15">
      <c r="A93" s="85">
        <v>9</v>
      </c>
      <c r="B93" s="79" t="str">
        <f>+B85</f>
        <v xml:space="preserve">  Distribution</v>
      </c>
      <c r="C93" s="102"/>
      <c r="D93" s="133">
        <f>'EIA412 ELECTRIC PLANT'!I18</f>
        <v>4298134</v>
      </c>
      <c r="E93" s="84"/>
      <c r="F93" s="84" t="str">
        <f t="shared" si="0"/>
        <v>NA</v>
      </c>
      <c r="G93" s="130" t="str">
        <f t="shared" si="0"/>
        <v xml:space="preserve"> </v>
      </c>
      <c r="H93" s="84"/>
      <c r="I93" s="84" t="s">
        <v>54</v>
      </c>
      <c r="J93" s="84"/>
      <c r="K93" s="84"/>
      <c r="L93" s="77"/>
      <c r="M93" s="117"/>
      <c r="N93" s="96"/>
      <c r="O93" s="119"/>
      <c r="P93" s="119"/>
      <c r="Q93" s="117"/>
      <c r="R93" s="96"/>
      <c r="S93" s="96"/>
      <c r="T93" s="96"/>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c r="BL93" s="78"/>
    </row>
    <row r="94" spans="1:64" ht="15">
      <c r="A94" s="85">
        <v>10</v>
      </c>
      <c r="B94" s="79" t="str">
        <f>+B86</f>
        <v xml:space="preserve">  General &amp; Intangible</v>
      </c>
      <c r="C94" s="102"/>
      <c r="D94" s="133">
        <f>'EIA412 ELECTRIC PLANT'!I19</f>
        <v>542554</v>
      </c>
      <c r="E94" s="84"/>
      <c r="F94" s="84" t="str">
        <f t="shared" si="0"/>
        <v>W/S</v>
      </c>
      <c r="G94" s="130">
        <f t="shared" si="0"/>
        <v>1.3736891558655394E-2</v>
      </c>
      <c r="H94" s="84"/>
      <c r="I94" s="84">
        <f>+G94*D94</f>
        <v>7453.0054627147183</v>
      </c>
      <c r="J94" s="84"/>
      <c r="K94" s="84"/>
      <c r="L94" s="77"/>
      <c r="M94" s="117"/>
      <c r="N94" s="96"/>
      <c r="O94" s="119"/>
      <c r="P94" s="122"/>
      <c r="Q94" s="117"/>
      <c r="R94" s="96"/>
      <c r="S94" s="96"/>
      <c r="T94" s="96"/>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row>
    <row r="95" spans="1:64" ht="15.75" thickBot="1">
      <c r="A95" s="85">
        <v>11</v>
      </c>
      <c r="B95" s="79" t="str">
        <f>+B87</f>
        <v xml:space="preserve">  Common</v>
      </c>
      <c r="C95" s="84"/>
      <c r="D95" s="131">
        <v>0</v>
      </c>
      <c r="E95" s="84"/>
      <c r="F95" s="84" t="str">
        <f t="shared" si="0"/>
        <v>CE</v>
      </c>
      <c r="G95" s="130">
        <f t="shared" si="0"/>
        <v>1.3736891558655394E-2</v>
      </c>
      <c r="H95" s="84"/>
      <c r="I95" s="100">
        <f>+G95*D95</f>
        <v>0</v>
      </c>
      <c r="J95" s="84"/>
      <c r="K95" s="84"/>
      <c r="L95" s="77"/>
      <c r="M95" s="117"/>
      <c r="N95" s="96"/>
      <c r="O95" s="119"/>
      <c r="P95" s="122"/>
      <c r="Q95" s="117"/>
      <c r="R95" s="96"/>
      <c r="S95" s="96"/>
      <c r="T95" s="96"/>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row>
    <row r="96" spans="1:64" ht="15">
      <c r="A96" s="85">
        <v>12</v>
      </c>
      <c r="B96" s="79" t="s">
        <v>122</v>
      </c>
      <c r="C96" s="84"/>
      <c r="D96" s="84">
        <f>SUM(D91:D95)</f>
        <v>9406153</v>
      </c>
      <c r="E96" s="84"/>
      <c r="F96" s="84"/>
      <c r="G96" s="84"/>
      <c r="H96" s="84"/>
      <c r="I96" s="84">
        <f>SUM(I91:I95)</f>
        <v>2039873.0054627147</v>
      </c>
      <c r="J96" s="84"/>
      <c r="K96" s="84"/>
      <c r="L96" s="77"/>
      <c r="M96" s="117"/>
      <c r="N96" s="96"/>
      <c r="O96" s="134"/>
      <c r="P96" s="119"/>
      <c r="Q96" s="117"/>
      <c r="R96" s="96"/>
      <c r="S96" s="96"/>
      <c r="T96" s="96"/>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row>
    <row r="97" spans="1:64" ht="15">
      <c r="A97" s="85"/>
      <c r="C97" s="84" t="s">
        <v>54</v>
      </c>
      <c r="E97" s="84"/>
      <c r="F97" s="84"/>
      <c r="G97" s="132"/>
      <c r="H97" s="84"/>
      <c r="J97" s="84"/>
      <c r="K97" s="132"/>
      <c r="L97" s="77"/>
      <c r="M97" s="117"/>
      <c r="N97" s="96"/>
      <c r="O97" s="119"/>
      <c r="P97" s="119"/>
      <c r="Q97" s="117"/>
      <c r="R97" s="96"/>
      <c r="S97" s="96"/>
      <c r="T97" s="96"/>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row>
    <row r="98" spans="1:64" ht="15">
      <c r="A98" s="85"/>
      <c r="B98" s="79" t="s">
        <v>123</v>
      </c>
      <c r="C98" s="84"/>
      <c r="D98" s="84"/>
      <c r="E98" s="84"/>
      <c r="F98" s="84"/>
      <c r="G98" s="84"/>
      <c r="H98" s="84"/>
      <c r="I98" s="84"/>
      <c r="J98" s="84"/>
      <c r="K98" s="84"/>
      <c r="L98" s="77"/>
      <c r="M98" s="117"/>
      <c r="N98" s="96"/>
      <c r="O98" s="119"/>
      <c r="P98" s="119"/>
      <c r="Q98" s="117"/>
      <c r="R98" s="96"/>
      <c r="S98" s="96"/>
      <c r="T98" s="96"/>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row>
    <row r="99" spans="1:64" ht="15">
      <c r="A99" s="85">
        <v>13</v>
      </c>
      <c r="B99" s="79" t="str">
        <f>+B91</f>
        <v xml:space="preserve">  Production</v>
      </c>
      <c r="C99" s="84" t="s">
        <v>124</v>
      </c>
      <c r="D99" s="84">
        <f>D83-D91</f>
        <v>1717531</v>
      </c>
      <c r="E99" s="84"/>
      <c r="F99" s="84"/>
      <c r="G99" s="132"/>
      <c r="H99" s="84"/>
      <c r="I99" s="84" t="s">
        <v>54</v>
      </c>
      <c r="J99" s="84"/>
      <c r="K99" s="132"/>
      <c r="L99" s="77"/>
      <c r="M99" s="117"/>
      <c r="N99" s="96"/>
      <c r="O99" s="119"/>
      <c r="P99" s="119"/>
      <c r="Q99" s="117"/>
      <c r="R99" s="96"/>
      <c r="S99" s="96"/>
      <c r="T99" s="96"/>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row>
    <row r="100" spans="1:64" ht="15">
      <c r="A100" s="85">
        <v>14</v>
      </c>
      <c r="B100" s="79" t="str">
        <f>+B92</f>
        <v xml:space="preserve">  Transmission</v>
      </c>
      <c r="C100" s="84" t="s">
        <v>125</v>
      </c>
      <c r="D100" s="84">
        <f>D84-D92</f>
        <v>487613</v>
      </c>
      <c r="E100" s="84"/>
      <c r="F100" s="84"/>
      <c r="G100" s="130"/>
      <c r="H100" s="84"/>
      <c r="I100" s="84">
        <f>I84-I92</f>
        <v>487613</v>
      </c>
      <c r="J100" s="84"/>
      <c r="K100" s="132"/>
      <c r="L100" s="77"/>
      <c r="M100" s="117"/>
      <c r="N100" s="96"/>
      <c r="O100" s="119"/>
      <c r="P100" s="119"/>
      <c r="Q100" s="117"/>
      <c r="R100" s="96"/>
      <c r="S100" s="96"/>
      <c r="T100" s="96"/>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row>
    <row r="101" spans="1:64" ht="15">
      <c r="A101" s="85">
        <v>15</v>
      </c>
      <c r="B101" s="79" t="str">
        <f>+B93</f>
        <v xml:space="preserve">  Distribution</v>
      </c>
      <c r="C101" s="84" t="s">
        <v>126</v>
      </c>
      <c r="D101" s="84">
        <f>D85-D93</f>
        <v>4717101</v>
      </c>
      <c r="E101" s="84"/>
      <c r="F101" s="84"/>
      <c r="G101" s="132"/>
      <c r="H101" s="84"/>
      <c r="I101" s="84" t="s">
        <v>54</v>
      </c>
      <c r="J101" s="84"/>
      <c r="K101" s="132"/>
      <c r="L101" s="77"/>
      <c r="M101" s="117"/>
      <c r="N101" s="96"/>
      <c r="O101" s="119"/>
      <c r="P101" s="119"/>
      <c r="Q101" s="117"/>
      <c r="R101" s="96"/>
      <c r="S101" s="96"/>
      <c r="T101" s="96"/>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row>
    <row r="102" spans="1:64" ht="15">
      <c r="A102" s="85">
        <v>16</v>
      </c>
      <c r="B102" s="79" t="str">
        <f>+B94</f>
        <v xml:space="preserve">  General &amp; Intangible</v>
      </c>
      <c r="C102" s="84" t="s">
        <v>127</v>
      </c>
      <c r="D102" s="84">
        <f>D86-D94</f>
        <v>718755</v>
      </c>
      <c r="E102" s="84"/>
      <c r="F102" s="84"/>
      <c r="G102" s="132"/>
      <c r="H102" s="84"/>
      <c r="I102" s="84">
        <f>I86-I94</f>
        <v>9873.4594922413562</v>
      </c>
      <c r="J102" s="84"/>
      <c r="K102" s="132"/>
      <c r="L102" s="77"/>
      <c r="M102" s="117"/>
      <c r="N102" s="96"/>
      <c r="O102" s="119"/>
      <c r="P102" s="122"/>
      <c r="Q102" s="117"/>
      <c r="R102" s="96"/>
      <c r="S102" s="96"/>
      <c r="T102" s="96"/>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row>
    <row r="103" spans="1:64" ht="15.75" thickBot="1">
      <c r="A103" s="85">
        <v>17</v>
      </c>
      <c r="B103" s="79" t="str">
        <f>+B95</f>
        <v xml:space="preserve">  Common</v>
      </c>
      <c r="C103" s="84" t="s">
        <v>128</v>
      </c>
      <c r="D103" s="100">
        <f>D87-D95</f>
        <v>0</v>
      </c>
      <c r="E103" s="84"/>
      <c r="F103" s="84"/>
      <c r="G103" s="132"/>
      <c r="H103" s="84"/>
      <c r="I103" s="100">
        <f>I87-I95</f>
        <v>0</v>
      </c>
      <c r="J103" s="84"/>
      <c r="K103" s="132"/>
      <c r="L103" s="77"/>
      <c r="M103" s="117"/>
      <c r="N103" s="96"/>
      <c r="O103" s="119"/>
      <c r="P103" s="122"/>
      <c r="Q103" s="117"/>
      <c r="R103" s="96"/>
      <c r="S103" s="96"/>
      <c r="T103" s="96"/>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row>
    <row r="104" spans="1:64" ht="15">
      <c r="A104" s="85">
        <v>18</v>
      </c>
      <c r="B104" s="79" t="s">
        <v>129</v>
      </c>
      <c r="C104" s="84"/>
      <c r="D104" s="84">
        <f>SUM(D99:D103)</f>
        <v>7641000</v>
      </c>
      <c r="E104" s="84"/>
      <c r="F104" s="84" t="s">
        <v>130</v>
      </c>
      <c r="G104" s="132">
        <f>IF(I104&gt;0,I104/D104,0)</f>
        <v>6.5107506804376575E-2</v>
      </c>
      <c r="H104" s="84"/>
      <c r="I104" s="84">
        <f>SUM(I99:I103)</f>
        <v>497486.45949224138</v>
      </c>
      <c r="J104" s="84"/>
      <c r="K104" s="84"/>
      <c r="L104" s="77"/>
      <c r="M104" s="117"/>
      <c r="N104" s="96"/>
      <c r="O104" s="135"/>
      <c r="P104" s="119"/>
      <c r="Q104" s="117"/>
      <c r="R104" s="96"/>
      <c r="S104" s="96"/>
      <c r="T104" s="96"/>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row>
    <row r="105" spans="1:64" ht="15">
      <c r="A105" s="85"/>
      <c r="C105" s="84"/>
      <c r="E105" s="84"/>
      <c r="H105" s="84"/>
      <c r="J105" s="84"/>
      <c r="K105" s="132"/>
      <c r="L105" s="77"/>
      <c r="M105" s="117"/>
      <c r="N105" s="96"/>
      <c r="O105" s="119"/>
      <c r="P105" s="119"/>
      <c r="Q105" s="117"/>
      <c r="R105" s="96"/>
      <c r="S105" s="96"/>
      <c r="T105" s="96"/>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row>
    <row r="106" spans="1:64" ht="15">
      <c r="A106" s="85"/>
      <c r="B106" s="79" t="s">
        <v>131</v>
      </c>
      <c r="C106" s="84"/>
      <c r="D106" s="84"/>
      <c r="E106" s="84"/>
      <c r="F106" s="84"/>
      <c r="G106" s="84"/>
      <c r="H106" s="84"/>
      <c r="I106" s="84"/>
      <c r="J106" s="84"/>
      <c r="K106" s="84"/>
      <c r="L106" s="77"/>
      <c r="M106" s="117"/>
      <c r="N106" s="96"/>
      <c r="O106" s="119"/>
      <c r="P106" s="119"/>
      <c r="Q106" s="117"/>
      <c r="R106" s="96"/>
      <c r="S106" s="96"/>
      <c r="T106" s="96"/>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row>
    <row r="107" spans="1:64" ht="15">
      <c r="A107" s="85">
        <v>19</v>
      </c>
      <c r="B107" s="79" t="s">
        <v>132</v>
      </c>
      <c r="C107" s="84"/>
      <c r="D107" s="133">
        <v>0</v>
      </c>
      <c r="E107" s="84"/>
      <c r="F107" s="84"/>
      <c r="G107" s="136" t="s">
        <v>133</v>
      </c>
      <c r="H107" s="84"/>
      <c r="I107" s="84">
        <v>0</v>
      </c>
      <c r="J107" s="84"/>
      <c r="K107" s="132"/>
      <c r="L107" s="77"/>
      <c r="M107" s="117"/>
      <c r="N107" s="96"/>
      <c r="O107" s="137"/>
      <c r="P107" s="122"/>
      <c r="Q107" s="117"/>
      <c r="R107" s="96"/>
      <c r="S107" s="96"/>
      <c r="T107" s="96"/>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row>
    <row r="108" spans="1:64" ht="15">
      <c r="A108" s="85">
        <v>20</v>
      </c>
      <c r="B108" s="79" t="s">
        <v>134</v>
      </c>
      <c r="C108" s="84"/>
      <c r="D108" s="133">
        <v>0</v>
      </c>
      <c r="E108" s="84"/>
      <c r="F108" s="84" t="s">
        <v>135</v>
      </c>
      <c r="G108" s="130">
        <f>+G104</f>
        <v>6.5107506804376575E-2</v>
      </c>
      <c r="H108" s="84"/>
      <c r="I108" s="84">
        <f>D108*G108</f>
        <v>0</v>
      </c>
      <c r="J108" s="84"/>
      <c r="K108" s="132"/>
      <c r="L108" s="77"/>
      <c r="M108" s="117"/>
      <c r="N108" s="96"/>
      <c r="O108" s="137"/>
      <c r="P108" s="122"/>
      <c r="Q108" s="117"/>
      <c r="R108" s="96"/>
      <c r="S108" s="96"/>
      <c r="T108" s="96"/>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row>
    <row r="109" spans="1:64" ht="15">
      <c r="A109" s="85">
        <v>21</v>
      </c>
      <c r="B109" s="79" t="s">
        <v>136</v>
      </c>
      <c r="C109" s="84"/>
      <c r="D109" s="129">
        <v>0</v>
      </c>
      <c r="E109" s="84"/>
      <c r="F109" s="84" t="s">
        <v>135</v>
      </c>
      <c r="G109" s="130">
        <f>+G108</f>
        <v>6.5107506804376575E-2</v>
      </c>
      <c r="H109" s="84"/>
      <c r="I109" s="84">
        <f>D109*G109</f>
        <v>0</v>
      </c>
      <c r="J109" s="84"/>
      <c r="K109" s="132"/>
      <c r="L109" s="77"/>
      <c r="M109" s="117"/>
      <c r="N109" s="96"/>
      <c r="O109" s="137"/>
      <c r="P109" s="122"/>
      <c r="Q109" s="117"/>
      <c r="R109" s="96"/>
      <c r="S109" s="96"/>
      <c r="T109" s="96"/>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row>
    <row r="110" spans="1:64" ht="15">
      <c r="A110" s="85">
        <v>22</v>
      </c>
      <c r="B110" s="79" t="s">
        <v>137</v>
      </c>
      <c r="C110" s="84"/>
      <c r="D110" s="129">
        <v>0</v>
      </c>
      <c r="E110" s="84"/>
      <c r="F110" s="84" t="str">
        <f>+F109</f>
        <v>NP</v>
      </c>
      <c r="G110" s="130">
        <f>+G109</f>
        <v>6.5107506804376575E-2</v>
      </c>
      <c r="H110" s="84"/>
      <c r="I110" s="84">
        <f>D110*G110</f>
        <v>0</v>
      </c>
      <c r="J110" s="84"/>
      <c r="K110" s="132"/>
      <c r="L110" s="77"/>
      <c r="M110" s="117"/>
      <c r="N110" s="96"/>
      <c r="O110" s="137"/>
      <c r="P110" s="122"/>
      <c r="Q110" s="117"/>
      <c r="R110" s="96"/>
      <c r="S110" s="96"/>
      <c r="T110" s="96"/>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row>
    <row r="111" spans="1:64" ht="15.75" thickBot="1">
      <c r="A111" s="85">
        <v>23</v>
      </c>
      <c r="B111" s="363" t="s">
        <v>138</v>
      </c>
      <c r="D111" s="131">
        <v>0</v>
      </c>
      <c r="E111" s="84"/>
      <c r="F111" s="84" t="s">
        <v>135</v>
      </c>
      <c r="G111" s="130">
        <f>+G109</f>
        <v>6.5107506804376575E-2</v>
      </c>
      <c r="H111" s="84"/>
      <c r="I111" s="100">
        <f>D111*G111</f>
        <v>0</v>
      </c>
      <c r="J111" s="84"/>
      <c r="K111" s="84"/>
      <c r="L111" s="77"/>
      <c r="M111" s="117"/>
      <c r="N111" s="96"/>
      <c r="O111" s="134"/>
      <c r="P111" s="119"/>
      <c r="Q111" s="117"/>
      <c r="R111" s="96"/>
      <c r="S111" s="96"/>
      <c r="T111" s="96"/>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row>
    <row r="112" spans="1:64" ht="15">
      <c r="A112" s="85">
        <v>24</v>
      </c>
      <c r="B112" s="79" t="s">
        <v>139</v>
      </c>
      <c r="C112" s="84"/>
      <c r="D112" s="84">
        <f>SUM(D107:D111)</f>
        <v>0</v>
      </c>
      <c r="E112" s="84"/>
      <c r="F112" s="84"/>
      <c r="G112" s="84"/>
      <c r="H112" s="84"/>
      <c r="I112" s="84">
        <f>SUM(I107:I111)</f>
        <v>0</v>
      </c>
      <c r="J112" s="84"/>
      <c r="K112" s="132"/>
      <c r="L112" s="77"/>
      <c r="M112" s="117"/>
      <c r="N112" s="96"/>
      <c r="O112" s="119"/>
      <c r="P112" s="119"/>
      <c r="Q112" s="117"/>
      <c r="R112" s="96"/>
      <c r="S112" s="96"/>
      <c r="T112" s="96"/>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row>
    <row r="113" spans="1:64" ht="15">
      <c r="A113" s="85"/>
      <c r="B113" s="79"/>
      <c r="C113" s="84"/>
      <c r="D113" s="84"/>
      <c r="E113" s="84"/>
      <c r="F113" s="84"/>
      <c r="G113" s="84"/>
      <c r="H113" s="84"/>
      <c r="I113" s="84"/>
      <c r="J113" s="84"/>
      <c r="K113" s="132"/>
      <c r="L113" s="77"/>
      <c r="M113" s="117"/>
      <c r="N113" s="96"/>
      <c r="O113" s="119"/>
      <c r="P113" s="119"/>
      <c r="Q113" s="117"/>
      <c r="R113" s="96"/>
      <c r="S113" s="96"/>
      <c r="T113" s="96"/>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row>
    <row r="114" spans="1:64" ht="15">
      <c r="A114" s="85">
        <v>25</v>
      </c>
      <c r="B114" s="79" t="s">
        <v>140</v>
      </c>
      <c r="C114" s="84" t="s">
        <v>632</v>
      </c>
      <c r="D114" s="133">
        <v>0</v>
      </c>
      <c r="E114" s="84"/>
      <c r="F114" s="84" t="str">
        <f>+F92</f>
        <v>TP</v>
      </c>
      <c r="G114" s="130">
        <f>+G92</f>
        <v>1</v>
      </c>
      <c r="H114" s="84"/>
      <c r="I114" s="84">
        <f>+G114*D114</f>
        <v>0</v>
      </c>
      <c r="J114" s="84"/>
      <c r="K114" s="84"/>
      <c r="L114" s="77"/>
      <c r="M114" s="117"/>
      <c r="N114" s="96"/>
      <c r="O114" s="119"/>
      <c r="P114" s="119"/>
      <c r="Q114" s="117"/>
      <c r="R114" s="96"/>
      <c r="S114" s="96"/>
      <c r="T114" s="96"/>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row>
    <row r="115" spans="1:64" ht="15">
      <c r="A115" s="85"/>
      <c r="B115" s="79"/>
      <c r="C115" s="84"/>
      <c r="D115" s="84"/>
      <c r="E115" s="84"/>
      <c r="F115" s="84"/>
      <c r="G115" s="84"/>
      <c r="H115" s="84"/>
      <c r="I115" s="84"/>
      <c r="J115" s="84"/>
      <c r="K115" s="84"/>
      <c r="L115" s="77"/>
      <c r="M115" s="117"/>
      <c r="N115" s="96"/>
      <c r="O115" s="119"/>
      <c r="P115" s="119"/>
      <c r="Q115" s="117"/>
      <c r="R115" s="96"/>
      <c r="S115" s="96"/>
      <c r="T115" s="96"/>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row>
    <row r="116" spans="1:64" ht="15">
      <c r="A116" s="85"/>
      <c r="B116" s="79" t="s">
        <v>141</v>
      </c>
      <c r="C116" s="84" t="s">
        <v>142</v>
      </c>
      <c r="D116" s="84"/>
      <c r="E116" s="84"/>
      <c r="F116" s="84"/>
      <c r="G116" s="84"/>
      <c r="H116" s="84"/>
      <c r="I116" s="84"/>
      <c r="J116" s="84"/>
      <c r="K116" s="84"/>
      <c r="L116" s="77"/>
      <c r="M116" s="117"/>
      <c r="N116" s="96"/>
      <c r="O116" s="119"/>
      <c r="P116" s="119"/>
      <c r="Q116" s="117"/>
      <c r="R116" s="96"/>
      <c r="S116" s="96"/>
      <c r="T116" s="96"/>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row>
    <row r="117" spans="1:64" ht="15">
      <c r="A117" s="85">
        <v>26</v>
      </c>
      <c r="B117" s="79" t="s">
        <v>143</v>
      </c>
      <c r="D117" s="84">
        <f>D158/8</f>
        <v>80015.805612499986</v>
      </c>
      <c r="E117" s="84"/>
      <c r="F117" s="84"/>
      <c r="G117" s="132"/>
      <c r="H117" s="84"/>
      <c r="I117" s="84">
        <f>I158/8</f>
        <v>15034.067267349043</v>
      </c>
      <c r="J117" s="80"/>
      <c r="K117" s="132"/>
      <c r="L117" s="77"/>
      <c r="M117" s="117"/>
      <c r="N117" s="96"/>
      <c r="O117" s="138"/>
      <c r="P117" s="139"/>
      <c r="Q117" s="117"/>
      <c r="R117" s="96"/>
      <c r="S117" s="96"/>
      <c r="T117" s="96"/>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row>
    <row r="118" spans="1:64" ht="15">
      <c r="A118" s="85">
        <v>27</v>
      </c>
      <c r="B118" s="79" t="s">
        <v>144</v>
      </c>
      <c r="C118" s="102" t="s">
        <v>145</v>
      </c>
      <c r="D118" s="133">
        <v>0</v>
      </c>
      <c r="E118" s="84"/>
      <c r="F118" s="84" t="s">
        <v>146</v>
      </c>
      <c r="G118" s="130">
        <f>I229</f>
        <v>1</v>
      </c>
      <c r="H118" s="84"/>
      <c r="I118" s="84">
        <f>G118*D118</f>
        <v>0</v>
      </c>
      <c r="J118" s="84" t="s">
        <v>54</v>
      </c>
      <c r="K118" s="132"/>
      <c r="L118" s="77"/>
      <c r="M118" s="117"/>
      <c r="N118" s="96"/>
      <c r="O118" s="138"/>
      <c r="P118" s="122"/>
      <c r="Q118" s="117"/>
      <c r="R118" s="96"/>
      <c r="S118" s="96"/>
      <c r="T118" s="96"/>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row>
    <row r="119" spans="1:64" ht="15.75" thickBot="1">
      <c r="A119" s="85">
        <v>28</v>
      </c>
      <c r="B119" s="79" t="s">
        <v>147</v>
      </c>
      <c r="C119" s="140" t="s">
        <v>279</v>
      </c>
      <c r="D119" s="131">
        <f>'EIA412 BALANCE SHEET'!C46</f>
        <v>85588</v>
      </c>
      <c r="E119" s="84"/>
      <c r="F119" s="84" t="s">
        <v>148</v>
      </c>
      <c r="G119" s="130">
        <f>+G88</f>
        <v>0.14884359077172335</v>
      </c>
      <c r="H119" s="84"/>
      <c r="I119" s="100">
        <f>+G119*D119</f>
        <v>12739.225246970258</v>
      </c>
      <c r="J119" s="84"/>
      <c r="K119" s="132"/>
      <c r="L119" s="77"/>
      <c r="M119" s="117"/>
      <c r="N119" s="96"/>
      <c r="O119" s="138"/>
      <c r="P119" s="122"/>
      <c r="Q119" s="117"/>
      <c r="R119" s="96"/>
      <c r="S119" s="96"/>
      <c r="T119" s="96"/>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row>
    <row r="120" spans="1:64" ht="15">
      <c r="A120" s="85">
        <v>29</v>
      </c>
      <c r="B120" s="79" t="s">
        <v>149</v>
      </c>
      <c r="C120" s="80"/>
      <c r="D120" s="84">
        <f>D117+D118+D119</f>
        <v>165603.8056125</v>
      </c>
      <c r="E120" s="80"/>
      <c r="F120" s="80"/>
      <c r="G120" s="80"/>
      <c r="H120" s="80"/>
      <c r="I120" s="84">
        <f>I117+I118+I119</f>
        <v>27773.292514319299</v>
      </c>
      <c r="J120" s="80"/>
      <c r="K120" s="80"/>
      <c r="L120" s="77"/>
      <c r="M120" s="117"/>
      <c r="N120" s="96"/>
      <c r="O120" s="134"/>
      <c r="P120" s="119"/>
      <c r="Q120" s="117"/>
      <c r="R120" s="96"/>
      <c r="S120" s="96"/>
      <c r="T120" s="96"/>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row>
    <row r="121" spans="1:64" ht="15.75" thickBot="1">
      <c r="C121" s="84"/>
      <c r="D121" s="141"/>
      <c r="E121" s="84"/>
      <c r="F121" s="84"/>
      <c r="G121" s="84"/>
      <c r="H121" s="84"/>
      <c r="I121" s="141"/>
      <c r="J121" s="84"/>
      <c r="K121" s="84"/>
      <c r="L121" s="77"/>
      <c r="M121" s="117"/>
      <c r="N121" s="96"/>
      <c r="O121" s="119"/>
      <c r="P121" s="119"/>
      <c r="Q121" s="117"/>
      <c r="R121" s="96"/>
      <c r="S121" s="96"/>
      <c r="T121" s="96"/>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row>
    <row r="122" spans="1:64" ht="15.75" thickBot="1">
      <c r="A122" s="85">
        <v>30</v>
      </c>
      <c r="B122" s="79" t="s">
        <v>150</v>
      </c>
      <c r="C122" s="84"/>
      <c r="D122" s="142">
        <f>+D120+D114+D112+D104</f>
        <v>7806603.8056124998</v>
      </c>
      <c r="E122" s="84"/>
      <c r="F122" s="84"/>
      <c r="G122" s="132"/>
      <c r="H122" s="84"/>
      <c r="I122" s="142">
        <f>+I120+I114+I112+I104</f>
        <v>525259.75200656068</v>
      </c>
      <c r="J122" s="84"/>
      <c r="K122" s="132"/>
      <c r="L122" s="118"/>
      <c r="M122" s="117"/>
      <c r="N122" s="96"/>
      <c r="O122" s="119"/>
      <c r="P122" s="119"/>
      <c r="Q122" s="117"/>
      <c r="R122" s="96"/>
      <c r="S122" s="96"/>
      <c r="T122" s="96"/>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row>
    <row r="123" spans="1:64" ht="15.75" thickTop="1">
      <c r="A123" s="85"/>
      <c r="B123" s="79"/>
      <c r="C123" s="84"/>
      <c r="D123" s="84"/>
      <c r="E123" s="84"/>
      <c r="F123" s="84"/>
      <c r="G123" s="84"/>
      <c r="H123" s="84"/>
      <c r="I123" s="84"/>
      <c r="J123" s="84"/>
      <c r="K123" s="84"/>
      <c r="L123" s="118"/>
      <c r="M123" s="97"/>
      <c r="N123" s="96"/>
      <c r="O123" s="119"/>
      <c r="P123" s="119"/>
      <c r="Q123" s="117"/>
      <c r="R123" s="96"/>
      <c r="S123" s="96"/>
      <c r="T123" s="96"/>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row>
    <row r="124" spans="1:64" ht="15">
      <c r="A124"/>
      <c r="B124"/>
      <c r="C124"/>
      <c r="D124"/>
      <c r="E124"/>
      <c r="F124"/>
      <c r="G124"/>
      <c r="H124"/>
      <c r="I124"/>
      <c r="J124"/>
      <c r="K124"/>
      <c r="L124"/>
      <c r="M124"/>
      <c r="N124" s="96"/>
      <c r="O124" s="119"/>
      <c r="P124" s="119"/>
      <c r="Q124" s="117"/>
      <c r="R124" s="96"/>
      <c r="S124" s="96"/>
      <c r="T124" s="96"/>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row>
    <row r="125" spans="1:64" ht="15">
      <c r="A125"/>
      <c r="B125"/>
      <c r="C125"/>
      <c r="D125"/>
      <c r="E125"/>
      <c r="F125"/>
      <c r="G125"/>
      <c r="H125"/>
      <c r="I125"/>
      <c r="J125"/>
      <c r="K125"/>
      <c r="L125"/>
      <c r="M125"/>
      <c r="N125" s="96"/>
      <c r="O125" s="119"/>
      <c r="P125" s="119"/>
      <c r="Q125" s="117"/>
      <c r="R125" s="96"/>
      <c r="S125" s="96"/>
      <c r="T125" s="96"/>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row>
    <row r="126" spans="1:64" ht="15">
      <c r="A126"/>
      <c r="B126"/>
      <c r="C126"/>
      <c r="D126"/>
      <c r="E126"/>
      <c r="F126"/>
      <c r="G126"/>
      <c r="H126"/>
      <c r="I126"/>
      <c r="J126"/>
      <c r="K126"/>
      <c r="L126"/>
      <c r="M126"/>
      <c r="N126" s="96"/>
      <c r="O126" s="119"/>
      <c r="P126" s="119"/>
      <c r="Q126" s="117"/>
      <c r="R126" s="96"/>
      <c r="S126" s="96"/>
      <c r="T126" s="96"/>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row>
    <row r="127" spans="1:64" ht="15">
      <c r="A127"/>
      <c r="B127"/>
      <c r="C127"/>
      <c r="D127"/>
      <c r="E127"/>
      <c r="F127"/>
      <c r="G127"/>
      <c r="H127"/>
      <c r="I127"/>
      <c r="J127"/>
      <c r="K127"/>
      <c r="L127"/>
      <c r="M127"/>
      <c r="N127" s="96"/>
      <c r="O127" s="119"/>
      <c r="P127" s="119"/>
      <c r="Q127" s="117"/>
      <c r="R127" s="96"/>
      <c r="S127" s="96"/>
      <c r="T127" s="96"/>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row>
    <row r="128" spans="1:64" ht="15">
      <c r="A128"/>
      <c r="B128"/>
      <c r="C128"/>
      <c r="D128"/>
      <c r="E128"/>
      <c r="F128"/>
      <c r="G128"/>
      <c r="H128"/>
      <c r="I128"/>
      <c r="J128"/>
      <c r="K128"/>
      <c r="L128"/>
      <c r="M128"/>
      <c r="N128" s="96"/>
      <c r="O128" s="119"/>
      <c r="P128" s="119"/>
      <c r="Q128" s="117"/>
      <c r="R128" s="96"/>
      <c r="S128" s="96"/>
      <c r="T128" s="96"/>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row>
    <row r="129" spans="1:64" ht="15">
      <c r="A129"/>
      <c r="B129"/>
      <c r="C129"/>
      <c r="D129"/>
      <c r="E129"/>
      <c r="F129"/>
      <c r="G129"/>
      <c r="H129"/>
      <c r="I129"/>
      <c r="J129"/>
      <c r="K129"/>
      <c r="L129"/>
      <c r="M129"/>
      <c r="N129" s="96"/>
      <c r="O129" s="119"/>
      <c r="P129" s="119"/>
      <c r="Q129" s="117"/>
      <c r="R129" s="96"/>
      <c r="S129" s="96"/>
      <c r="T129" s="96"/>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row>
    <row r="130" spans="1:64" ht="15">
      <c r="A130"/>
      <c r="B130"/>
      <c r="C130"/>
      <c r="D130"/>
      <c r="E130"/>
      <c r="F130"/>
      <c r="G130"/>
      <c r="H130"/>
      <c r="I130"/>
      <c r="J130"/>
      <c r="K130"/>
      <c r="L130"/>
      <c r="M130"/>
      <c r="N130" s="96"/>
      <c r="O130" s="97"/>
      <c r="P130" s="97"/>
      <c r="Q130" s="97"/>
      <c r="R130" s="96"/>
      <c r="S130" s="96"/>
      <c r="T130" s="96"/>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row>
    <row r="131" spans="1:64" ht="15">
      <c r="A131"/>
      <c r="B131"/>
      <c r="C131"/>
      <c r="D131"/>
      <c r="E131"/>
      <c r="F131"/>
      <c r="G131"/>
      <c r="H131"/>
      <c r="I131"/>
      <c r="J131"/>
      <c r="K131"/>
      <c r="L131"/>
      <c r="M131"/>
      <c r="N131" s="96"/>
      <c r="O131" s="97"/>
      <c r="P131" s="97"/>
      <c r="Q131" s="97"/>
      <c r="R131" s="96"/>
      <c r="S131" s="96"/>
      <c r="T131" s="96"/>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row>
    <row r="132" spans="1:64" ht="15">
      <c r="A132"/>
      <c r="B132"/>
      <c r="C132"/>
      <c r="D132"/>
      <c r="E132"/>
      <c r="F132"/>
      <c r="G132"/>
      <c r="H132"/>
      <c r="I132"/>
      <c r="J132"/>
      <c r="K132"/>
      <c r="L132"/>
      <c r="M132"/>
      <c r="N132" s="96"/>
      <c r="O132" s="97"/>
      <c r="P132" s="97"/>
      <c r="Q132" s="97"/>
      <c r="R132" s="96"/>
      <c r="S132" s="96"/>
      <c r="T132" s="96"/>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row>
    <row r="133" spans="1:64" s="433" customFormat="1" ht="15">
      <c r="A133" s="500"/>
      <c r="B133" s="500"/>
      <c r="C133" s="500"/>
      <c r="D133" s="500"/>
      <c r="E133" s="500"/>
      <c r="F133" s="500"/>
      <c r="G133" s="500"/>
      <c r="H133" s="500"/>
      <c r="I133" s="500"/>
      <c r="J133" s="500"/>
      <c r="K133" s="500"/>
      <c r="L133" s="500"/>
      <c r="M133" s="500"/>
      <c r="N133" s="443"/>
      <c r="O133" s="444"/>
      <c r="P133" s="444"/>
      <c r="Q133" s="444"/>
      <c r="R133" s="443"/>
      <c r="S133" s="443"/>
      <c r="T133" s="443"/>
      <c r="U133" s="435"/>
      <c r="V133" s="435"/>
      <c r="W133" s="435"/>
      <c r="X133" s="435"/>
      <c r="Y133" s="435"/>
      <c r="Z133" s="435"/>
      <c r="AA133" s="435"/>
      <c r="AB133" s="435"/>
      <c r="AC133" s="435"/>
      <c r="AD133" s="435"/>
      <c r="AE133" s="435"/>
      <c r="AF133" s="435"/>
      <c r="AG133" s="435"/>
      <c r="AH133" s="435"/>
      <c r="AI133" s="435"/>
      <c r="AJ133" s="435"/>
      <c r="AK133" s="435"/>
      <c r="AL133" s="435"/>
      <c r="AM133" s="435"/>
      <c r="AN133" s="435"/>
      <c r="AO133" s="435"/>
      <c r="AP133" s="435"/>
      <c r="AQ133" s="435"/>
      <c r="AR133" s="435"/>
      <c r="AS133" s="435"/>
      <c r="AT133" s="435"/>
      <c r="AU133" s="435"/>
      <c r="AV133" s="435"/>
      <c r="AW133" s="435"/>
      <c r="AX133" s="435"/>
      <c r="AY133" s="435"/>
      <c r="AZ133" s="435"/>
      <c r="BA133" s="435"/>
      <c r="BB133" s="435"/>
      <c r="BC133" s="435"/>
      <c r="BD133" s="435"/>
      <c r="BE133" s="435"/>
      <c r="BF133" s="435"/>
      <c r="BG133" s="435"/>
      <c r="BH133" s="435"/>
      <c r="BI133" s="435"/>
      <c r="BJ133" s="435"/>
      <c r="BK133" s="435"/>
      <c r="BL133" s="435"/>
    </row>
    <row r="134" spans="1:64" s="433" customFormat="1" ht="15">
      <c r="A134" s="500"/>
      <c r="B134" s="500"/>
      <c r="C134" s="500"/>
      <c r="D134" s="500"/>
      <c r="E134" s="500"/>
      <c r="F134" s="500"/>
      <c r="G134" s="500"/>
      <c r="H134" s="500"/>
      <c r="I134" s="500"/>
      <c r="J134" s="500"/>
      <c r="K134" s="500"/>
      <c r="L134" s="500"/>
      <c r="M134" s="500"/>
      <c r="N134" s="443"/>
      <c r="O134" s="444"/>
      <c r="P134" s="444"/>
      <c r="Q134" s="444"/>
      <c r="R134" s="443"/>
      <c r="S134" s="443"/>
      <c r="T134" s="443"/>
      <c r="U134" s="435"/>
      <c r="V134" s="435"/>
      <c r="W134" s="435"/>
      <c r="X134" s="435"/>
      <c r="Y134" s="435"/>
      <c r="Z134" s="435"/>
      <c r="AA134" s="435"/>
      <c r="AB134" s="435"/>
      <c r="AC134" s="435"/>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5"/>
      <c r="AY134" s="435"/>
      <c r="AZ134" s="435"/>
      <c r="BA134" s="435"/>
      <c r="BB134" s="435"/>
      <c r="BC134" s="435"/>
      <c r="BD134" s="435"/>
      <c r="BE134" s="435"/>
      <c r="BF134" s="435"/>
      <c r="BG134" s="435"/>
      <c r="BH134" s="435"/>
      <c r="BI134" s="435"/>
      <c r="BJ134" s="435"/>
      <c r="BK134" s="435"/>
      <c r="BL134" s="435"/>
    </row>
    <row r="135" spans="1:64" s="433" customFormat="1" ht="15">
      <c r="A135" s="500"/>
      <c r="B135" s="500"/>
      <c r="C135" s="500"/>
      <c r="D135" s="500"/>
      <c r="E135" s="500"/>
      <c r="F135" s="500"/>
      <c r="G135" s="500"/>
      <c r="H135" s="500"/>
      <c r="I135" s="500"/>
      <c r="J135" s="500"/>
      <c r="K135" s="500"/>
      <c r="L135" s="500"/>
      <c r="M135" s="500"/>
      <c r="N135" s="443"/>
      <c r="O135" s="444"/>
      <c r="P135" s="444"/>
      <c r="Q135" s="444"/>
      <c r="R135" s="443"/>
      <c r="S135" s="443"/>
      <c r="T135" s="443"/>
      <c r="U135" s="435"/>
      <c r="V135" s="435"/>
      <c r="W135" s="435"/>
      <c r="X135" s="435"/>
      <c r="Y135" s="435"/>
      <c r="Z135" s="435"/>
      <c r="AA135" s="435"/>
      <c r="AB135" s="435"/>
      <c r="AC135" s="435"/>
      <c r="AD135" s="435"/>
      <c r="AE135" s="435"/>
      <c r="AF135" s="435"/>
      <c r="AG135" s="435"/>
      <c r="AH135" s="435"/>
      <c r="AI135" s="435"/>
      <c r="AJ135" s="435"/>
      <c r="AK135" s="435"/>
      <c r="AL135" s="435"/>
      <c r="AM135" s="435"/>
      <c r="AN135" s="435"/>
      <c r="AO135" s="435"/>
      <c r="AP135" s="435"/>
      <c r="AQ135" s="435"/>
      <c r="AR135" s="435"/>
      <c r="AS135" s="435"/>
      <c r="AT135" s="435"/>
      <c r="AU135" s="435"/>
      <c r="AV135" s="435"/>
      <c r="AW135" s="435"/>
      <c r="AX135" s="435"/>
      <c r="AY135" s="435"/>
      <c r="AZ135" s="435"/>
      <c r="BA135" s="435"/>
      <c r="BB135" s="435"/>
      <c r="BC135" s="435"/>
      <c r="BD135" s="435"/>
      <c r="BE135" s="435"/>
      <c r="BF135" s="435"/>
      <c r="BG135" s="435"/>
      <c r="BH135" s="435"/>
      <c r="BI135" s="435"/>
      <c r="BJ135" s="435"/>
      <c r="BK135" s="435"/>
      <c r="BL135" s="435"/>
    </row>
    <row r="136" spans="1:64" s="433" customFormat="1" ht="15">
      <c r="A136" s="500"/>
      <c r="B136" s="500"/>
      <c r="C136" s="500"/>
      <c r="D136" s="500"/>
      <c r="E136" s="500"/>
      <c r="F136" s="500"/>
      <c r="G136" s="500"/>
      <c r="H136" s="500"/>
      <c r="I136" s="500"/>
      <c r="J136" s="500"/>
      <c r="K136" s="500"/>
      <c r="L136" s="500"/>
      <c r="M136" s="500"/>
      <c r="N136" s="443"/>
      <c r="O136" s="444"/>
      <c r="P136" s="444"/>
      <c r="Q136" s="444"/>
      <c r="R136" s="443"/>
      <c r="S136" s="443"/>
      <c r="T136" s="443"/>
      <c r="U136" s="435"/>
      <c r="V136" s="435"/>
      <c r="W136" s="435"/>
      <c r="X136" s="435"/>
      <c r="Y136" s="435"/>
      <c r="Z136" s="435"/>
      <c r="AA136" s="435"/>
      <c r="AB136" s="435"/>
      <c r="AC136" s="435"/>
      <c r="AD136" s="435"/>
      <c r="AE136" s="435"/>
      <c r="AF136" s="435"/>
      <c r="AG136" s="435"/>
      <c r="AH136" s="435"/>
      <c r="AI136" s="435"/>
      <c r="AJ136" s="435"/>
      <c r="AK136" s="435"/>
      <c r="AL136" s="435"/>
      <c r="AM136" s="435"/>
      <c r="AN136" s="435"/>
      <c r="AO136" s="435"/>
      <c r="AP136" s="435"/>
      <c r="AQ136" s="435"/>
      <c r="AR136" s="435"/>
      <c r="AS136" s="435"/>
      <c r="AT136" s="435"/>
      <c r="AU136" s="435"/>
      <c r="AV136" s="435"/>
      <c r="AW136" s="435"/>
      <c r="AX136" s="435"/>
      <c r="AY136" s="435"/>
      <c r="AZ136" s="435"/>
      <c r="BA136" s="435"/>
      <c r="BB136" s="435"/>
      <c r="BC136" s="435"/>
      <c r="BD136" s="435"/>
      <c r="BE136" s="435"/>
      <c r="BF136" s="435"/>
      <c r="BG136" s="435"/>
      <c r="BH136" s="435"/>
      <c r="BI136" s="435"/>
      <c r="BJ136" s="435"/>
      <c r="BK136" s="435"/>
      <c r="BL136" s="435"/>
    </row>
    <row r="137" spans="1:64" s="433" customFormat="1" ht="15">
      <c r="A137" s="500"/>
      <c r="B137" s="500"/>
      <c r="C137" s="500"/>
      <c r="D137" s="500"/>
      <c r="E137" s="500"/>
      <c r="F137" s="500"/>
      <c r="G137" s="500"/>
      <c r="H137" s="500"/>
      <c r="I137" s="500"/>
      <c r="J137" s="500"/>
      <c r="K137" s="500"/>
      <c r="L137" s="500"/>
      <c r="M137" s="500"/>
      <c r="N137" s="443"/>
      <c r="O137" s="444"/>
      <c r="P137" s="444"/>
      <c r="Q137" s="444"/>
      <c r="R137" s="443"/>
      <c r="S137" s="443"/>
      <c r="T137" s="443"/>
      <c r="U137" s="435"/>
      <c r="V137" s="435"/>
      <c r="W137" s="435"/>
      <c r="X137" s="435"/>
      <c r="Y137" s="435"/>
      <c r="Z137" s="435"/>
      <c r="AA137" s="435"/>
      <c r="AB137" s="435"/>
      <c r="AC137" s="435"/>
      <c r="AD137" s="435"/>
      <c r="AE137" s="435"/>
      <c r="AF137" s="435"/>
      <c r="AG137" s="435"/>
      <c r="AH137" s="435"/>
      <c r="AI137" s="435"/>
      <c r="AJ137" s="435"/>
      <c r="AK137" s="435"/>
      <c r="AL137" s="435"/>
      <c r="AM137" s="435"/>
      <c r="AN137" s="435"/>
      <c r="AO137" s="435"/>
      <c r="AP137" s="435"/>
      <c r="AQ137" s="435"/>
      <c r="AR137" s="435"/>
      <c r="AS137" s="435"/>
      <c r="AT137" s="435"/>
      <c r="AU137" s="435"/>
      <c r="AV137" s="435"/>
      <c r="AW137" s="435"/>
      <c r="AX137" s="435"/>
      <c r="AY137" s="435"/>
      <c r="AZ137" s="435"/>
      <c r="BA137" s="435"/>
      <c r="BB137" s="435"/>
      <c r="BC137" s="435"/>
      <c r="BD137" s="435"/>
      <c r="BE137" s="435"/>
      <c r="BF137" s="435"/>
      <c r="BG137" s="435"/>
      <c r="BH137" s="435"/>
      <c r="BI137" s="435"/>
      <c r="BJ137" s="435"/>
      <c r="BK137" s="435"/>
      <c r="BL137" s="435"/>
    </row>
    <row r="138" spans="1:64" ht="15">
      <c r="A138"/>
      <c r="B138"/>
      <c r="C138"/>
      <c r="D138"/>
      <c r="E138"/>
      <c r="F138"/>
      <c r="G138"/>
      <c r="H138" s="426" t="str">
        <f>H72</f>
        <v>Attachment O-EIA Non-Levelized Generic</v>
      </c>
      <c r="I138" s="426"/>
      <c r="J138" s="426"/>
      <c r="K138" s="426"/>
      <c r="L138"/>
      <c r="M138"/>
      <c r="N138" s="96"/>
      <c r="O138" s="97"/>
      <c r="P138" s="97"/>
      <c r="Q138" s="97"/>
      <c r="R138" s="96"/>
      <c r="S138" s="96"/>
      <c r="T138" s="96"/>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row>
    <row r="139" spans="1:64" ht="15">
      <c r="B139" s="79"/>
      <c r="C139" s="79"/>
      <c r="D139" s="81"/>
      <c r="E139" s="79"/>
      <c r="F139" s="79"/>
      <c r="G139" s="79"/>
      <c r="H139" s="80"/>
      <c r="I139" s="80"/>
      <c r="J139" s="80"/>
      <c r="K139" s="587" t="s">
        <v>151</v>
      </c>
      <c r="L139" s="587"/>
      <c r="M139" s="97"/>
      <c r="N139" s="96"/>
      <c r="O139" s="97"/>
      <c r="P139" s="97"/>
      <c r="Q139" s="97"/>
      <c r="R139" s="96"/>
      <c r="S139" s="96"/>
      <c r="T139" s="96"/>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row>
    <row r="140" spans="1:64" ht="15">
      <c r="A140" s="85"/>
      <c r="B140" s="79"/>
      <c r="C140" s="84"/>
      <c r="D140" s="84"/>
      <c r="E140" s="84"/>
      <c r="F140" s="84"/>
      <c r="G140" s="84"/>
      <c r="H140" s="84"/>
      <c r="I140" s="84"/>
      <c r="J140" s="84"/>
      <c r="K140" s="84"/>
      <c r="L140" s="118"/>
      <c r="M140" s="97"/>
      <c r="N140" s="96"/>
      <c r="O140" s="119"/>
      <c r="P140" s="119"/>
      <c r="Q140" s="117"/>
      <c r="R140" s="96"/>
      <c r="S140" s="96"/>
      <c r="T140" s="96"/>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row>
    <row r="141" spans="1:64" ht="15">
      <c r="A141" s="85"/>
      <c r="B141" s="79" t="str">
        <f>B4</f>
        <v xml:space="preserve">Formula Rate - Non-Levelized </v>
      </c>
      <c r="C141" s="84"/>
      <c r="D141" s="84" t="str">
        <f>D4</f>
        <v xml:space="preserve">   Rate Formula Template</v>
      </c>
      <c r="E141" s="84"/>
      <c r="F141" s="84"/>
      <c r="G141" s="84"/>
      <c r="H141" s="84"/>
      <c r="I141" s="84" t="str">
        <f>I4</f>
        <v>For the 12 months ended 12/31/14</v>
      </c>
      <c r="J141" s="84"/>
      <c r="K141" s="84"/>
      <c r="L141" s="118"/>
      <c r="M141" s="117"/>
      <c r="N141" s="96"/>
      <c r="O141" s="119"/>
      <c r="P141" s="119"/>
      <c r="Q141" s="117"/>
      <c r="R141" s="96"/>
      <c r="S141" s="96"/>
      <c r="T141" s="96"/>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row>
    <row r="142" spans="1:64" ht="15">
      <c r="A142" s="85"/>
      <c r="B142" s="79"/>
      <c r="C142" s="84"/>
      <c r="D142" s="84" t="str">
        <f>D5</f>
        <v>Utilizing EIA Form 412 Data</v>
      </c>
      <c r="E142" s="84"/>
      <c r="F142" s="84"/>
      <c r="G142" s="84"/>
      <c r="H142" s="84"/>
      <c r="I142" s="84"/>
      <c r="J142" s="84"/>
      <c r="K142" s="84"/>
      <c r="L142" s="118"/>
      <c r="M142" s="117"/>
      <c r="N142" s="96"/>
      <c r="O142" s="119"/>
      <c r="P142" s="119"/>
      <c r="Q142" s="117"/>
      <c r="R142" s="96"/>
      <c r="S142" s="96"/>
      <c r="T142" s="96"/>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row>
    <row r="143" spans="1:64" ht="15">
      <c r="A143" s="85"/>
      <c r="C143" s="84"/>
      <c r="D143" s="84"/>
      <c r="E143" s="84"/>
      <c r="F143" s="84"/>
      <c r="G143" s="84"/>
      <c r="H143" s="84"/>
      <c r="I143" s="84"/>
      <c r="J143" s="84"/>
      <c r="K143" s="84"/>
      <c r="L143" s="118"/>
      <c r="M143" s="117"/>
      <c r="N143" s="96"/>
      <c r="O143" s="119"/>
      <c r="P143" s="119"/>
      <c r="Q143" s="117"/>
      <c r="R143" s="96"/>
      <c r="S143" s="96"/>
      <c r="T143" s="96"/>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row>
    <row r="144" spans="1:64" ht="15">
      <c r="A144" s="85"/>
      <c r="C144" s="102"/>
      <c r="D144" s="102" t="str">
        <f>D7</f>
        <v>Blue Earth</v>
      </c>
      <c r="E144" s="102"/>
      <c r="F144" s="102"/>
      <c r="G144" s="102"/>
      <c r="H144" s="102"/>
      <c r="I144" s="102"/>
      <c r="J144" s="84"/>
      <c r="K144" s="84"/>
      <c r="L144" s="118"/>
      <c r="M144" s="117"/>
      <c r="N144" s="96"/>
      <c r="O144" s="119"/>
      <c r="P144" s="119"/>
      <c r="Q144" s="117"/>
      <c r="R144" s="96"/>
      <c r="S144" s="96"/>
      <c r="T144" s="96"/>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row>
    <row r="145" spans="1:64" ht="15">
      <c r="A145" s="85"/>
      <c r="B145" s="82" t="s">
        <v>101</v>
      </c>
      <c r="C145" s="82" t="s">
        <v>102</v>
      </c>
      <c r="D145" s="82" t="s">
        <v>103</v>
      </c>
      <c r="E145" s="84" t="s">
        <v>54</v>
      </c>
      <c r="F145" s="84"/>
      <c r="G145" s="120" t="s">
        <v>104</v>
      </c>
      <c r="H145" s="84"/>
      <c r="I145" s="121" t="s">
        <v>105</v>
      </c>
      <c r="J145" s="84"/>
      <c r="K145" s="84"/>
      <c r="L145" s="118"/>
      <c r="M145" s="117"/>
      <c r="N145" s="96"/>
      <c r="O145" s="97"/>
      <c r="P145" s="119"/>
      <c r="Q145" s="117"/>
      <c r="R145" s="96"/>
      <c r="S145" s="96"/>
      <c r="T145" s="96"/>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row>
    <row r="146" spans="1:64" s="433" customFormat="1" ht="15.75">
      <c r="A146" s="85" t="s">
        <v>56</v>
      </c>
      <c r="B146" s="438"/>
      <c r="C146" s="123" t="s">
        <v>106</v>
      </c>
      <c r="D146" s="84"/>
      <c r="E146" s="84"/>
      <c r="F146" s="84"/>
      <c r="G146" s="82"/>
      <c r="H146" s="84"/>
      <c r="I146" s="124" t="s">
        <v>607</v>
      </c>
      <c r="J146" s="439"/>
      <c r="K146" s="439"/>
      <c r="L146" s="448"/>
      <c r="M146" s="447"/>
      <c r="N146" s="443"/>
      <c r="O146" s="444"/>
      <c r="P146" s="449"/>
      <c r="Q146" s="447"/>
      <c r="R146" s="443"/>
      <c r="S146" s="443"/>
      <c r="T146" s="443"/>
      <c r="U146" s="435"/>
      <c r="V146" s="435"/>
      <c r="W146" s="435"/>
      <c r="X146" s="435"/>
      <c r="Y146" s="435"/>
      <c r="Z146" s="435"/>
      <c r="AA146" s="435"/>
      <c r="AB146" s="435"/>
      <c r="AC146" s="435"/>
      <c r="AD146" s="435"/>
      <c r="AE146" s="435"/>
      <c r="AF146" s="435"/>
      <c r="AG146" s="435"/>
      <c r="AH146" s="435"/>
      <c r="AI146" s="435"/>
      <c r="AJ146" s="435"/>
      <c r="AK146" s="435"/>
      <c r="AL146" s="435"/>
      <c r="AM146" s="435"/>
      <c r="AN146" s="435"/>
      <c r="AO146" s="435"/>
      <c r="AP146" s="435"/>
      <c r="AQ146" s="435"/>
      <c r="AR146" s="435"/>
      <c r="AS146" s="435"/>
      <c r="AT146" s="435"/>
      <c r="AU146" s="435"/>
      <c r="AV146" s="435"/>
      <c r="AW146" s="435"/>
      <c r="AX146" s="435"/>
      <c r="AY146" s="435"/>
      <c r="AZ146" s="435"/>
      <c r="BA146" s="435"/>
      <c r="BB146" s="435"/>
      <c r="BC146" s="435"/>
      <c r="BD146" s="435"/>
      <c r="BE146" s="435"/>
      <c r="BF146" s="435"/>
      <c r="BG146" s="435"/>
      <c r="BH146" s="435"/>
      <c r="BI146" s="435"/>
      <c r="BJ146" s="435"/>
      <c r="BK146" s="435"/>
      <c r="BL146" s="435"/>
    </row>
    <row r="147" spans="1:64" ht="16.5" thickBot="1">
      <c r="A147" s="89" t="s">
        <v>58</v>
      </c>
      <c r="B147" s="82"/>
      <c r="C147" s="125" t="s">
        <v>107</v>
      </c>
      <c r="D147" s="124" t="s">
        <v>108</v>
      </c>
      <c r="E147" s="126"/>
      <c r="F147" s="124" t="s">
        <v>109</v>
      </c>
      <c r="G147" s="102"/>
      <c r="H147" s="126"/>
      <c r="I147" s="127" t="s">
        <v>110</v>
      </c>
      <c r="J147" s="143"/>
      <c r="K147" s="124"/>
      <c r="L147" s="143"/>
      <c r="M147" s="117"/>
      <c r="N147" s="96"/>
      <c r="O147" s="144"/>
      <c r="P147" s="119"/>
      <c r="Q147" s="117"/>
      <c r="R147" s="96"/>
      <c r="S147" s="96"/>
      <c r="T147" s="96"/>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row>
    <row r="148" spans="1:64" ht="15">
      <c r="A148" s="85"/>
      <c r="B148" s="79" t="s">
        <v>652</v>
      </c>
      <c r="C148" s="84"/>
      <c r="D148" s="84"/>
      <c r="E148" s="84"/>
      <c r="F148" s="84"/>
      <c r="G148" s="84"/>
      <c r="H148" s="84"/>
      <c r="I148" s="84"/>
      <c r="J148" s="84"/>
      <c r="K148" s="84"/>
      <c r="L148" s="118"/>
      <c r="M148" s="117"/>
      <c r="N148" s="96"/>
      <c r="O148" s="119"/>
      <c r="P148" s="119"/>
      <c r="Q148" s="117"/>
      <c r="R148" s="96"/>
      <c r="S148" s="96"/>
      <c r="T148" s="96"/>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row>
    <row r="149" spans="1:64" ht="15">
      <c r="A149" s="85">
        <v>1</v>
      </c>
      <c r="B149" s="79" t="s">
        <v>152</v>
      </c>
      <c r="C149" s="102" t="s">
        <v>633</v>
      </c>
      <c r="D149" s="133">
        <f>'EIA412 OP &amp; MAINT'!F21</f>
        <v>113031.89749999999</v>
      </c>
      <c r="E149" s="84"/>
      <c r="F149" s="84" t="s">
        <v>146</v>
      </c>
      <c r="G149" s="130">
        <f>I229</f>
        <v>1</v>
      </c>
      <c r="H149" s="84"/>
      <c r="I149" s="84">
        <f t="shared" ref="I149:I157" si="1">+G149*D149</f>
        <v>113031.89749999999</v>
      </c>
      <c r="J149" s="80"/>
      <c r="K149" s="84"/>
      <c r="L149" s="118"/>
      <c r="M149" s="117"/>
      <c r="N149" s="96"/>
      <c r="O149" s="119"/>
      <c r="P149" s="122"/>
      <c r="Q149" s="119"/>
      <c r="R149" s="96"/>
      <c r="S149" s="96"/>
      <c r="T149" s="96"/>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row>
    <row r="150" spans="1:64" s="350" customFormat="1" ht="15">
      <c r="A150" s="349" t="s">
        <v>14</v>
      </c>
      <c r="B150" s="351" t="s">
        <v>15</v>
      </c>
      <c r="C150" s="364"/>
      <c r="D150" s="133">
        <v>0</v>
      </c>
      <c r="E150" s="346"/>
      <c r="F150" s="346"/>
      <c r="G150" s="365">
        <v>1</v>
      </c>
      <c r="H150" s="346"/>
      <c r="I150" s="346">
        <f t="shared" si="1"/>
        <v>0</v>
      </c>
      <c r="J150" s="359"/>
      <c r="K150" s="346"/>
      <c r="L150" s="356"/>
      <c r="M150" s="117"/>
      <c r="N150" s="96"/>
      <c r="O150" s="119"/>
      <c r="P150" s="122"/>
      <c r="Q150" s="119"/>
      <c r="R150" s="96"/>
      <c r="S150" s="96"/>
      <c r="T150" s="96"/>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c r="BG150" s="88"/>
      <c r="BH150" s="88"/>
      <c r="BI150" s="88"/>
      <c r="BJ150" s="88"/>
      <c r="BK150" s="88"/>
      <c r="BL150" s="88"/>
    </row>
    <row r="151" spans="1:64" ht="15">
      <c r="A151" s="85">
        <v>2</v>
      </c>
      <c r="B151" s="79" t="s">
        <v>153</v>
      </c>
      <c r="C151" s="102" t="s">
        <v>54</v>
      </c>
      <c r="D151" s="133">
        <v>0</v>
      </c>
      <c r="E151" s="84"/>
      <c r="F151" s="84" t="s">
        <v>113</v>
      </c>
      <c r="G151" s="130">
        <v>1</v>
      </c>
      <c r="H151" s="84"/>
      <c r="I151" s="84">
        <f t="shared" si="1"/>
        <v>0</v>
      </c>
      <c r="J151" s="80"/>
      <c r="K151" s="84"/>
      <c r="L151" s="118"/>
      <c r="M151" s="117"/>
      <c r="N151" s="96"/>
      <c r="O151" s="119"/>
      <c r="P151" s="122"/>
      <c r="Q151" s="119"/>
      <c r="R151" s="96"/>
      <c r="S151" s="96"/>
      <c r="T151" s="96"/>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row>
    <row r="152" spans="1:64" ht="15">
      <c r="A152" s="85">
        <v>3</v>
      </c>
      <c r="B152" s="79" t="s">
        <v>154</v>
      </c>
      <c r="C152" s="102" t="s">
        <v>634</v>
      </c>
      <c r="D152" s="133">
        <f>'EIA412 OP &amp; MAINT'!F29</f>
        <v>527094.54739999992</v>
      </c>
      <c r="E152" s="84"/>
      <c r="F152" s="84" t="s">
        <v>117</v>
      </c>
      <c r="G152" s="130">
        <f>I236</f>
        <v>1.3736891558655394E-2</v>
      </c>
      <c r="H152" s="84"/>
      <c r="I152" s="84">
        <f t="shared" si="1"/>
        <v>7240.6406387923444</v>
      </c>
      <c r="J152" s="84"/>
      <c r="K152" s="84" t="s">
        <v>54</v>
      </c>
      <c r="L152" s="118"/>
      <c r="M152" s="117"/>
      <c r="N152" s="96"/>
      <c r="O152" s="119"/>
      <c r="P152" s="122"/>
      <c r="Q152" s="117"/>
      <c r="R152" s="96"/>
      <c r="S152" s="96"/>
      <c r="T152" s="96"/>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row>
    <row r="153" spans="1:64" ht="15">
      <c r="A153" s="85">
        <v>4</v>
      </c>
      <c r="B153" s="79" t="s">
        <v>155</v>
      </c>
      <c r="C153" s="84"/>
      <c r="D153" s="133">
        <v>0</v>
      </c>
      <c r="E153" s="84"/>
      <c r="F153" s="84" t="str">
        <f>+F152</f>
        <v>W/S</v>
      </c>
      <c r="G153" s="130">
        <f>I236</f>
        <v>1.3736891558655394E-2</v>
      </c>
      <c r="H153" s="84"/>
      <c r="I153" s="84">
        <f t="shared" si="1"/>
        <v>0</v>
      </c>
      <c r="J153" s="84"/>
      <c r="K153" s="84"/>
      <c r="L153" s="118"/>
      <c r="M153" s="117"/>
      <c r="N153" s="96"/>
      <c r="O153" s="119"/>
      <c r="P153" s="122"/>
      <c r="Q153" s="117"/>
      <c r="R153" s="96"/>
      <c r="S153" s="96"/>
      <c r="T153" s="96"/>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row>
    <row r="154" spans="1:64" ht="15">
      <c r="A154" s="85">
        <v>5</v>
      </c>
      <c r="B154" s="79" t="s">
        <v>635</v>
      </c>
      <c r="C154" s="84"/>
      <c r="D154" s="133">
        <v>0</v>
      </c>
      <c r="E154" s="84"/>
      <c r="F154" s="84" t="str">
        <f>+F153</f>
        <v>W/S</v>
      </c>
      <c r="G154" s="130">
        <f>I236</f>
        <v>1.3736891558655394E-2</v>
      </c>
      <c r="H154" s="84"/>
      <c r="I154" s="84">
        <f t="shared" si="1"/>
        <v>0</v>
      </c>
      <c r="J154" s="84"/>
      <c r="K154" s="84"/>
      <c r="L154" s="118"/>
      <c r="M154" s="117"/>
      <c r="N154" s="96"/>
      <c r="O154" s="119"/>
      <c r="P154" s="122"/>
      <c r="Q154" s="117"/>
      <c r="R154" s="96"/>
      <c r="S154" s="96"/>
      <c r="T154" s="96"/>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row>
    <row r="155" spans="1:64" ht="15">
      <c r="A155" s="85" t="s">
        <v>156</v>
      </c>
      <c r="B155" s="79" t="s">
        <v>157</v>
      </c>
      <c r="C155" s="84"/>
      <c r="D155" s="133">
        <v>0</v>
      </c>
      <c r="E155" s="84"/>
      <c r="F155" s="84" t="str">
        <f>+F149</f>
        <v>TE</v>
      </c>
      <c r="G155" s="130">
        <f>+G149</f>
        <v>1</v>
      </c>
      <c r="H155" s="84"/>
      <c r="I155" s="84">
        <f t="shared" si="1"/>
        <v>0</v>
      </c>
      <c r="J155" s="84"/>
      <c r="K155" s="84"/>
      <c r="L155" s="118"/>
      <c r="M155" s="117"/>
      <c r="N155" s="96"/>
      <c r="O155" s="119"/>
      <c r="P155" s="122"/>
      <c r="Q155" s="117"/>
      <c r="R155" s="96"/>
      <c r="S155" s="96"/>
      <c r="T155" s="96"/>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row>
    <row r="156" spans="1:64" ht="15">
      <c r="A156" s="85">
        <v>6</v>
      </c>
      <c r="B156" s="79" t="s">
        <v>118</v>
      </c>
      <c r="C156" s="84"/>
      <c r="D156" s="133">
        <v>0</v>
      </c>
      <c r="E156" s="84"/>
      <c r="F156" s="84" t="s">
        <v>119</v>
      </c>
      <c r="G156" s="130">
        <f>K240</f>
        <v>1.3736891558655394E-2</v>
      </c>
      <c r="H156" s="84"/>
      <c r="I156" s="84">
        <f t="shared" si="1"/>
        <v>0</v>
      </c>
      <c r="J156" s="84"/>
      <c r="K156" s="84"/>
      <c r="L156" s="118"/>
      <c r="M156" s="117"/>
      <c r="N156" s="96"/>
      <c r="O156" s="119"/>
      <c r="P156" s="122"/>
      <c r="Q156" s="117"/>
      <c r="R156" s="96"/>
      <c r="S156" s="96"/>
      <c r="T156" s="96"/>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row>
    <row r="157" spans="1:64" ht="15.75" thickBot="1">
      <c r="A157" s="85">
        <v>7</v>
      </c>
      <c r="B157" s="79" t="s">
        <v>158</v>
      </c>
      <c r="C157" s="84"/>
      <c r="D157" s="131">
        <v>0</v>
      </c>
      <c r="E157" s="84"/>
      <c r="F157" s="84" t="s">
        <v>113</v>
      </c>
      <c r="G157" s="130">
        <v>1</v>
      </c>
      <c r="H157" s="84"/>
      <c r="I157" s="100">
        <f t="shared" si="1"/>
        <v>0</v>
      </c>
      <c r="J157" s="84"/>
      <c r="K157" s="84"/>
      <c r="L157" s="118"/>
      <c r="M157" s="117"/>
      <c r="N157" s="96"/>
      <c r="O157" s="119"/>
      <c r="P157" s="139"/>
      <c r="Q157" s="117"/>
      <c r="R157" s="96"/>
      <c r="S157" s="96"/>
      <c r="T157" s="96"/>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row>
    <row r="158" spans="1:64" s="350" customFormat="1" ht="15">
      <c r="A158" s="349">
        <v>8</v>
      </c>
      <c r="B158" s="351" t="s">
        <v>16</v>
      </c>
      <c r="C158" s="346"/>
      <c r="D158" s="346">
        <f>+D149-D151+D152-D153-D154+D155+D156+D157</f>
        <v>640126.44489999989</v>
      </c>
      <c r="E158" s="346"/>
      <c r="F158" s="346"/>
      <c r="G158" s="346"/>
      <c r="H158" s="346"/>
      <c r="I158" s="346">
        <f>+I149-I150-I151+I152-I153-I154+I155+I156+I157</f>
        <v>120272.53813879234</v>
      </c>
      <c r="J158" s="346"/>
      <c r="K158" s="346"/>
      <c r="L158" s="356"/>
      <c r="M158" s="119"/>
      <c r="N158" s="96"/>
      <c r="O158" s="134"/>
      <c r="P158" s="366"/>
      <c r="Q158" s="117"/>
      <c r="R158" s="96"/>
      <c r="S158" s="96"/>
      <c r="T158" s="96"/>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c r="BI158" s="88"/>
      <c r="BJ158" s="88"/>
      <c r="BK158" s="88"/>
      <c r="BL158" s="88"/>
    </row>
    <row r="159" spans="1:64" ht="15">
      <c r="A159" s="85"/>
      <c r="C159" s="84"/>
      <c r="E159" s="84"/>
      <c r="F159" s="84"/>
      <c r="G159" s="84"/>
      <c r="H159" s="84"/>
      <c r="J159" s="84"/>
      <c r="K159" s="84"/>
      <c r="L159" s="118"/>
      <c r="M159" s="119"/>
      <c r="N159" s="96"/>
      <c r="O159" s="119"/>
      <c r="P159" s="119"/>
      <c r="Q159" s="117"/>
      <c r="R159" s="96"/>
      <c r="S159" s="96"/>
      <c r="T159" s="96"/>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row>
    <row r="160" spans="1:64" ht="15">
      <c r="A160" s="85"/>
      <c r="B160" s="79" t="s">
        <v>653</v>
      </c>
      <c r="C160" s="84"/>
      <c r="D160" s="84"/>
      <c r="E160" s="84"/>
      <c r="F160" s="84"/>
      <c r="G160" s="84"/>
      <c r="H160" s="84"/>
      <c r="I160" s="84"/>
      <c r="J160" s="84"/>
      <c r="K160" s="84"/>
      <c r="L160" s="118"/>
      <c r="M160" s="119"/>
      <c r="N160" s="96"/>
      <c r="O160" s="119"/>
      <c r="P160" s="119"/>
      <c r="Q160" s="117"/>
      <c r="R160" s="96"/>
      <c r="S160" s="96"/>
      <c r="T160" s="96"/>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row>
    <row r="161" spans="1:64" ht="15">
      <c r="A161" s="85">
        <v>9</v>
      </c>
      <c r="B161" s="79" t="str">
        <f>+B149</f>
        <v xml:space="preserve">  Transmission </v>
      </c>
      <c r="C161" s="102" t="s">
        <v>54</v>
      </c>
      <c r="D161" s="133">
        <f>'EIA412 ELECTRIC PLANT'!K17</f>
        <v>38696</v>
      </c>
      <c r="E161" s="84"/>
      <c r="F161" s="84" t="s">
        <v>65</v>
      </c>
      <c r="G161" s="130">
        <f>+G114</f>
        <v>1</v>
      </c>
      <c r="H161" s="84"/>
      <c r="I161" s="84">
        <f>+G161*D161</f>
        <v>38696</v>
      </c>
      <c r="J161" s="84"/>
      <c r="K161" s="132"/>
      <c r="L161" s="118"/>
      <c r="M161" s="117"/>
      <c r="N161" s="96"/>
      <c r="O161" s="119"/>
      <c r="P161" s="122"/>
      <c r="Q161" s="119"/>
      <c r="R161" s="96"/>
      <c r="S161" s="96"/>
      <c r="T161" s="96"/>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row>
    <row r="162" spans="1:64" ht="15">
      <c r="A162" s="85">
        <v>10</v>
      </c>
      <c r="B162" s="79" t="s">
        <v>116</v>
      </c>
      <c r="C162" s="102" t="s">
        <v>54</v>
      </c>
      <c r="D162" s="133">
        <f>'EIA412 ELECTRIC PLANT'!K19</f>
        <v>68869</v>
      </c>
      <c r="E162" s="84"/>
      <c r="F162" s="84" t="s">
        <v>117</v>
      </c>
      <c r="G162" s="130">
        <f>+G152</f>
        <v>1.3736891558655394E-2</v>
      </c>
      <c r="H162" s="84"/>
      <c r="I162" s="84">
        <f>+G162*D162</f>
        <v>946.04598475303828</v>
      </c>
      <c r="J162" s="84"/>
      <c r="K162" s="132"/>
      <c r="L162" s="118"/>
      <c r="M162" s="117"/>
      <c r="N162" s="96"/>
      <c r="O162" s="119"/>
      <c r="P162" s="122"/>
      <c r="Q162" s="119"/>
      <c r="R162" s="96"/>
      <c r="S162" s="96"/>
      <c r="T162" s="96"/>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row>
    <row r="163" spans="1:64" ht="15.75" thickBot="1">
      <c r="A163" s="85">
        <v>11</v>
      </c>
      <c r="B163" s="79" t="str">
        <f>+B156</f>
        <v xml:space="preserve">  Common</v>
      </c>
      <c r="C163" s="84"/>
      <c r="D163" s="131">
        <v>0</v>
      </c>
      <c r="E163" s="84"/>
      <c r="F163" s="84" t="s">
        <v>119</v>
      </c>
      <c r="G163" s="130">
        <f>+G156</f>
        <v>1.3736891558655394E-2</v>
      </c>
      <c r="H163" s="84"/>
      <c r="I163" s="100">
        <f>+G163*D163</f>
        <v>0</v>
      </c>
      <c r="J163" s="84"/>
      <c r="K163" s="132"/>
      <c r="L163" s="118"/>
      <c r="M163" s="117"/>
      <c r="N163" s="96"/>
      <c r="O163" s="119"/>
      <c r="P163" s="122"/>
      <c r="Q163" s="119"/>
      <c r="R163" s="96"/>
      <c r="S163" s="96"/>
      <c r="T163" s="96"/>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row>
    <row r="164" spans="1:64" ht="15">
      <c r="A164" s="85">
        <v>12</v>
      </c>
      <c r="B164" s="79" t="s">
        <v>159</v>
      </c>
      <c r="C164" s="84"/>
      <c r="D164" s="84">
        <f>SUM(D161:D163)</f>
        <v>107565</v>
      </c>
      <c r="E164" s="84"/>
      <c r="F164" s="84"/>
      <c r="G164" s="84"/>
      <c r="H164" s="84"/>
      <c r="I164" s="84">
        <f>SUM(I161:I163)</f>
        <v>39642.045984753036</v>
      </c>
      <c r="J164" s="84"/>
      <c r="K164" s="84"/>
      <c r="L164" s="118"/>
      <c r="M164" s="117"/>
      <c r="N164" s="96"/>
      <c r="O164" s="134"/>
      <c r="P164" s="119"/>
      <c r="Q164" s="117"/>
      <c r="R164" s="96"/>
      <c r="S164" s="96"/>
      <c r="T164" s="96"/>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row>
    <row r="165" spans="1:64" ht="15">
      <c r="A165" s="85"/>
      <c r="B165" s="79"/>
      <c r="C165" s="84"/>
      <c r="D165" s="84"/>
      <c r="E165" s="84"/>
      <c r="F165" s="84"/>
      <c r="G165" s="84"/>
      <c r="H165" s="84"/>
      <c r="I165" s="84"/>
      <c r="J165" s="84"/>
      <c r="K165" s="84"/>
      <c r="L165" s="118"/>
      <c r="M165" s="117"/>
      <c r="N165" s="96"/>
      <c r="O165" s="119"/>
      <c r="P165" s="119"/>
      <c r="Q165" s="117"/>
      <c r="R165" s="96"/>
      <c r="S165" s="96"/>
      <c r="T165" s="96"/>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row>
    <row r="166" spans="1:64" ht="15">
      <c r="A166" s="85" t="s">
        <v>54</v>
      </c>
      <c r="B166" s="79" t="s">
        <v>160</v>
      </c>
      <c r="C166" s="102"/>
      <c r="D166" s="84"/>
      <c r="E166" s="84"/>
      <c r="F166" s="84"/>
      <c r="G166" s="84"/>
      <c r="H166" s="84"/>
      <c r="I166" s="84"/>
      <c r="J166" s="84"/>
      <c r="K166" s="84"/>
      <c r="L166" s="118"/>
      <c r="M166" s="117"/>
      <c r="N166" s="96"/>
      <c r="O166" s="119"/>
      <c r="P166" s="119"/>
      <c r="Q166" s="117"/>
      <c r="R166" s="96"/>
      <c r="S166" s="96"/>
      <c r="T166" s="96"/>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row>
    <row r="167" spans="1:64" ht="15">
      <c r="A167" s="85"/>
      <c r="B167" s="79" t="s">
        <v>161</v>
      </c>
      <c r="C167" s="102"/>
      <c r="D167" s="102"/>
      <c r="E167" s="84"/>
      <c r="F167" s="84"/>
      <c r="G167" s="102"/>
      <c r="H167" s="84"/>
      <c r="I167" s="102"/>
      <c r="J167" s="84"/>
      <c r="K167" s="132"/>
      <c r="L167" s="118"/>
      <c r="M167" s="117"/>
      <c r="N167" s="96"/>
      <c r="O167" s="138"/>
      <c r="P167" s="122"/>
      <c r="Q167" s="117"/>
      <c r="R167" s="96"/>
      <c r="S167" s="96"/>
      <c r="T167" s="96"/>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row>
    <row r="168" spans="1:64" ht="15">
      <c r="A168" s="85">
        <v>13</v>
      </c>
      <c r="B168" s="79" t="s">
        <v>162</v>
      </c>
      <c r="C168" s="84"/>
      <c r="D168" s="133">
        <f>'BES12_A&amp;G Detail'!F29</f>
        <v>45560</v>
      </c>
      <c r="E168" s="84"/>
      <c r="F168" s="84" t="s">
        <v>117</v>
      </c>
      <c r="G168" s="94">
        <f>+G162</f>
        <v>1.3736891558655394E-2</v>
      </c>
      <c r="H168" s="84"/>
      <c r="I168" s="84">
        <f>+G168*D168</f>
        <v>625.85277941233971</v>
      </c>
      <c r="J168" s="84"/>
      <c r="K168" s="132"/>
      <c r="L168" s="118"/>
      <c r="M168" s="117"/>
      <c r="N168" s="96"/>
      <c r="O168" s="138"/>
      <c r="P168" s="122"/>
      <c r="Q168" s="117"/>
      <c r="R168" s="96"/>
      <c r="S168" s="96"/>
      <c r="T168" s="96"/>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row>
    <row r="169" spans="1:64" ht="15">
      <c r="A169" s="85">
        <v>14</v>
      </c>
      <c r="B169" s="79" t="s">
        <v>163</v>
      </c>
      <c r="C169" s="84"/>
      <c r="D169" s="133">
        <v>0</v>
      </c>
      <c r="E169" s="84"/>
      <c r="F169" s="84" t="str">
        <f>+F168</f>
        <v>W/S</v>
      </c>
      <c r="G169" s="94">
        <f>+G168</f>
        <v>1.3736891558655394E-2</v>
      </c>
      <c r="H169" s="84"/>
      <c r="I169" s="84">
        <f>+G169*D169</f>
        <v>0</v>
      </c>
      <c r="J169" s="84"/>
      <c r="K169" s="132"/>
      <c r="L169" s="118"/>
      <c r="M169" s="117"/>
      <c r="N169" s="96"/>
      <c r="O169" s="138"/>
      <c r="P169" s="122"/>
      <c r="Q169" s="117"/>
      <c r="R169" s="96"/>
      <c r="S169" s="96"/>
      <c r="T169" s="96"/>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row>
    <row r="170" spans="1:64" ht="15">
      <c r="A170" s="85">
        <v>15</v>
      </c>
      <c r="B170" s="79" t="s">
        <v>164</v>
      </c>
      <c r="C170" s="84"/>
      <c r="D170" s="102"/>
      <c r="E170" s="84"/>
      <c r="F170" s="84"/>
      <c r="G170" s="102"/>
      <c r="H170" s="84"/>
      <c r="I170" s="102"/>
      <c r="J170" s="84"/>
      <c r="K170" s="132"/>
      <c r="L170" s="118"/>
      <c r="M170" s="117"/>
      <c r="N170" s="96"/>
      <c r="O170" s="138"/>
      <c r="P170" s="122"/>
      <c r="Q170" s="117"/>
      <c r="R170" s="96"/>
      <c r="S170" s="96"/>
      <c r="T170" s="96"/>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row>
    <row r="171" spans="1:64" ht="15">
      <c r="A171" s="85">
        <v>16</v>
      </c>
      <c r="B171" s="79" t="s">
        <v>165</v>
      </c>
      <c r="C171" s="84"/>
      <c r="D171" s="133">
        <v>0</v>
      </c>
      <c r="E171" s="84"/>
      <c r="F171" s="84" t="s">
        <v>148</v>
      </c>
      <c r="G171" s="94">
        <f>+G88</f>
        <v>0.14884359077172335</v>
      </c>
      <c r="H171" s="84"/>
      <c r="I171" s="84">
        <f>+G171*D171</f>
        <v>0</v>
      </c>
      <c r="J171" s="84"/>
      <c r="K171" s="132"/>
      <c r="L171" s="118"/>
      <c r="M171" s="117"/>
      <c r="N171" s="96"/>
      <c r="O171" s="138"/>
      <c r="P171" s="122"/>
      <c r="Q171" s="117"/>
      <c r="R171" s="96"/>
      <c r="S171" s="96"/>
      <c r="T171" s="96"/>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row>
    <row r="172" spans="1:64" ht="15">
      <c r="A172" s="85">
        <v>17</v>
      </c>
      <c r="B172" s="79" t="s">
        <v>166</v>
      </c>
      <c r="C172" s="84"/>
      <c r="D172" s="133">
        <v>0</v>
      </c>
      <c r="E172" s="84"/>
      <c r="F172" s="84" t="s">
        <v>113</v>
      </c>
      <c r="G172" s="145" t="s">
        <v>133</v>
      </c>
      <c r="H172" s="84"/>
      <c r="I172" s="84">
        <v>0</v>
      </c>
      <c r="J172" s="84"/>
      <c r="K172" s="132"/>
      <c r="L172" s="118"/>
      <c r="M172" s="117"/>
      <c r="N172" s="96"/>
      <c r="O172" s="138"/>
      <c r="P172" s="122"/>
      <c r="Q172" s="117"/>
      <c r="R172" s="96"/>
      <c r="S172" s="96"/>
      <c r="T172" s="96"/>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row>
    <row r="173" spans="1:64" ht="15">
      <c r="A173" s="85">
        <v>18</v>
      </c>
      <c r="B173" s="79" t="s">
        <v>167</v>
      </c>
      <c r="C173" s="84"/>
      <c r="D173" s="133">
        <v>0</v>
      </c>
      <c r="E173" s="84"/>
      <c r="F173" s="84" t="str">
        <f>+F171</f>
        <v>GP</v>
      </c>
      <c r="G173" s="94">
        <f>+G171</f>
        <v>0.14884359077172335</v>
      </c>
      <c r="H173" s="84"/>
      <c r="I173" s="84">
        <f>+G173*D173</f>
        <v>0</v>
      </c>
      <c r="J173" s="84"/>
      <c r="K173" s="132"/>
      <c r="L173" s="118"/>
      <c r="M173" s="117"/>
      <c r="N173" s="96"/>
      <c r="O173" s="138"/>
      <c r="P173" s="122"/>
      <c r="Q173" s="117"/>
      <c r="R173" s="96"/>
      <c r="S173" s="96"/>
      <c r="T173" s="96"/>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row>
    <row r="174" spans="1:64" ht="15.75" thickBot="1">
      <c r="A174" s="85">
        <v>19</v>
      </c>
      <c r="B174" s="79" t="s">
        <v>168</v>
      </c>
      <c r="C174" s="84"/>
      <c r="D174" s="131">
        <f>'EIA412 TAXES'!C18-'Attachment O'!D168</f>
        <v>202765</v>
      </c>
      <c r="E174" s="84"/>
      <c r="F174" s="84" t="s">
        <v>148</v>
      </c>
      <c r="G174" s="94">
        <f>+G173</f>
        <v>0.14884359077172335</v>
      </c>
      <c r="H174" s="84"/>
      <c r="I174" s="100">
        <f>+G174*D174</f>
        <v>30180.270682828486</v>
      </c>
      <c r="J174" s="84"/>
      <c r="K174" s="132"/>
      <c r="L174" s="118"/>
      <c r="M174" s="117"/>
      <c r="N174" s="96"/>
      <c r="O174" s="138"/>
      <c r="P174" s="122"/>
      <c r="Q174" s="117"/>
      <c r="R174" s="96"/>
      <c r="S174" s="96"/>
      <c r="T174" s="96"/>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row>
    <row r="175" spans="1:64" ht="15">
      <c r="A175" s="85">
        <v>20</v>
      </c>
      <c r="B175" s="79" t="s">
        <v>169</v>
      </c>
      <c r="C175" s="84"/>
      <c r="D175" s="84">
        <f>SUM(D168:D174)</f>
        <v>248325</v>
      </c>
      <c r="E175" s="84"/>
      <c r="F175" s="84"/>
      <c r="G175" s="94"/>
      <c r="H175" s="84"/>
      <c r="I175" s="84">
        <f>SUM(I168:I174)</f>
        <v>30806.123462240826</v>
      </c>
      <c r="J175" s="84"/>
      <c r="K175" s="84"/>
      <c r="L175" s="118"/>
      <c r="M175" s="119"/>
      <c r="N175" s="96"/>
      <c r="O175" s="134"/>
      <c r="P175" s="119"/>
      <c r="Q175" s="117"/>
      <c r="R175" s="96"/>
      <c r="S175" s="96"/>
      <c r="T175" s="96"/>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row>
    <row r="176" spans="1:64" ht="15">
      <c r="A176" s="85"/>
      <c r="B176" s="79"/>
      <c r="C176" s="84"/>
      <c r="D176" s="84"/>
      <c r="E176" s="84"/>
      <c r="F176" s="84"/>
      <c r="G176" s="94"/>
      <c r="H176" s="84"/>
      <c r="I176" s="84"/>
      <c r="J176" s="84"/>
      <c r="K176" s="84"/>
      <c r="L176" s="118"/>
      <c r="M176" s="119"/>
      <c r="N176" s="96"/>
      <c r="O176" s="134"/>
      <c r="P176" s="119"/>
      <c r="Q176" s="117"/>
      <c r="R176" s="96"/>
      <c r="S176" s="96"/>
      <c r="T176" s="96"/>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row>
    <row r="177" spans="1:64" ht="15">
      <c r="A177" s="85" t="s">
        <v>54</v>
      </c>
      <c r="B177" s="79" t="s">
        <v>170</v>
      </c>
      <c r="C177" s="146" t="s">
        <v>171</v>
      </c>
      <c r="D177" s="84"/>
      <c r="E177" s="84"/>
      <c r="F177" s="84" t="s">
        <v>113</v>
      </c>
      <c r="G177" s="147"/>
      <c r="H177" s="84"/>
      <c r="I177" s="84"/>
      <c r="J177" s="84"/>
      <c r="K177" s="102"/>
      <c r="L177" s="118"/>
      <c r="M177" s="119"/>
      <c r="N177" s="96"/>
      <c r="O177" s="119"/>
      <c r="P177" s="139"/>
      <c r="Q177" s="119"/>
      <c r="R177" s="96"/>
      <c r="S177" s="96"/>
      <c r="T177" s="96"/>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row>
    <row r="178" spans="1:64" ht="15">
      <c r="A178" s="85">
        <v>21</v>
      </c>
      <c r="B178" s="148" t="s">
        <v>172</v>
      </c>
      <c r="C178" s="84"/>
      <c r="D178" s="149">
        <f>IF(D317&gt;0,1-(((1-D318)*(1-D317))/(1-D318*D317*D319)),0)</f>
        <v>0</v>
      </c>
      <c r="E178" s="84"/>
      <c r="G178" s="147"/>
      <c r="H178" s="84"/>
      <c r="J178" s="84"/>
      <c r="K178" s="102"/>
      <c r="L178" s="118"/>
      <c r="M178" s="119"/>
      <c r="N178" s="96"/>
      <c r="O178" s="119"/>
      <c r="P178" s="139"/>
      <c r="Q178" s="119"/>
      <c r="R178" s="96"/>
      <c r="S178" s="96"/>
      <c r="T178" s="96"/>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row>
    <row r="179" spans="1:64" ht="15">
      <c r="A179" s="85">
        <v>22</v>
      </c>
      <c r="B179" s="76" t="s">
        <v>173</v>
      </c>
      <c r="C179" s="84"/>
      <c r="D179" s="149">
        <f>IF(I250&gt;0,(D178/(1-D178))*(1-I248/I250),0)</f>
        <v>0</v>
      </c>
      <c r="E179" s="84"/>
      <c r="G179" s="147"/>
      <c r="H179" s="84"/>
      <c r="J179" s="84"/>
      <c r="K179" s="102"/>
      <c r="L179" s="118"/>
      <c r="M179" s="119"/>
      <c r="N179" s="96"/>
      <c r="O179" s="119"/>
      <c r="P179" s="122"/>
      <c r="Q179" s="119"/>
      <c r="R179" s="96"/>
      <c r="S179" s="96"/>
      <c r="T179" s="96"/>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row>
    <row r="180" spans="1:64" ht="15">
      <c r="A180" s="85"/>
      <c r="B180" s="79" t="s">
        <v>654</v>
      </c>
      <c r="C180" s="84"/>
      <c r="D180" s="84"/>
      <c r="E180" s="84"/>
      <c r="G180" s="147"/>
      <c r="H180" s="84"/>
      <c r="J180" s="84"/>
      <c r="K180" s="102"/>
      <c r="L180" s="118"/>
      <c r="M180" s="119"/>
      <c r="N180" s="96"/>
      <c r="O180" s="119"/>
      <c r="P180" s="122"/>
      <c r="Q180" s="119"/>
      <c r="R180" s="96"/>
      <c r="S180" s="96"/>
      <c r="T180" s="96"/>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row>
    <row r="181" spans="1:64" ht="15">
      <c r="A181" s="85"/>
      <c r="B181" s="79" t="s">
        <v>174</v>
      </c>
      <c r="C181" s="84"/>
      <c r="D181" s="84"/>
      <c r="E181" s="84"/>
      <c r="G181" s="147"/>
      <c r="H181" s="84"/>
      <c r="J181" s="84"/>
      <c r="K181" s="102"/>
      <c r="L181" s="118"/>
      <c r="M181" s="119"/>
      <c r="N181" s="96"/>
      <c r="O181" s="119"/>
      <c r="P181" s="122"/>
      <c r="Q181" s="119"/>
      <c r="R181" s="96"/>
      <c r="S181" s="96"/>
      <c r="T181" s="96"/>
      <c r="U181" s="78"/>
      <c r="V181" s="7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row>
    <row r="182" spans="1:64" ht="15">
      <c r="A182" s="85">
        <v>23</v>
      </c>
      <c r="B182" s="148" t="s">
        <v>175</v>
      </c>
      <c r="C182" s="84"/>
      <c r="D182" s="150">
        <f>IF(D178&gt;0,1/(1-D178),0)</f>
        <v>0</v>
      </c>
      <c r="E182" s="84"/>
      <c r="G182" s="147"/>
      <c r="H182" s="84"/>
      <c r="J182" s="84"/>
      <c r="K182" s="102"/>
      <c r="L182" s="118"/>
      <c r="M182" s="117"/>
      <c r="N182" s="96"/>
      <c r="O182" s="119"/>
      <c r="P182" s="122"/>
      <c r="Q182" s="119"/>
      <c r="R182" s="96"/>
      <c r="S182" s="96"/>
      <c r="T182" s="96"/>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row>
    <row r="183" spans="1:64" ht="15">
      <c r="A183" s="85">
        <v>24</v>
      </c>
      <c r="B183" s="79" t="s">
        <v>176</v>
      </c>
      <c r="C183" s="84"/>
      <c r="D183" s="133">
        <v>0</v>
      </c>
      <c r="E183" s="84"/>
      <c r="G183" s="147"/>
      <c r="H183" s="84"/>
      <c r="J183" s="84"/>
      <c r="K183" s="102"/>
      <c r="L183" s="118"/>
      <c r="M183" s="117"/>
      <c r="N183" s="96"/>
      <c r="O183" s="119"/>
      <c r="P183" s="122"/>
      <c r="Q183" s="119"/>
      <c r="R183" s="96"/>
      <c r="S183" s="96"/>
      <c r="T183" s="96"/>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row>
    <row r="184" spans="1:64" ht="15">
      <c r="A184" s="85"/>
      <c r="B184" s="79"/>
      <c r="C184" s="84"/>
      <c r="D184" s="84"/>
      <c r="E184" s="84"/>
      <c r="G184" s="147"/>
      <c r="H184" s="84"/>
      <c r="J184" s="84"/>
      <c r="K184" s="102"/>
      <c r="L184" s="118"/>
      <c r="M184" s="117"/>
      <c r="N184" s="96"/>
      <c r="O184" s="119"/>
      <c r="P184" s="122"/>
      <c r="Q184" s="119"/>
      <c r="R184" s="96"/>
      <c r="S184" s="96"/>
      <c r="T184" s="96"/>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row>
    <row r="185" spans="1:64" ht="15">
      <c r="A185" s="85">
        <v>25</v>
      </c>
      <c r="B185" s="148" t="s">
        <v>177</v>
      </c>
      <c r="C185" s="146"/>
      <c r="D185" s="84">
        <f>D179*D189</f>
        <v>0</v>
      </c>
      <c r="E185" s="84"/>
      <c r="F185" s="84" t="s">
        <v>113</v>
      </c>
      <c r="G185" s="94"/>
      <c r="H185" s="84"/>
      <c r="I185" s="84">
        <f>D179*I189</f>
        <v>0</v>
      </c>
      <c r="J185" s="84"/>
      <c r="K185" s="102"/>
      <c r="L185" s="118"/>
      <c r="M185" s="117"/>
      <c r="N185" s="96"/>
      <c r="O185" s="119"/>
      <c r="P185" s="122"/>
      <c r="Q185" s="119"/>
      <c r="R185" s="96"/>
      <c r="S185" s="96"/>
      <c r="T185" s="96"/>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row>
    <row r="186" spans="1:64" ht="15.75" thickBot="1">
      <c r="A186" s="85">
        <v>26</v>
      </c>
      <c r="B186" s="363" t="s">
        <v>178</v>
      </c>
      <c r="C186" s="146"/>
      <c r="D186" s="100">
        <f>D182*D183</f>
        <v>0</v>
      </c>
      <c r="E186" s="84"/>
      <c r="F186" s="76" t="s">
        <v>135</v>
      </c>
      <c r="G186" s="94">
        <f>G104</f>
        <v>6.5107506804376575E-2</v>
      </c>
      <c r="H186" s="84"/>
      <c r="I186" s="100">
        <f>G186*D186</f>
        <v>0</v>
      </c>
      <c r="J186" s="84"/>
      <c r="K186" s="102"/>
      <c r="L186" s="118"/>
      <c r="M186" s="119"/>
      <c r="N186" s="96"/>
      <c r="O186" s="119"/>
      <c r="P186" s="122"/>
      <c r="Q186" s="119"/>
      <c r="R186" s="96"/>
      <c r="S186" s="96"/>
      <c r="T186" s="96"/>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row>
    <row r="187" spans="1:64" ht="15">
      <c r="A187" s="85">
        <v>27</v>
      </c>
      <c r="B187" s="148" t="s">
        <v>179</v>
      </c>
      <c r="C187" s="76" t="s">
        <v>180</v>
      </c>
      <c r="D187" s="151">
        <f>+D185+D186</f>
        <v>0</v>
      </c>
      <c r="E187" s="84"/>
      <c r="F187" s="84" t="s">
        <v>54</v>
      </c>
      <c r="G187" s="94" t="s">
        <v>54</v>
      </c>
      <c r="H187" s="84"/>
      <c r="I187" s="151">
        <f>+I185+I186</f>
        <v>0</v>
      </c>
      <c r="J187" s="84"/>
      <c r="K187" s="102"/>
      <c r="L187" s="118"/>
      <c r="M187" s="119"/>
      <c r="N187" s="96"/>
      <c r="O187" s="119"/>
      <c r="P187" s="122"/>
      <c r="Q187" s="119"/>
      <c r="R187" s="96"/>
      <c r="S187" s="96"/>
      <c r="T187" s="96"/>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row>
    <row r="188" spans="1:64" ht="15">
      <c r="A188" s="85" t="s">
        <v>54</v>
      </c>
      <c r="C188" s="152"/>
      <c r="D188" s="84"/>
      <c r="E188" s="84"/>
      <c r="F188" s="84"/>
      <c r="G188" s="94"/>
      <c r="H188" s="84"/>
      <c r="I188" s="84"/>
      <c r="J188" s="84"/>
      <c r="K188" s="84"/>
      <c r="L188" s="118"/>
      <c r="M188" s="119"/>
      <c r="N188" s="96"/>
      <c r="O188" s="119"/>
      <c r="P188" s="119"/>
      <c r="Q188" s="117"/>
      <c r="R188" s="96"/>
      <c r="S188" s="96"/>
      <c r="T188" s="96"/>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row>
    <row r="189" spans="1:64" s="350" customFormat="1" ht="15">
      <c r="A189" s="349">
        <v>28</v>
      </c>
      <c r="B189" s="351" t="s">
        <v>181</v>
      </c>
      <c r="C189" s="345"/>
      <c r="D189" s="346">
        <f>+$I250*D122</f>
        <v>946673.19534085074</v>
      </c>
      <c r="E189" s="346"/>
      <c r="F189" s="346" t="s">
        <v>113</v>
      </c>
      <c r="G189" s="347"/>
      <c r="H189" s="346"/>
      <c r="I189" s="346">
        <f>+$I250*I122</f>
        <v>63695.986141694542</v>
      </c>
      <c r="J189" s="346"/>
      <c r="K189" s="355"/>
      <c r="L189" s="356"/>
      <c r="M189" s="117"/>
      <c r="N189" s="96"/>
      <c r="O189" s="119"/>
      <c r="P189" s="122"/>
      <c r="Q189" s="119"/>
      <c r="R189" s="96"/>
      <c r="S189" s="96"/>
      <c r="T189" s="96"/>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c r="BG189" s="88"/>
      <c r="BH189" s="88"/>
      <c r="BI189" s="88"/>
      <c r="BJ189" s="88"/>
      <c r="BK189" s="88"/>
      <c r="BL189" s="88"/>
    </row>
    <row r="190" spans="1:64" s="350" customFormat="1" ht="15">
      <c r="A190" s="349"/>
      <c r="B190" s="357" t="s">
        <v>182</v>
      </c>
      <c r="C190" s="355"/>
      <c r="D190" s="346"/>
      <c r="E190" s="346"/>
      <c r="F190" s="346"/>
      <c r="G190" s="347"/>
      <c r="H190" s="346"/>
      <c r="I190" s="346"/>
      <c r="J190" s="346"/>
      <c r="K190" s="345"/>
      <c r="L190" s="356"/>
      <c r="M190" s="97"/>
      <c r="N190" s="96"/>
      <c r="O190" s="119"/>
      <c r="P190" s="122"/>
      <c r="Q190" s="119"/>
      <c r="R190" s="96"/>
      <c r="S190" s="96"/>
      <c r="T190" s="96"/>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c r="BD190" s="88"/>
      <c r="BE190" s="88"/>
      <c r="BF190" s="88"/>
      <c r="BG190" s="88"/>
      <c r="BH190" s="88"/>
      <c r="BI190" s="88"/>
      <c r="BJ190" s="88"/>
      <c r="BK190" s="88"/>
      <c r="BL190" s="88"/>
    </row>
    <row r="191" spans="1:64" s="350" customFormat="1" ht="15">
      <c r="A191" s="349"/>
      <c r="B191" s="351"/>
      <c r="C191" s="355"/>
      <c r="D191" s="358"/>
      <c r="E191" s="346"/>
      <c r="F191" s="346"/>
      <c r="G191" s="347"/>
      <c r="H191" s="346"/>
      <c r="I191" s="358"/>
      <c r="J191" s="346"/>
      <c r="K191" s="345"/>
      <c r="L191" s="356"/>
      <c r="M191" s="97"/>
      <c r="N191" s="96"/>
      <c r="O191" s="119"/>
      <c r="P191" s="122"/>
      <c r="Q191" s="119"/>
      <c r="R191" s="96"/>
      <c r="S191" s="96"/>
      <c r="T191" s="96"/>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c r="BC191" s="88"/>
      <c r="BD191" s="88"/>
      <c r="BE191" s="88"/>
      <c r="BF191" s="88"/>
      <c r="BG191" s="88"/>
      <c r="BH191" s="88"/>
      <c r="BI191" s="88"/>
      <c r="BJ191" s="88"/>
      <c r="BK191" s="88"/>
      <c r="BL191" s="88"/>
    </row>
    <row r="192" spans="1:64" s="350" customFormat="1" ht="15">
      <c r="A192" s="349">
        <v>29</v>
      </c>
      <c r="B192" s="351" t="s">
        <v>183</v>
      </c>
      <c r="C192" s="346"/>
      <c r="D192" s="129">
        <f>+D189+D187+D175+D164+D158</f>
        <v>1942689.6402408509</v>
      </c>
      <c r="E192" s="346"/>
      <c r="F192" s="346"/>
      <c r="G192" s="346"/>
      <c r="H192" s="346"/>
      <c r="I192" s="358">
        <f>+I189+I187+I175+I164+I158</f>
        <v>254416.69372748077</v>
      </c>
      <c r="J192" s="359"/>
      <c r="K192" s="359"/>
      <c r="L192" s="188"/>
      <c r="M192" s="97"/>
      <c r="N192" s="96"/>
      <c r="O192" s="97"/>
      <c r="P192" s="139"/>
      <c r="Q192" s="117"/>
      <c r="R192" s="96"/>
      <c r="S192" s="96"/>
      <c r="T192" s="96"/>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c r="BG192" s="88"/>
      <c r="BH192" s="88"/>
      <c r="BI192" s="88"/>
      <c r="BJ192" s="88"/>
      <c r="BK192" s="88"/>
      <c r="BL192" s="88"/>
    </row>
    <row r="193" spans="1:64" s="350" customFormat="1" ht="15">
      <c r="A193" s="349"/>
      <c r="B193" s="351"/>
      <c r="C193" s="346"/>
      <c r="D193" s="358"/>
      <c r="E193" s="346"/>
      <c r="F193" s="346"/>
      <c r="G193" s="346"/>
      <c r="H193" s="346"/>
      <c r="I193" s="358"/>
      <c r="J193" s="359"/>
      <c r="K193" s="359"/>
      <c r="L193" s="188"/>
      <c r="M193" s="97"/>
      <c r="N193" s="96"/>
      <c r="O193" s="97"/>
      <c r="P193" s="139"/>
      <c r="Q193" s="117"/>
      <c r="R193" s="96"/>
      <c r="S193" s="96"/>
      <c r="T193" s="96"/>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c r="BC193" s="88"/>
      <c r="BD193" s="88"/>
      <c r="BE193" s="88"/>
      <c r="BF193" s="88"/>
      <c r="BG193" s="88"/>
      <c r="BH193" s="88"/>
      <c r="BI193" s="88"/>
      <c r="BJ193" s="88"/>
      <c r="BK193" s="88"/>
      <c r="BL193" s="88"/>
    </row>
    <row r="194" spans="1:64" s="350" customFormat="1" ht="15">
      <c r="A194" s="349">
        <v>30</v>
      </c>
      <c r="B194" s="351" t="s">
        <v>17</v>
      </c>
      <c r="C194" s="346"/>
      <c r="D194" s="358"/>
      <c r="E194" s="346"/>
      <c r="F194" s="346"/>
      <c r="G194" s="346"/>
      <c r="H194" s="346"/>
      <c r="I194" s="358">
        <f>D194</f>
        <v>0</v>
      </c>
      <c r="J194" s="359"/>
      <c r="K194" s="359"/>
      <c r="L194" s="188"/>
      <c r="M194" s="97"/>
      <c r="N194" s="96"/>
      <c r="O194" s="97"/>
      <c r="P194" s="139"/>
      <c r="Q194" s="117"/>
      <c r="R194" s="96"/>
      <c r="S194" s="96"/>
      <c r="T194" s="96"/>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c r="BG194" s="88"/>
      <c r="BH194" s="88"/>
      <c r="BI194" s="88"/>
      <c r="BJ194" s="88"/>
      <c r="BK194" s="88"/>
      <c r="BL194" s="88"/>
    </row>
    <row r="195" spans="1:64" s="350" customFormat="1" ht="15">
      <c r="A195" s="349"/>
      <c r="B195" s="351" t="s">
        <v>636</v>
      </c>
      <c r="C195" s="346"/>
      <c r="D195" s="358"/>
      <c r="E195" s="346"/>
      <c r="F195" s="346"/>
      <c r="G195" s="346"/>
      <c r="H195" s="346"/>
      <c r="I195" s="358"/>
      <c r="J195" s="359"/>
      <c r="K195" s="359"/>
      <c r="L195" s="188"/>
      <c r="M195" s="97"/>
      <c r="N195" s="96"/>
      <c r="O195" s="97"/>
      <c r="P195" s="139"/>
      <c r="Q195" s="117"/>
      <c r="R195" s="96"/>
      <c r="S195" s="96"/>
      <c r="T195" s="96"/>
      <c r="U195" s="88"/>
      <c r="V195" s="88"/>
      <c r="W195" s="88"/>
      <c r="X195" s="88"/>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c r="BG195" s="88"/>
      <c r="BH195" s="88"/>
      <c r="BI195" s="88"/>
      <c r="BJ195" s="88"/>
      <c r="BK195" s="88"/>
      <c r="BL195" s="88"/>
    </row>
    <row r="196" spans="1:64" s="350" customFormat="1" ht="15">
      <c r="A196" s="349"/>
      <c r="B196" s="355" t="s">
        <v>18</v>
      </c>
      <c r="C196" s="355"/>
      <c r="D196" s="360"/>
      <c r="E196" s="355"/>
      <c r="F196" s="355"/>
      <c r="G196" s="355"/>
      <c r="H196" s="355"/>
      <c r="I196" s="355"/>
      <c r="J196" s="346"/>
      <c r="K196" s="346"/>
      <c r="L196" s="356"/>
      <c r="M196" s="97"/>
      <c r="N196" s="96"/>
      <c r="O196" s="119"/>
      <c r="P196" s="122"/>
      <c r="Q196" s="119"/>
      <c r="R196" s="96"/>
      <c r="S196" s="96"/>
      <c r="T196" s="96"/>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c r="BG196" s="88"/>
      <c r="BH196" s="88"/>
      <c r="BI196" s="88"/>
      <c r="BJ196" s="88"/>
      <c r="BK196" s="88"/>
      <c r="BL196" s="88"/>
    </row>
    <row r="197" spans="1:64" s="350" customFormat="1" ht="15">
      <c r="A197" s="349"/>
      <c r="B197" s="355"/>
      <c r="C197" s="355"/>
      <c r="D197" s="360"/>
      <c r="E197" s="355"/>
      <c r="F197" s="355"/>
      <c r="G197" s="355"/>
      <c r="H197" s="355"/>
      <c r="I197" s="355"/>
      <c r="J197" s="346"/>
      <c r="K197" s="346"/>
      <c r="L197" s="356"/>
      <c r="M197" s="97"/>
      <c r="N197" s="96"/>
      <c r="O197" s="119"/>
      <c r="P197" s="122"/>
      <c r="Q197" s="119"/>
      <c r="R197" s="96"/>
      <c r="S197" s="96"/>
      <c r="T197" s="96"/>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c r="BI197" s="88"/>
      <c r="BJ197" s="88"/>
      <c r="BK197" s="88"/>
      <c r="BL197" s="88"/>
    </row>
    <row r="198" spans="1:64" s="350" customFormat="1" ht="15.75">
      <c r="A198" s="399" t="s">
        <v>655</v>
      </c>
      <c r="B198" s="400" t="s">
        <v>656</v>
      </c>
      <c r="C198" s="398"/>
      <c r="D198" s="398"/>
      <c r="E198" s="398"/>
      <c r="F198" s="398"/>
      <c r="G198" s="398"/>
      <c r="H198" s="398"/>
      <c r="I198" s="398"/>
      <c r="J198" s="346"/>
      <c r="K198" s="346"/>
      <c r="L198" s="356"/>
      <c r="M198" s="97"/>
      <c r="N198" s="96"/>
      <c r="O198" s="119"/>
      <c r="P198" s="122"/>
      <c r="Q198" s="119"/>
      <c r="R198" s="96"/>
      <c r="S198" s="96"/>
      <c r="T198" s="96"/>
      <c r="U198" s="88"/>
      <c r="V198" s="88"/>
      <c r="W198" s="88"/>
      <c r="X198" s="88"/>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c r="BD198" s="88"/>
      <c r="BE198" s="88"/>
      <c r="BF198" s="88"/>
      <c r="BG198" s="88"/>
      <c r="BH198" s="88"/>
      <c r="BI198" s="88"/>
      <c r="BJ198" s="88"/>
      <c r="BK198" s="88"/>
      <c r="BL198" s="88"/>
    </row>
    <row r="199" spans="1:64" s="350" customFormat="1" ht="15.75">
      <c r="A199" s="399"/>
      <c r="B199" s="400" t="s">
        <v>657</v>
      </c>
      <c r="C199" s="398"/>
      <c r="D199" s="398"/>
      <c r="E199" s="398"/>
      <c r="F199" s="398"/>
      <c r="G199" s="398"/>
      <c r="H199" s="398"/>
      <c r="I199" s="398"/>
      <c r="J199" s="346"/>
      <c r="K199" s="346"/>
      <c r="L199" s="356"/>
      <c r="M199" s="97"/>
      <c r="N199" s="96"/>
      <c r="O199" s="119"/>
      <c r="P199" s="122"/>
      <c r="Q199" s="119"/>
      <c r="R199" s="96"/>
      <c r="S199" s="96"/>
      <c r="T199" s="96"/>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c r="BI199" s="88"/>
      <c r="BJ199" s="88"/>
      <c r="BK199" s="88"/>
      <c r="BL199" s="88"/>
    </row>
    <row r="200" spans="1:64" s="350" customFormat="1" ht="16.5" thickBot="1">
      <c r="A200" s="399"/>
      <c r="B200" s="400" t="s">
        <v>658</v>
      </c>
      <c r="C200" s="398"/>
      <c r="D200" s="402">
        <v>0</v>
      </c>
      <c r="E200" s="401"/>
      <c r="F200" s="401"/>
      <c r="G200" s="401"/>
      <c r="H200" s="401"/>
      <c r="I200" s="402">
        <v>0</v>
      </c>
      <c r="J200" s="346"/>
      <c r="K200" s="346"/>
      <c r="L200" s="356"/>
      <c r="M200" s="97"/>
      <c r="N200" s="96"/>
      <c r="O200" s="119"/>
      <c r="P200" s="122"/>
      <c r="Q200" s="119"/>
      <c r="R200" s="96"/>
      <c r="S200" s="96"/>
      <c r="T200" s="96"/>
      <c r="U200" s="88"/>
      <c r="V200" s="88"/>
      <c r="W200" s="88"/>
      <c r="X200" s="88"/>
      <c r="Y200" s="88"/>
      <c r="Z200" s="88"/>
      <c r="AA200" s="88"/>
      <c r="AB200" s="88"/>
      <c r="AC200" s="88"/>
      <c r="AD200" s="88"/>
      <c r="AE200" s="88"/>
      <c r="AF200" s="88"/>
      <c r="AG200" s="88"/>
      <c r="AH200" s="88"/>
      <c r="AI200" s="88"/>
      <c r="AJ200" s="88"/>
      <c r="AK200" s="88"/>
      <c r="AL200" s="88"/>
      <c r="AM200" s="88"/>
      <c r="AN200" s="88"/>
      <c r="AO200" s="88"/>
      <c r="AP200" s="88"/>
      <c r="AQ200" s="88"/>
      <c r="AR200" s="88"/>
      <c r="AS200" s="88"/>
      <c r="AT200" s="88"/>
      <c r="AU200" s="88"/>
      <c r="AV200" s="88"/>
      <c r="AW200" s="88"/>
      <c r="AX200" s="88"/>
      <c r="AY200" s="88"/>
      <c r="AZ200" s="88"/>
      <c r="BA200" s="88"/>
      <c r="BB200" s="88"/>
      <c r="BC200" s="88"/>
      <c r="BD200" s="88"/>
      <c r="BE200" s="88"/>
      <c r="BF200" s="88"/>
      <c r="BG200" s="88"/>
      <c r="BH200" s="88"/>
      <c r="BI200" s="88"/>
      <c r="BJ200" s="88"/>
      <c r="BK200" s="88"/>
      <c r="BL200" s="88"/>
    </row>
    <row r="201" spans="1:64" s="350" customFormat="1" ht="15.75" thickBot="1">
      <c r="A201" s="349">
        <v>31</v>
      </c>
      <c r="B201" s="355" t="s">
        <v>19</v>
      </c>
      <c r="C201" s="355"/>
      <c r="D201" s="361">
        <f>D192-D194-D200</f>
        <v>1942689.6402408509</v>
      </c>
      <c r="E201" s="355"/>
      <c r="F201" s="355"/>
      <c r="G201" s="355"/>
      <c r="H201" s="355"/>
      <c r="I201" s="361">
        <f>I192-I194-I200</f>
        <v>254416.69372748077</v>
      </c>
      <c r="J201" s="346"/>
      <c r="K201" s="346"/>
      <c r="L201" s="356"/>
      <c r="M201" s="97"/>
      <c r="N201" s="96"/>
      <c r="O201" s="119"/>
      <c r="P201" s="122"/>
      <c r="Q201" s="119"/>
      <c r="R201" s="96"/>
      <c r="S201" s="96"/>
      <c r="T201" s="96"/>
      <c r="U201" s="88"/>
      <c r="V201" s="88"/>
      <c r="W201" s="88"/>
      <c r="X201" s="88"/>
      <c r="Y201" s="88"/>
      <c r="Z201" s="88"/>
      <c r="AA201" s="88"/>
      <c r="AB201" s="88"/>
      <c r="AC201" s="88"/>
      <c r="AD201" s="88"/>
      <c r="AE201" s="88"/>
      <c r="AF201" s="88"/>
      <c r="AG201" s="88"/>
      <c r="AH201" s="88"/>
      <c r="AI201" s="88"/>
      <c r="AJ201" s="88"/>
      <c r="AK201" s="88"/>
      <c r="AL201" s="88"/>
      <c r="AM201" s="88"/>
      <c r="AN201" s="88"/>
      <c r="AO201" s="88"/>
      <c r="AP201" s="88"/>
      <c r="AQ201" s="88"/>
      <c r="AR201" s="88"/>
      <c r="AS201" s="88"/>
      <c r="AT201" s="88"/>
      <c r="AU201" s="88"/>
      <c r="AV201" s="88"/>
      <c r="AW201" s="88"/>
      <c r="AX201" s="88"/>
      <c r="AY201" s="88"/>
      <c r="AZ201" s="88"/>
      <c r="BA201" s="88"/>
      <c r="BB201" s="88"/>
      <c r="BC201" s="88"/>
      <c r="BD201" s="88"/>
      <c r="BE201" s="88"/>
      <c r="BF201" s="88"/>
      <c r="BG201" s="88"/>
      <c r="BH201" s="88"/>
      <c r="BI201" s="88"/>
      <c r="BJ201" s="88"/>
      <c r="BK201" s="88"/>
      <c r="BL201" s="88"/>
    </row>
    <row r="202" spans="1:64" s="350" customFormat="1" ht="15.75" thickTop="1">
      <c r="A202" s="349"/>
      <c r="B202" s="355" t="s">
        <v>659</v>
      </c>
      <c r="C202" s="355"/>
      <c r="D202" s="360"/>
      <c r="E202" s="355"/>
      <c r="F202" s="355"/>
      <c r="G202" s="355"/>
      <c r="H202" s="355"/>
      <c r="I202" s="355"/>
      <c r="J202" s="346"/>
      <c r="K202" s="346"/>
      <c r="L202" s="356"/>
      <c r="M202" s="97"/>
      <c r="N202" s="96"/>
      <c r="O202" s="119"/>
      <c r="P202" s="122"/>
      <c r="Q202" s="119"/>
      <c r="R202" s="96"/>
      <c r="S202" s="96"/>
      <c r="T202" s="96"/>
      <c r="U202" s="88"/>
      <c r="V202" s="88"/>
      <c r="W202" s="88"/>
      <c r="X202" s="88"/>
      <c r="Y202" s="88"/>
      <c r="Z202" s="88"/>
      <c r="AA202" s="88"/>
      <c r="AB202" s="88"/>
      <c r="AC202" s="88"/>
      <c r="AD202" s="88"/>
      <c r="AE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c r="BC202" s="88"/>
      <c r="BD202" s="88"/>
      <c r="BE202" s="88"/>
      <c r="BF202" s="88"/>
      <c r="BG202" s="88"/>
      <c r="BH202" s="88"/>
      <c r="BI202" s="88"/>
      <c r="BJ202" s="88"/>
      <c r="BK202" s="88"/>
      <c r="BL202" s="88"/>
    </row>
    <row r="203" spans="1:64" ht="15">
      <c r="A203" s="85"/>
      <c r="B203" s="102"/>
      <c r="C203" s="102"/>
      <c r="D203" s="102"/>
      <c r="E203" s="102"/>
      <c r="F203" s="102"/>
      <c r="G203" s="102"/>
      <c r="H203" s="102"/>
      <c r="I203" s="102"/>
      <c r="J203" s="84"/>
      <c r="K203" s="84"/>
      <c r="L203" s="118"/>
      <c r="M203" s="97"/>
      <c r="N203" s="96"/>
      <c r="O203" s="119"/>
      <c r="P203" s="122"/>
      <c r="Q203" s="119"/>
      <c r="R203" s="96"/>
      <c r="S203" s="96"/>
      <c r="T203" s="96"/>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row>
    <row r="204" spans="1:64" s="433" customFormat="1" ht="15">
      <c r="A204" s="440"/>
      <c r="B204" s="446"/>
      <c r="C204" s="446"/>
      <c r="D204" s="446"/>
      <c r="E204" s="446"/>
      <c r="F204" s="446"/>
      <c r="G204" s="446"/>
      <c r="H204" s="446"/>
      <c r="I204" s="446"/>
      <c r="J204" s="439"/>
      <c r="K204" s="439"/>
      <c r="L204" s="448"/>
      <c r="M204" s="444"/>
      <c r="N204" s="443"/>
      <c r="O204" s="449"/>
      <c r="P204" s="450"/>
      <c r="Q204" s="449"/>
      <c r="R204" s="443"/>
      <c r="S204" s="443"/>
      <c r="T204" s="443"/>
      <c r="U204" s="435"/>
      <c r="V204" s="435"/>
      <c r="W204" s="435"/>
      <c r="X204" s="435"/>
      <c r="Y204" s="435"/>
      <c r="Z204" s="435"/>
      <c r="AA204" s="435"/>
      <c r="AB204" s="435"/>
      <c r="AC204" s="435"/>
      <c r="AD204" s="435"/>
      <c r="AE204" s="435"/>
      <c r="AF204" s="435"/>
      <c r="AG204" s="435"/>
      <c r="AH204" s="435"/>
      <c r="AI204" s="435"/>
      <c r="AJ204" s="435"/>
      <c r="AK204" s="435"/>
      <c r="AL204" s="435"/>
      <c r="AM204" s="435"/>
      <c r="AN204" s="435"/>
      <c r="AO204" s="435"/>
      <c r="AP204" s="435"/>
      <c r="AQ204" s="435"/>
      <c r="AR204" s="435"/>
      <c r="AS204" s="435"/>
      <c r="AT204" s="435"/>
      <c r="AU204" s="435"/>
      <c r="AV204" s="435"/>
      <c r="AW204" s="435"/>
      <c r="AX204" s="435"/>
      <c r="AY204" s="435"/>
      <c r="AZ204" s="435"/>
      <c r="BA204" s="435"/>
      <c r="BB204" s="435"/>
      <c r="BC204" s="435"/>
      <c r="BD204" s="435"/>
      <c r="BE204" s="435"/>
      <c r="BF204" s="435"/>
      <c r="BG204" s="435"/>
      <c r="BH204" s="435"/>
      <c r="BI204" s="435"/>
      <c r="BJ204" s="435"/>
      <c r="BK204" s="435"/>
      <c r="BL204" s="435"/>
    </row>
    <row r="205" spans="1:64" ht="15">
      <c r="A205"/>
      <c r="B205"/>
      <c r="C205"/>
      <c r="D205"/>
      <c r="E205"/>
      <c r="F205"/>
      <c r="G205"/>
      <c r="H205" s="426" t="str">
        <f>H138</f>
        <v>Attachment O-EIA Non-Levelized Generic</v>
      </c>
      <c r="I205" s="426"/>
      <c r="J205" s="426"/>
      <c r="K205" s="426"/>
      <c r="L205"/>
      <c r="M205"/>
      <c r="N205" s="96"/>
      <c r="O205" s="97"/>
      <c r="P205" s="97"/>
      <c r="Q205" s="97"/>
      <c r="R205" s="96"/>
      <c r="S205" s="96"/>
      <c r="T205" s="96"/>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row>
    <row r="206" spans="1:64" ht="15">
      <c r="B206" s="79"/>
      <c r="C206" s="79"/>
      <c r="D206" s="81"/>
      <c r="E206" s="79"/>
      <c r="F206" s="79"/>
      <c r="G206" s="79"/>
      <c r="H206" s="80"/>
      <c r="I206" s="80"/>
      <c r="J206" s="80"/>
      <c r="K206" s="587" t="s">
        <v>184</v>
      </c>
      <c r="L206" s="587"/>
      <c r="M206" s="117"/>
      <c r="N206" s="96"/>
      <c r="O206" s="97"/>
      <c r="P206" s="97"/>
      <c r="Q206" s="97"/>
      <c r="R206" s="96"/>
      <c r="S206" s="96"/>
      <c r="T206" s="96"/>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row>
    <row r="207" spans="1:64" ht="15">
      <c r="A207" s="85"/>
      <c r="B207" s="102"/>
      <c r="C207" s="102"/>
      <c r="D207" s="102"/>
      <c r="E207" s="102"/>
      <c r="F207" s="102"/>
      <c r="G207" s="102"/>
      <c r="H207" s="102"/>
      <c r="I207" s="102"/>
      <c r="J207" s="84"/>
      <c r="K207" s="84"/>
      <c r="L207" s="118"/>
      <c r="M207" s="117"/>
      <c r="N207" s="96"/>
      <c r="O207" s="119"/>
      <c r="P207" s="122"/>
      <c r="Q207" s="119"/>
      <c r="R207" s="96"/>
      <c r="S207" s="96"/>
      <c r="T207" s="96"/>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row>
    <row r="208" spans="1:64" ht="15">
      <c r="A208" s="85"/>
      <c r="B208" s="79" t="str">
        <f>B4</f>
        <v xml:space="preserve">Formula Rate - Non-Levelized </v>
      </c>
      <c r="C208" s="102"/>
      <c r="D208" s="102" t="str">
        <f>D4</f>
        <v xml:space="preserve">   Rate Formula Template</v>
      </c>
      <c r="E208" s="102"/>
      <c r="F208" s="102"/>
      <c r="G208" s="102"/>
      <c r="H208" s="102"/>
      <c r="I208" s="102" t="str">
        <f>I4</f>
        <v>For the 12 months ended 12/31/14</v>
      </c>
      <c r="J208" s="84"/>
      <c r="K208" s="84"/>
      <c r="L208" s="118"/>
      <c r="M208" s="117"/>
      <c r="N208" s="96"/>
      <c r="O208" s="119"/>
      <c r="P208" s="119"/>
      <c r="Q208" s="117"/>
      <c r="R208" s="96"/>
      <c r="S208" s="96"/>
      <c r="T208" s="96"/>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row>
    <row r="209" spans="1:64" ht="15">
      <c r="A209" s="85"/>
      <c r="B209" s="79"/>
      <c r="C209" s="102"/>
      <c r="D209" s="102" t="str">
        <f>D5</f>
        <v>Utilizing EIA Form 412 Data</v>
      </c>
      <c r="E209" s="102"/>
      <c r="F209" s="102"/>
      <c r="G209" s="102"/>
      <c r="H209" s="102"/>
      <c r="I209" s="102"/>
      <c r="J209" s="84"/>
      <c r="K209" s="84"/>
      <c r="L209" s="118"/>
      <c r="M209" s="117"/>
      <c r="N209" s="96"/>
      <c r="O209" s="119"/>
      <c r="P209" s="119"/>
      <c r="Q209" s="117"/>
      <c r="R209" s="96"/>
      <c r="S209" s="96"/>
      <c r="T209" s="96"/>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row>
    <row r="210" spans="1:64" ht="15">
      <c r="A210" s="85"/>
      <c r="B210" s="102"/>
      <c r="C210" s="102"/>
      <c r="D210" s="102"/>
      <c r="E210" s="102"/>
      <c r="F210" s="102"/>
      <c r="G210" s="102"/>
      <c r="H210" s="102"/>
      <c r="I210" s="102"/>
      <c r="J210" s="84"/>
      <c r="K210" s="84"/>
      <c r="L210" s="118"/>
      <c r="M210" s="117"/>
      <c r="N210" s="96"/>
      <c r="O210" s="119"/>
      <c r="P210" s="119"/>
      <c r="Q210" s="117"/>
      <c r="R210" s="96"/>
      <c r="S210" s="96"/>
      <c r="T210" s="96"/>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row>
    <row r="211" spans="1:64" ht="15">
      <c r="A211" s="85"/>
      <c r="C211" s="102"/>
      <c r="D211" s="102" t="str">
        <f>D7</f>
        <v>Blue Earth</v>
      </c>
      <c r="E211" s="102"/>
      <c r="F211" s="102"/>
      <c r="G211" s="102"/>
      <c r="H211" s="102"/>
      <c r="I211" s="102"/>
      <c r="J211" s="84"/>
      <c r="K211" s="84"/>
      <c r="L211" s="118"/>
      <c r="M211" s="117"/>
      <c r="N211" s="96"/>
      <c r="O211" s="119"/>
      <c r="P211" s="119"/>
      <c r="Q211" s="117"/>
      <c r="R211" s="96"/>
      <c r="S211" s="96"/>
      <c r="T211" s="96"/>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row>
    <row r="212" spans="1:64" ht="15.75">
      <c r="A212" s="85" t="s">
        <v>56</v>
      </c>
      <c r="C212" s="79"/>
      <c r="D212" s="79"/>
      <c r="E212" s="79"/>
      <c r="F212" s="79"/>
      <c r="G212" s="79"/>
      <c r="H212" s="79"/>
      <c r="I212" s="79"/>
      <c r="J212" s="79"/>
      <c r="K212" s="79"/>
      <c r="L212" s="116"/>
      <c r="M212" s="153"/>
      <c r="N212" s="96"/>
      <c r="O212" s="117"/>
      <c r="P212" s="117"/>
      <c r="Q212" s="117"/>
      <c r="R212" s="96"/>
      <c r="S212" s="96"/>
      <c r="T212" s="96"/>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row>
    <row r="213" spans="1:64" ht="16.5" thickBot="1">
      <c r="A213" s="89" t="s">
        <v>58</v>
      </c>
      <c r="B213" s="102"/>
      <c r="C213" s="128" t="s">
        <v>185</v>
      </c>
      <c r="E213" s="80"/>
      <c r="F213" s="80"/>
      <c r="G213" s="80"/>
      <c r="H213" s="80"/>
      <c r="I213" s="80"/>
      <c r="J213" s="84"/>
      <c r="K213" s="84"/>
      <c r="L213" s="118"/>
      <c r="M213" s="153"/>
      <c r="N213" s="96"/>
      <c r="O213" s="97"/>
      <c r="P213" s="119"/>
      <c r="Q213" s="117"/>
      <c r="R213" s="96"/>
      <c r="S213" s="96"/>
      <c r="T213" s="96"/>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row>
    <row r="214" spans="1:64" ht="15">
      <c r="A214" s="85"/>
      <c r="B214" s="79" t="s">
        <v>186</v>
      </c>
      <c r="C214" s="80"/>
      <c r="D214" s="80"/>
      <c r="E214" s="80"/>
      <c r="F214" s="80"/>
      <c r="G214" s="80"/>
      <c r="H214" s="80"/>
      <c r="I214" s="80"/>
      <c r="J214" s="84"/>
      <c r="K214" s="84"/>
      <c r="L214" s="118"/>
      <c r="M214" s="117"/>
      <c r="N214" s="96"/>
      <c r="O214" s="97"/>
      <c r="P214" s="119"/>
      <c r="Q214" s="117"/>
      <c r="R214" s="96"/>
      <c r="S214" s="96"/>
      <c r="T214" s="96"/>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row>
    <row r="215" spans="1:64" ht="15">
      <c r="A215" s="85">
        <v>1</v>
      </c>
      <c r="B215" s="80" t="s">
        <v>187</v>
      </c>
      <c r="C215" s="80"/>
      <c r="D215" s="84"/>
      <c r="E215" s="84"/>
      <c r="F215" s="84"/>
      <c r="G215" s="84"/>
      <c r="H215" s="84"/>
      <c r="I215" s="84">
        <f>D84</f>
        <v>2520033</v>
      </c>
      <c r="J215" s="84"/>
      <c r="K215" s="84"/>
      <c r="L215" s="118"/>
      <c r="M215" s="117"/>
      <c r="N215" s="96"/>
      <c r="O215" s="97"/>
      <c r="P215" s="119"/>
      <c r="Q215" s="117"/>
      <c r="R215" s="96"/>
      <c r="S215" s="96"/>
      <c r="T215" s="96"/>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row>
    <row r="216" spans="1:64" ht="15">
      <c r="A216" s="85">
        <v>2</v>
      </c>
      <c r="B216" s="80" t="s">
        <v>188</v>
      </c>
      <c r="C216" s="102"/>
      <c r="D216" s="102"/>
      <c r="E216" s="102"/>
      <c r="F216" s="102"/>
      <c r="G216" s="102"/>
      <c r="H216" s="102"/>
      <c r="I216" s="133">
        <v>0</v>
      </c>
      <c r="J216" s="84"/>
      <c r="K216" s="84"/>
      <c r="L216" s="118"/>
      <c r="M216" s="117"/>
      <c r="N216" s="96"/>
      <c r="O216" s="97"/>
      <c r="P216" s="119"/>
      <c r="Q216" s="117"/>
      <c r="R216" s="96"/>
      <c r="S216" s="96"/>
      <c r="T216" s="96"/>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row>
    <row r="217" spans="1:64" ht="15.75" thickBot="1">
      <c r="A217" s="85">
        <v>3</v>
      </c>
      <c r="B217" s="154" t="s">
        <v>189</v>
      </c>
      <c r="C217" s="154"/>
      <c r="D217" s="100"/>
      <c r="E217" s="84"/>
      <c r="F217" s="84"/>
      <c r="G217" s="155"/>
      <c r="H217" s="84"/>
      <c r="I217" s="131">
        <v>0</v>
      </c>
      <c r="J217" s="84"/>
      <c r="K217" s="84"/>
      <c r="L217" s="118"/>
      <c r="M217" s="117"/>
      <c r="N217" s="96"/>
      <c r="O217" s="97"/>
      <c r="P217" s="119"/>
      <c r="Q217" s="117"/>
      <c r="R217" s="96"/>
      <c r="S217" s="96"/>
      <c r="T217" s="96"/>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row>
    <row r="218" spans="1:64" ht="15">
      <c r="A218" s="85">
        <v>4</v>
      </c>
      <c r="B218" s="80" t="s">
        <v>190</v>
      </c>
      <c r="C218" s="80"/>
      <c r="D218" s="84"/>
      <c r="E218" s="84"/>
      <c r="F218" s="84"/>
      <c r="G218" s="155"/>
      <c r="H218" s="84"/>
      <c r="I218" s="84">
        <f>I215-I216-I217</f>
        <v>2520033</v>
      </c>
      <c r="J218" s="84"/>
      <c r="K218" s="84"/>
      <c r="L218" s="118"/>
      <c r="M218" s="117"/>
      <c r="N218" s="96"/>
      <c r="O218" s="97"/>
      <c r="P218" s="119"/>
      <c r="Q218" s="117"/>
      <c r="R218" s="96"/>
      <c r="S218" s="96"/>
      <c r="T218" s="96"/>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row>
    <row r="219" spans="1:64" ht="15">
      <c r="A219" s="85"/>
      <c r="B219" s="102"/>
      <c r="C219" s="80"/>
      <c r="D219" s="84"/>
      <c r="E219" s="84"/>
      <c r="F219" s="84"/>
      <c r="G219" s="155"/>
      <c r="H219" s="84"/>
      <c r="J219" s="84"/>
      <c r="K219" s="84"/>
      <c r="L219" s="118"/>
      <c r="M219" s="95"/>
      <c r="N219" s="95"/>
      <c r="O219" s="97"/>
      <c r="P219" s="119"/>
      <c r="Q219" s="117"/>
      <c r="R219" s="96"/>
      <c r="S219" s="96"/>
      <c r="T219" s="96"/>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row>
    <row r="220" spans="1:64" ht="15">
      <c r="A220" s="85">
        <v>5</v>
      </c>
      <c r="B220" s="80" t="s">
        <v>191</v>
      </c>
      <c r="C220" s="87"/>
      <c r="D220" s="156"/>
      <c r="E220" s="156"/>
      <c r="F220" s="156"/>
      <c r="G220" s="121"/>
      <c r="H220" s="84" t="s">
        <v>192</v>
      </c>
      <c r="I220" s="136">
        <f>IF(I215&gt;0,I218/I215,0)</f>
        <v>1</v>
      </c>
      <c r="J220" s="84"/>
      <c r="K220" s="84"/>
      <c r="L220" s="118"/>
      <c r="M220" s="157"/>
      <c r="N220" s="96"/>
      <c r="O220" s="97"/>
      <c r="P220" s="119"/>
      <c r="Q220" s="117"/>
      <c r="R220" s="96"/>
      <c r="S220" s="96"/>
      <c r="T220" s="96"/>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row>
    <row r="221" spans="1:64" ht="15">
      <c r="J221" s="84"/>
      <c r="K221" s="84"/>
      <c r="L221" s="118"/>
      <c r="M221"/>
      <c r="N221"/>
      <c r="O221"/>
      <c r="P221"/>
      <c r="Q221"/>
      <c r="R221"/>
      <c r="S221"/>
      <c r="T221" s="96"/>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row>
    <row r="222" spans="1:64" ht="15">
      <c r="B222" s="79" t="s">
        <v>193</v>
      </c>
      <c r="J222" s="84"/>
      <c r="K222" s="84"/>
      <c r="L222" s="118"/>
      <c r="M222"/>
      <c r="N222"/>
      <c r="O222"/>
      <c r="P222"/>
      <c r="Q222"/>
      <c r="R222"/>
      <c r="S222"/>
      <c r="T222" s="96"/>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row>
    <row r="223" spans="1:64" ht="15">
      <c r="A223" s="85">
        <v>6</v>
      </c>
      <c r="B223" s="102" t="s">
        <v>194</v>
      </c>
      <c r="C223" s="102"/>
      <c r="D223" s="80"/>
      <c r="E223" s="80"/>
      <c r="F223" s="80"/>
      <c r="G223" s="82"/>
      <c r="H223" s="80"/>
      <c r="I223" s="84">
        <f>D149</f>
        <v>113031.89749999999</v>
      </c>
      <c r="J223" s="84"/>
      <c r="K223" s="84"/>
      <c r="L223" s="118"/>
      <c r="M223"/>
      <c r="N223"/>
      <c r="O223"/>
      <c r="P223"/>
      <c r="Q223"/>
      <c r="R223"/>
      <c r="S223"/>
      <c r="T223" s="96"/>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row>
    <row r="224" spans="1:64" ht="15.75" thickBot="1">
      <c r="A224" s="85">
        <v>7</v>
      </c>
      <c r="B224" s="154" t="s">
        <v>195</v>
      </c>
      <c r="C224" s="154"/>
      <c r="D224" s="100"/>
      <c r="E224" s="100"/>
      <c r="F224" s="84"/>
      <c r="G224" s="84"/>
      <c r="H224" s="84"/>
      <c r="I224" s="131">
        <v>0</v>
      </c>
      <c r="J224" s="84"/>
      <c r="K224" s="84"/>
      <c r="L224" s="118"/>
      <c r="M224"/>
      <c r="N224"/>
      <c r="O224"/>
      <c r="P224"/>
      <c r="Q224"/>
      <c r="R224"/>
      <c r="S224"/>
      <c r="T224" s="96"/>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row>
    <row r="225" spans="1:64" ht="15">
      <c r="A225" s="85">
        <v>8</v>
      </c>
      <c r="B225" s="80" t="s">
        <v>637</v>
      </c>
      <c r="C225" s="87"/>
      <c r="D225" s="156"/>
      <c r="E225" s="156"/>
      <c r="F225" s="156"/>
      <c r="G225" s="121"/>
      <c r="H225" s="156"/>
      <c r="I225" s="84">
        <f>+I223-I224</f>
        <v>113031.89749999999</v>
      </c>
      <c r="J225" s="84"/>
      <c r="K225" s="84"/>
      <c r="L225" s="118"/>
      <c r="M225"/>
      <c r="N225"/>
      <c r="O225"/>
      <c r="P225"/>
      <c r="Q225"/>
      <c r="R225"/>
      <c r="S225"/>
      <c r="T225" s="96"/>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row>
    <row r="226" spans="1:64" ht="15">
      <c r="A226" s="85"/>
      <c r="B226" s="80"/>
      <c r="C226" s="80"/>
      <c r="D226" s="84"/>
      <c r="E226" s="84"/>
      <c r="F226" s="84"/>
      <c r="G226" s="84"/>
      <c r="H226" s="102"/>
      <c r="J226" s="84"/>
      <c r="K226" s="84"/>
      <c r="L226" s="118"/>
      <c r="M226"/>
      <c r="N226"/>
      <c r="O226"/>
      <c r="P226"/>
      <c r="Q226"/>
      <c r="R226"/>
      <c r="S226"/>
      <c r="T226" s="96"/>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row>
    <row r="227" spans="1:64" ht="15">
      <c r="A227" s="85">
        <v>9</v>
      </c>
      <c r="B227" s="80" t="s">
        <v>196</v>
      </c>
      <c r="C227" s="80"/>
      <c r="D227" s="84"/>
      <c r="E227" s="84"/>
      <c r="F227" s="84"/>
      <c r="G227" s="84"/>
      <c r="H227" s="84"/>
      <c r="I227" s="130">
        <f>IF(I223&gt;0,I225/I223,0)</f>
        <v>1</v>
      </c>
      <c r="J227" s="84"/>
      <c r="K227" s="84"/>
      <c r="L227" s="118"/>
      <c r="M227"/>
      <c r="N227"/>
      <c r="O227"/>
      <c r="P227"/>
      <c r="Q227"/>
      <c r="R227"/>
      <c r="S227"/>
      <c r="T227" s="96"/>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row>
    <row r="228" spans="1:64" ht="15">
      <c r="A228" s="85">
        <v>10</v>
      </c>
      <c r="B228" s="80" t="s">
        <v>197</v>
      </c>
      <c r="C228" s="80"/>
      <c r="D228" s="84"/>
      <c r="E228" s="84"/>
      <c r="F228" s="84"/>
      <c r="G228" s="84"/>
      <c r="H228" s="80" t="s">
        <v>65</v>
      </c>
      <c r="I228" s="158">
        <f>I220</f>
        <v>1</v>
      </c>
      <c r="J228" s="84"/>
      <c r="K228" s="84"/>
      <c r="L228" s="118"/>
      <c r="M228"/>
      <c r="N228"/>
      <c r="O228"/>
      <c r="P228"/>
      <c r="Q228"/>
      <c r="R228"/>
      <c r="S228"/>
      <c r="T228" s="96"/>
      <c r="U228" s="78"/>
      <c r="V228" s="78"/>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row>
    <row r="229" spans="1:64" ht="15">
      <c r="A229" s="85">
        <v>11</v>
      </c>
      <c r="B229" s="80" t="s">
        <v>198</v>
      </c>
      <c r="C229" s="80"/>
      <c r="D229" s="80"/>
      <c r="E229" s="80"/>
      <c r="F229" s="80"/>
      <c r="G229" s="80"/>
      <c r="H229" s="80" t="s">
        <v>199</v>
      </c>
      <c r="I229" s="159">
        <f>+I228*I227</f>
        <v>1</v>
      </c>
      <c r="J229" s="84"/>
      <c r="K229" s="84"/>
      <c r="L229" s="118"/>
      <c r="M229"/>
      <c r="N229"/>
      <c r="O229"/>
      <c r="P229"/>
      <c r="Q229"/>
      <c r="R229"/>
      <c r="S229"/>
      <c r="T229" s="96"/>
      <c r="U229" s="78"/>
      <c r="V229" s="78"/>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row>
    <row r="230" spans="1:64" s="433" customFormat="1" ht="15">
      <c r="J230" s="446"/>
      <c r="K230" s="446"/>
      <c r="L230" s="448"/>
      <c r="M230"/>
      <c r="N230"/>
      <c r="O230"/>
      <c r="P230"/>
      <c r="Q230"/>
      <c r="R230"/>
      <c r="S230"/>
      <c r="T230" s="443"/>
      <c r="U230" s="435"/>
      <c r="V230" s="435"/>
      <c r="W230" s="435"/>
      <c r="X230" s="435"/>
      <c r="Y230" s="435"/>
      <c r="Z230" s="435"/>
      <c r="AA230" s="435"/>
      <c r="AB230" s="435"/>
      <c r="AC230" s="435"/>
      <c r="AD230" s="435"/>
      <c r="AE230" s="435"/>
      <c r="AF230" s="435"/>
      <c r="AG230" s="435"/>
      <c r="AH230" s="435"/>
      <c r="AI230" s="435"/>
      <c r="AJ230" s="435"/>
      <c r="AK230" s="435"/>
      <c r="AL230" s="435"/>
      <c r="AM230" s="435"/>
      <c r="AN230" s="435"/>
      <c r="AO230" s="435"/>
      <c r="AP230" s="435"/>
      <c r="AQ230" s="435"/>
      <c r="AR230" s="435"/>
      <c r="AS230" s="435"/>
      <c r="AT230" s="435"/>
      <c r="AU230" s="435"/>
      <c r="AV230" s="435"/>
      <c r="AW230" s="435"/>
      <c r="AX230" s="435"/>
      <c r="AY230" s="435"/>
      <c r="AZ230" s="435"/>
      <c r="BA230" s="435"/>
      <c r="BB230" s="435"/>
      <c r="BC230" s="435"/>
      <c r="BD230" s="435"/>
      <c r="BE230" s="435"/>
      <c r="BF230" s="435"/>
      <c r="BG230" s="435"/>
      <c r="BH230" s="435"/>
      <c r="BI230" s="435"/>
      <c r="BJ230" s="435"/>
      <c r="BK230" s="435"/>
      <c r="BL230" s="435"/>
    </row>
    <row r="231" spans="1:64" ht="15.75" thickBot="1">
      <c r="A231" s="85" t="s">
        <v>54</v>
      </c>
      <c r="B231" s="79" t="s">
        <v>204</v>
      </c>
      <c r="C231" s="100"/>
      <c r="D231" s="160" t="s">
        <v>205</v>
      </c>
      <c r="E231" s="160" t="s">
        <v>65</v>
      </c>
      <c r="F231" s="84"/>
      <c r="G231" s="160" t="s">
        <v>206</v>
      </c>
      <c r="H231" s="84"/>
      <c r="I231" s="84"/>
      <c r="J231" s="84"/>
      <c r="K231" s="84"/>
      <c r="L231" s="118"/>
      <c r="M231"/>
      <c r="N231"/>
      <c r="O231"/>
      <c r="P231"/>
      <c r="Q231"/>
      <c r="R231"/>
      <c r="S231"/>
      <c r="T231" s="96"/>
      <c r="U231" s="78"/>
      <c r="V231" s="78"/>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row>
    <row r="232" spans="1:64" ht="15">
      <c r="A232" s="85">
        <v>12</v>
      </c>
      <c r="B232" s="79" t="s">
        <v>112</v>
      </c>
      <c r="C232" s="84"/>
      <c r="D232" s="133">
        <f>'BES4_W&amp;S Allocator'!F23</f>
        <v>60044.533300000003</v>
      </c>
      <c r="E232" s="161">
        <v>0</v>
      </c>
      <c r="F232" s="161"/>
      <c r="G232" s="84">
        <f>D232*E232</f>
        <v>0</v>
      </c>
      <c r="H232" s="84"/>
      <c r="I232" s="84"/>
      <c r="J232" s="84"/>
      <c r="K232" s="84"/>
      <c r="L232" s="118"/>
      <c r="M232"/>
      <c r="N232"/>
      <c r="O232"/>
      <c r="P232"/>
      <c r="Q232"/>
      <c r="R232"/>
      <c r="S232"/>
      <c r="T232" s="96"/>
      <c r="U232" s="78"/>
      <c r="V232" s="78"/>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row>
    <row r="233" spans="1:64" ht="15">
      <c r="A233" s="85">
        <v>13</v>
      </c>
      <c r="B233" s="79" t="s">
        <v>114</v>
      </c>
      <c r="C233" s="84"/>
      <c r="D233" s="133">
        <f>'BES4_W&amp;S Allocator'!F25</f>
        <v>6120.27</v>
      </c>
      <c r="E233" s="161">
        <f>+I220</f>
        <v>1</v>
      </c>
      <c r="F233" s="161"/>
      <c r="G233" s="84">
        <f>D233*E233</f>
        <v>6120.27</v>
      </c>
      <c r="H233" s="84"/>
      <c r="I233" s="84"/>
      <c r="J233" s="84"/>
      <c r="K233" s="84"/>
      <c r="L233" s="118"/>
      <c r="M233"/>
      <c r="N233"/>
      <c r="O233"/>
      <c r="P233"/>
      <c r="Q233"/>
      <c r="R233"/>
      <c r="S233"/>
      <c r="T233" s="96"/>
      <c r="U233" s="78"/>
      <c r="V233" s="78"/>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row>
    <row r="234" spans="1:64" ht="15">
      <c r="A234" s="85">
        <v>14</v>
      </c>
      <c r="B234" s="79" t="s">
        <v>115</v>
      </c>
      <c r="C234" s="84"/>
      <c r="D234" s="133">
        <f>'BES4_W&amp;S Allocator'!F24</f>
        <v>268065.13010000001</v>
      </c>
      <c r="E234" s="161">
        <v>0</v>
      </c>
      <c r="F234" s="161"/>
      <c r="G234" s="84">
        <f>D234*E234</f>
        <v>0</v>
      </c>
      <c r="H234" s="84"/>
      <c r="I234" s="162" t="s">
        <v>207</v>
      </c>
      <c r="J234" s="84"/>
      <c r="K234" s="84"/>
      <c r="L234" s="118"/>
      <c r="M234" s="117"/>
      <c r="N234" s="96"/>
      <c r="O234" s="119"/>
      <c r="P234" s="119"/>
      <c r="Q234" s="117"/>
      <c r="R234" s="96"/>
      <c r="S234" s="96"/>
      <c r="T234" s="96"/>
      <c r="U234" s="78"/>
      <c r="V234" s="78"/>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row>
    <row r="235" spans="1:64" ht="15.75" thickBot="1">
      <c r="A235" s="85">
        <v>15</v>
      </c>
      <c r="B235" s="79" t="s">
        <v>208</v>
      </c>
      <c r="C235" s="84"/>
      <c r="D235" s="131">
        <f>'BES4_W&amp;S Allocator'!F26</f>
        <v>111305.35920000001</v>
      </c>
      <c r="E235" s="161">
        <v>0</v>
      </c>
      <c r="F235" s="161"/>
      <c r="G235" s="100">
        <f>D235*E235</f>
        <v>0</v>
      </c>
      <c r="H235" s="84"/>
      <c r="I235" s="89" t="s">
        <v>209</v>
      </c>
      <c r="J235" s="84"/>
      <c r="K235" s="84"/>
      <c r="L235" s="77"/>
      <c r="M235" s="117"/>
      <c r="N235" s="96"/>
      <c r="O235" s="119"/>
      <c r="P235" s="119"/>
      <c r="Q235" s="117"/>
      <c r="R235" s="96"/>
      <c r="S235" s="96"/>
      <c r="T235" s="96"/>
      <c r="U235" s="78"/>
      <c r="V235" s="78"/>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row>
    <row r="236" spans="1:64" ht="15">
      <c r="A236" s="85">
        <v>16</v>
      </c>
      <c r="B236" s="79" t="s">
        <v>210</v>
      </c>
      <c r="C236" s="84"/>
      <c r="D236" s="84">
        <f>SUM(D232:D235)</f>
        <v>445535.29259999999</v>
      </c>
      <c r="E236" s="84"/>
      <c r="F236" s="84"/>
      <c r="G236" s="84">
        <f>SUM(G232:G235)</f>
        <v>6120.27</v>
      </c>
      <c r="H236" s="82" t="s">
        <v>211</v>
      </c>
      <c r="I236" s="130">
        <f>IF(G236&gt;0,G233/D236,0)</f>
        <v>1.3736891558655394E-2</v>
      </c>
      <c r="J236" s="84" t="s">
        <v>212</v>
      </c>
      <c r="K236" s="84" t="s">
        <v>117</v>
      </c>
      <c r="L236" s="118"/>
      <c r="M236" s="117"/>
      <c r="N236" s="96"/>
      <c r="O236" s="119"/>
      <c r="P236" s="119"/>
      <c r="Q236" s="117"/>
      <c r="R236" s="96"/>
      <c r="S236" s="96"/>
      <c r="T236" s="96"/>
      <c r="U236" s="78"/>
      <c r="V236" s="78"/>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c r="BK236" s="78"/>
      <c r="BL236" s="78"/>
    </row>
    <row r="237" spans="1:64" s="433" customFormat="1" ht="15">
      <c r="A237" s="440"/>
      <c r="B237" s="436"/>
      <c r="C237" s="439"/>
      <c r="E237" s="439"/>
      <c r="F237" s="439"/>
      <c r="J237" s="446"/>
      <c r="K237" s="439"/>
      <c r="L237" s="448"/>
      <c r="M237" s="447"/>
      <c r="N237" s="443"/>
      <c r="O237" s="449"/>
      <c r="P237" s="449"/>
      <c r="Q237" s="447"/>
      <c r="R237" s="443"/>
      <c r="S237" s="443"/>
      <c r="T237" s="443"/>
      <c r="U237" s="435"/>
      <c r="V237" s="435"/>
      <c r="W237" s="435"/>
      <c r="X237" s="435"/>
      <c r="Y237" s="435"/>
      <c r="Z237" s="435"/>
      <c r="AA237" s="435"/>
      <c r="AB237" s="435"/>
      <c r="AC237" s="435"/>
      <c r="AD237" s="435"/>
      <c r="AE237" s="435"/>
      <c r="AF237" s="435"/>
      <c r="AG237" s="435"/>
      <c r="AH237" s="435"/>
      <c r="AI237" s="435"/>
      <c r="AJ237" s="435"/>
      <c r="AK237" s="435"/>
      <c r="AL237" s="435"/>
      <c r="AM237" s="435"/>
      <c r="AN237" s="435"/>
      <c r="AO237" s="435"/>
      <c r="AP237" s="435"/>
      <c r="AQ237" s="435"/>
      <c r="AR237" s="435"/>
      <c r="AS237" s="435"/>
      <c r="AT237" s="435"/>
      <c r="AU237" s="435"/>
      <c r="AV237" s="435"/>
      <c r="AW237" s="435"/>
      <c r="AX237" s="435"/>
      <c r="AY237" s="435"/>
      <c r="AZ237" s="435"/>
      <c r="BA237" s="435"/>
      <c r="BB237" s="435"/>
      <c r="BC237" s="435"/>
      <c r="BD237" s="435"/>
      <c r="BE237" s="435"/>
      <c r="BF237" s="435"/>
      <c r="BG237" s="435"/>
      <c r="BH237" s="435"/>
      <c r="BI237" s="435"/>
      <c r="BJ237" s="435"/>
      <c r="BK237" s="435"/>
      <c r="BL237" s="435"/>
    </row>
    <row r="238" spans="1:64" ht="15.75">
      <c r="A238" s="85"/>
      <c r="B238" s="79" t="s">
        <v>213</v>
      </c>
      <c r="C238" s="84"/>
      <c r="D238" s="123" t="s">
        <v>205</v>
      </c>
      <c r="E238" s="439"/>
      <c r="F238" s="439"/>
      <c r="G238" s="155" t="s">
        <v>214</v>
      </c>
      <c r="H238" s="451"/>
      <c r="I238" s="132" t="s">
        <v>215</v>
      </c>
      <c r="J238" s="84"/>
      <c r="K238" s="84"/>
      <c r="L238" s="118"/>
      <c r="M238" s="117"/>
      <c r="N238" s="96"/>
      <c r="O238" s="119"/>
      <c r="P238" s="119"/>
      <c r="Q238" s="117"/>
      <c r="R238" s="96"/>
      <c r="S238" s="96"/>
      <c r="T238" s="96"/>
      <c r="U238" s="78"/>
      <c r="V238" s="78"/>
      <c r="W238" s="78"/>
      <c r="X238" s="78"/>
      <c r="Y238" s="78"/>
      <c r="Z238" s="78"/>
      <c r="AA238" s="78"/>
      <c r="AB238" s="78"/>
      <c r="AC238" s="78"/>
      <c r="AD238" s="78"/>
      <c r="AE238" s="78"/>
      <c r="AF238" s="78"/>
      <c r="AG238" s="78"/>
      <c r="AH238" s="78"/>
      <c r="AI238" s="78"/>
      <c r="AJ238" s="78"/>
      <c r="AK238" s="78"/>
      <c r="AL238" s="78"/>
      <c r="AM238" s="78"/>
      <c r="AN238" s="78"/>
      <c r="AO238" s="78"/>
      <c r="AP238" s="78"/>
      <c r="AQ238" s="78"/>
      <c r="AR238" s="78"/>
      <c r="AS238" s="78"/>
      <c r="AT238" s="78"/>
      <c r="AU238" s="78"/>
      <c r="AV238" s="78"/>
      <c r="AW238" s="78"/>
      <c r="AX238" s="78"/>
      <c r="AY238" s="78"/>
      <c r="AZ238" s="78"/>
      <c r="BA238" s="78"/>
      <c r="BB238" s="78"/>
      <c r="BC238" s="78"/>
      <c r="BD238" s="78"/>
      <c r="BE238" s="78"/>
      <c r="BF238" s="78"/>
      <c r="BG238" s="78"/>
      <c r="BH238" s="78"/>
      <c r="BI238" s="78"/>
      <c r="BJ238" s="78"/>
      <c r="BK238" s="78"/>
      <c r="BL238" s="78"/>
    </row>
    <row r="239" spans="1:64" ht="15">
      <c r="A239" s="85">
        <v>17</v>
      </c>
      <c r="B239" s="79" t="s">
        <v>216</v>
      </c>
      <c r="C239" s="84"/>
      <c r="D239" s="133">
        <f>D88</f>
        <v>17047153</v>
      </c>
      <c r="E239" s="84"/>
      <c r="F239" s="102"/>
      <c r="G239" s="85" t="s">
        <v>217</v>
      </c>
      <c r="H239" s="147"/>
      <c r="I239" s="85" t="s">
        <v>218</v>
      </c>
      <c r="J239" s="84"/>
      <c r="K239" s="82" t="s">
        <v>119</v>
      </c>
      <c r="L239" s="118"/>
      <c r="M239" s="117"/>
      <c r="N239" s="96"/>
      <c r="O239" s="119"/>
      <c r="P239" s="119"/>
      <c r="Q239" s="117"/>
      <c r="R239" s="96"/>
      <c r="S239" s="96"/>
      <c r="T239" s="96"/>
      <c r="U239" s="78"/>
      <c r="V239" s="78"/>
      <c r="W239" s="78"/>
      <c r="X239" s="78"/>
      <c r="Y239" s="78"/>
      <c r="Z239" s="78"/>
      <c r="AA239" s="78"/>
      <c r="AB239" s="78"/>
      <c r="AC239" s="78"/>
      <c r="AD239" s="78"/>
      <c r="AE239" s="78"/>
      <c r="AF239" s="78"/>
      <c r="AG239" s="78"/>
      <c r="AH239" s="78"/>
      <c r="AI239" s="78"/>
      <c r="AJ239" s="78"/>
      <c r="AK239" s="78"/>
      <c r="AL239" s="78"/>
      <c r="AM239" s="78"/>
      <c r="AN239" s="78"/>
      <c r="AO239" s="78"/>
      <c r="AP239" s="78"/>
      <c r="AQ239" s="78"/>
      <c r="AR239" s="78"/>
      <c r="AS239" s="78"/>
      <c r="AT239" s="78"/>
      <c r="AU239" s="78"/>
      <c r="AV239" s="78"/>
      <c r="AW239" s="78"/>
      <c r="AX239" s="78"/>
      <c r="AY239" s="78"/>
      <c r="AZ239" s="78"/>
      <c r="BA239" s="78"/>
      <c r="BB239" s="78"/>
      <c r="BC239" s="78"/>
      <c r="BD239" s="78"/>
      <c r="BE239" s="78"/>
      <c r="BF239" s="78"/>
      <c r="BG239" s="78"/>
      <c r="BH239" s="78"/>
      <c r="BI239" s="78"/>
      <c r="BJ239" s="78"/>
      <c r="BK239" s="78"/>
      <c r="BL239" s="78"/>
    </row>
    <row r="240" spans="1:64" ht="15">
      <c r="A240" s="85">
        <v>18</v>
      </c>
      <c r="B240" s="79" t="s">
        <v>219</v>
      </c>
      <c r="C240" s="84"/>
      <c r="D240" s="133">
        <v>0</v>
      </c>
      <c r="E240" s="84"/>
      <c r="F240" s="102"/>
      <c r="G240" s="94">
        <f>IF(D242&gt;0,D239/D242,0)</f>
        <v>1</v>
      </c>
      <c r="H240" s="155" t="s">
        <v>220</v>
      </c>
      <c r="I240" s="94">
        <f>I236</f>
        <v>1.3736891558655394E-2</v>
      </c>
      <c r="J240" s="147" t="s">
        <v>211</v>
      </c>
      <c r="K240" s="94">
        <f>I240*G240</f>
        <v>1.3736891558655394E-2</v>
      </c>
      <c r="L240" s="118"/>
      <c r="M240" s="117"/>
      <c r="N240" s="96"/>
      <c r="O240" s="119"/>
      <c r="P240" s="119"/>
      <c r="Q240" s="117"/>
      <c r="R240" s="96"/>
      <c r="S240" s="96"/>
      <c r="T240" s="96"/>
      <c r="U240" s="78"/>
      <c r="V240" s="78"/>
      <c r="W240" s="78"/>
      <c r="X240" s="78"/>
      <c r="Y240" s="78"/>
      <c r="Z240" s="78"/>
      <c r="AA240" s="78"/>
      <c r="AB240" s="78"/>
      <c r="AC240" s="78"/>
      <c r="AD240" s="78"/>
      <c r="AE240" s="78"/>
      <c r="AF240" s="78"/>
      <c r="AG240" s="78"/>
      <c r="AH240" s="78"/>
      <c r="AI240" s="78"/>
      <c r="AJ240" s="78"/>
      <c r="AK240" s="78"/>
      <c r="AL240" s="78"/>
      <c r="AM240" s="78"/>
      <c r="AN240" s="78"/>
      <c r="AO240" s="78"/>
      <c r="AP240" s="78"/>
      <c r="AQ240" s="78"/>
      <c r="AR240" s="78"/>
      <c r="AS240" s="78"/>
      <c r="AT240" s="78"/>
      <c r="AU240" s="78"/>
      <c r="AV240" s="78"/>
      <c r="AW240" s="78"/>
      <c r="AX240" s="78"/>
      <c r="AY240" s="78"/>
      <c r="AZ240" s="78"/>
      <c r="BA240" s="78"/>
      <c r="BB240" s="78"/>
      <c r="BC240" s="78"/>
      <c r="BD240" s="78"/>
      <c r="BE240" s="78"/>
      <c r="BF240" s="78"/>
      <c r="BG240" s="78"/>
      <c r="BH240" s="78"/>
      <c r="BI240" s="78"/>
      <c r="BJ240" s="78"/>
      <c r="BK240" s="78"/>
      <c r="BL240" s="78"/>
    </row>
    <row r="241" spans="1:64" ht="15.75" thickBot="1">
      <c r="A241" s="85">
        <v>19</v>
      </c>
      <c r="B241" s="163" t="s">
        <v>221</v>
      </c>
      <c r="C241" s="100"/>
      <c r="D241" s="131">
        <v>0</v>
      </c>
      <c r="E241" s="84"/>
      <c r="F241" s="84"/>
      <c r="G241" s="84" t="s">
        <v>54</v>
      </c>
      <c r="H241" s="84"/>
      <c r="I241" s="84"/>
      <c r="J241" s="84"/>
      <c r="K241" s="84"/>
      <c r="L241" s="118"/>
      <c r="M241" s="117"/>
      <c r="N241" s="96"/>
      <c r="O241" s="119"/>
      <c r="P241" s="119"/>
      <c r="Q241" s="117"/>
      <c r="R241" s="96"/>
      <c r="S241" s="96"/>
      <c r="T241" s="96"/>
      <c r="U241" s="78"/>
      <c r="V241" s="78"/>
      <c r="W241" s="78"/>
      <c r="X241" s="78"/>
      <c r="Y241" s="78"/>
      <c r="Z241" s="78"/>
      <c r="AA241" s="78"/>
      <c r="AB241" s="78"/>
      <c r="AC241" s="78"/>
      <c r="AD241" s="78"/>
      <c r="AE241" s="78"/>
      <c r="AF241" s="78"/>
      <c r="AG241" s="78"/>
      <c r="AH241" s="78"/>
      <c r="AI241" s="78"/>
      <c r="AJ241" s="78"/>
      <c r="AK241" s="78"/>
      <c r="AL241" s="78"/>
      <c r="AM241" s="78"/>
      <c r="AN241" s="78"/>
      <c r="AO241" s="78"/>
      <c r="AP241" s="78"/>
      <c r="AQ241" s="78"/>
      <c r="AR241" s="78"/>
      <c r="AS241" s="78"/>
      <c r="AT241" s="78"/>
      <c r="AU241" s="78"/>
      <c r="AV241" s="78"/>
      <c r="AW241" s="78"/>
      <c r="AX241" s="78"/>
      <c r="AY241" s="78"/>
      <c r="AZ241" s="78"/>
      <c r="BA241" s="78"/>
      <c r="BB241" s="78"/>
      <c r="BC241" s="78"/>
      <c r="BD241" s="78"/>
      <c r="BE241" s="78"/>
      <c r="BF241" s="78"/>
      <c r="BG241" s="78"/>
      <c r="BH241" s="78"/>
      <c r="BI241" s="78"/>
      <c r="BJ241" s="78"/>
      <c r="BK241" s="78"/>
      <c r="BL241" s="78"/>
    </row>
    <row r="242" spans="1:64" ht="15">
      <c r="A242" s="85">
        <v>20</v>
      </c>
      <c r="B242" s="79" t="s">
        <v>222</v>
      </c>
      <c r="C242" s="84"/>
      <c r="D242" s="84">
        <f>D239+D240+D241</f>
        <v>17047153</v>
      </c>
      <c r="E242" s="84"/>
      <c r="F242" s="84"/>
      <c r="G242" s="84"/>
      <c r="H242" s="84"/>
      <c r="I242" s="84"/>
      <c r="J242" s="84"/>
      <c r="K242" s="84"/>
      <c r="L242" s="118"/>
      <c r="M242" s="117"/>
      <c r="N242" s="96"/>
      <c r="O242" s="119"/>
      <c r="P242" s="119"/>
      <c r="Q242" s="117"/>
      <c r="R242" s="96"/>
      <c r="S242" s="96"/>
      <c r="T242" s="96"/>
      <c r="U242" s="78"/>
      <c r="V242" s="78"/>
      <c r="W242" s="78"/>
      <c r="X242" s="78"/>
      <c r="Y242" s="78"/>
      <c r="Z242" s="78"/>
      <c r="AA242" s="78"/>
      <c r="AB242" s="78"/>
      <c r="AC242" s="78"/>
      <c r="AD242" s="78"/>
      <c r="AE242" s="78"/>
      <c r="AF242" s="78"/>
      <c r="AG242" s="78"/>
      <c r="AH242" s="78"/>
      <c r="AI242" s="78"/>
      <c r="AJ242" s="78"/>
      <c r="AK242" s="78"/>
      <c r="AL242" s="78"/>
      <c r="AM242" s="78"/>
      <c r="AN242" s="78"/>
      <c r="AO242" s="78"/>
      <c r="AP242" s="78"/>
      <c r="AQ242" s="78"/>
      <c r="AR242" s="78"/>
      <c r="AS242" s="78"/>
      <c r="AT242" s="78"/>
      <c r="AU242" s="78"/>
      <c r="AV242" s="78"/>
      <c r="AW242" s="78"/>
      <c r="AX242" s="78"/>
      <c r="AY242" s="78"/>
      <c r="AZ242" s="78"/>
      <c r="BA242" s="78"/>
      <c r="BB242" s="78"/>
      <c r="BC242" s="78"/>
      <c r="BD242" s="78"/>
      <c r="BE242" s="78"/>
      <c r="BF242" s="78"/>
      <c r="BG242" s="78"/>
      <c r="BH242" s="78"/>
      <c r="BI242" s="78"/>
      <c r="BJ242" s="78"/>
      <c r="BK242" s="78"/>
      <c r="BL242" s="78"/>
    </row>
    <row r="243" spans="1:64" ht="15">
      <c r="A243" s="85"/>
      <c r="B243" s="79" t="s">
        <v>54</v>
      </c>
      <c r="C243" s="84"/>
      <c r="E243" s="84"/>
      <c r="F243" s="84"/>
      <c r="G243" s="84"/>
      <c r="H243" s="84"/>
      <c r="I243" s="84" t="s">
        <v>54</v>
      </c>
      <c r="J243" s="84" t="s">
        <v>54</v>
      </c>
      <c r="K243" s="84"/>
      <c r="L243" s="118"/>
      <c r="M243" s="117"/>
      <c r="N243" s="96"/>
      <c r="O243" s="119"/>
      <c r="P243" s="119"/>
      <c r="Q243" s="117"/>
      <c r="R243" s="96"/>
      <c r="S243" s="96"/>
      <c r="T243" s="96"/>
      <c r="U243" s="78"/>
      <c r="V243" s="78"/>
      <c r="W243" s="78"/>
      <c r="X243" s="78"/>
      <c r="Y243" s="78"/>
      <c r="Z243" s="78"/>
      <c r="AA243" s="78"/>
      <c r="AB243" s="78"/>
      <c r="AC243" s="78"/>
      <c r="AD243" s="78"/>
      <c r="AE243" s="78"/>
      <c r="AF243" s="78"/>
      <c r="AG243" s="78"/>
      <c r="AH243" s="78"/>
      <c r="AI243" s="78"/>
      <c r="AJ243" s="78"/>
      <c r="AK243" s="78"/>
      <c r="AL243" s="78"/>
      <c r="AM243" s="78"/>
      <c r="AN243" s="78"/>
      <c r="AO243" s="78"/>
      <c r="AP243" s="78"/>
      <c r="AQ243" s="78"/>
      <c r="AR243" s="78"/>
      <c r="AS243" s="78"/>
      <c r="AT243" s="78"/>
      <c r="AU243" s="78"/>
      <c r="AV243" s="78"/>
      <c r="AW243" s="78"/>
      <c r="AX243" s="78"/>
      <c r="AY243" s="78"/>
      <c r="AZ243" s="78"/>
      <c r="BA243" s="78"/>
      <c r="BB243" s="78"/>
      <c r="BC243" s="78"/>
      <c r="BD243" s="78"/>
      <c r="BE243" s="78"/>
      <c r="BF243" s="78"/>
      <c r="BG243" s="78"/>
      <c r="BH243" s="78"/>
      <c r="BI243" s="78"/>
      <c r="BJ243" s="78"/>
      <c r="BK243" s="78"/>
      <c r="BL243" s="78"/>
    </row>
    <row r="244" spans="1:64" ht="15.75" thickBot="1">
      <c r="A244" s="85"/>
      <c r="B244" s="79" t="s">
        <v>223</v>
      </c>
      <c r="C244" s="84"/>
      <c r="D244" s="160" t="s">
        <v>205</v>
      </c>
      <c r="E244" s="84"/>
      <c r="F244" s="84"/>
      <c r="G244" s="84"/>
      <c r="H244" s="84"/>
      <c r="J244" s="84"/>
      <c r="K244" s="84"/>
      <c r="L244" s="118"/>
      <c r="M244" s="117"/>
      <c r="N244" s="96"/>
      <c r="O244" s="119"/>
      <c r="P244" s="119"/>
      <c r="Q244" s="117"/>
      <c r="R244" s="96"/>
      <c r="S244" s="96"/>
      <c r="T244" s="96"/>
      <c r="U244" s="78"/>
      <c r="V244" s="78"/>
      <c r="W244" s="78"/>
      <c r="X244" s="78"/>
      <c r="Y244" s="78"/>
      <c r="Z244" s="78"/>
      <c r="AA244" s="78"/>
      <c r="AB244" s="78"/>
      <c r="AC244" s="78"/>
      <c r="AD244" s="78"/>
      <c r="AE244" s="78"/>
      <c r="AF244" s="78"/>
      <c r="AG244" s="78"/>
      <c r="AH244" s="78"/>
      <c r="AI244" s="78"/>
      <c r="AJ244" s="78"/>
      <c r="AK244" s="78"/>
      <c r="AL244" s="78"/>
      <c r="AM244" s="78"/>
      <c r="AN244" s="78"/>
      <c r="AO244" s="78"/>
      <c r="AP244" s="78"/>
      <c r="AQ244" s="78"/>
      <c r="AR244" s="78"/>
      <c r="AS244" s="78"/>
      <c r="AT244" s="78"/>
      <c r="AU244" s="78"/>
      <c r="AV244" s="78"/>
      <c r="AW244" s="78"/>
      <c r="AX244" s="78"/>
      <c r="AY244" s="78"/>
      <c r="AZ244" s="78"/>
      <c r="BA244" s="78"/>
      <c r="BB244" s="78"/>
      <c r="BC244" s="78"/>
      <c r="BD244" s="78"/>
      <c r="BE244" s="78"/>
      <c r="BF244" s="78"/>
      <c r="BG244" s="78"/>
      <c r="BH244" s="78"/>
      <c r="BI244" s="78"/>
      <c r="BJ244" s="78"/>
      <c r="BK244" s="78"/>
      <c r="BL244" s="78"/>
    </row>
    <row r="245" spans="1:64" ht="15">
      <c r="A245" s="85">
        <v>21</v>
      </c>
      <c r="B245" s="84" t="s">
        <v>224</v>
      </c>
      <c r="C245" s="143" t="s">
        <v>638</v>
      </c>
      <c r="D245" s="164">
        <f>'EIA412 INCOME STATEMENT'!C23</f>
        <v>9647</v>
      </c>
      <c r="E245" s="84"/>
      <c r="F245" s="84"/>
      <c r="G245" s="84"/>
      <c r="H245" s="84"/>
      <c r="I245" s="84"/>
      <c r="J245" s="84"/>
      <c r="K245" s="84"/>
      <c r="L245" s="118"/>
      <c r="M245" s="117"/>
      <c r="N245" s="96"/>
      <c r="O245" s="119"/>
      <c r="P245" s="119"/>
      <c r="Q245" s="117"/>
      <c r="R245" s="96"/>
      <c r="S245" s="96"/>
      <c r="T245" s="96"/>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78"/>
      <c r="AW245" s="78"/>
      <c r="AX245" s="78"/>
      <c r="AY245" s="78"/>
      <c r="AZ245" s="78"/>
      <c r="BA245" s="78"/>
      <c r="BB245" s="78"/>
      <c r="BC245" s="78"/>
      <c r="BD245" s="78"/>
      <c r="BE245" s="78"/>
      <c r="BF245" s="78"/>
      <c r="BG245" s="78"/>
      <c r="BH245" s="78"/>
      <c r="BI245" s="78"/>
      <c r="BJ245" s="78"/>
      <c r="BK245" s="78"/>
      <c r="BL245" s="78"/>
    </row>
    <row r="246" spans="1:64" ht="15">
      <c r="A246" s="85"/>
      <c r="B246" s="79"/>
      <c r="D246" s="84"/>
      <c r="E246" s="84"/>
      <c r="F246" s="84"/>
      <c r="G246" s="155" t="s">
        <v>225</v>
      </c>
      <c r="H246" s="84"/>
      <c r="I246" s="84"/>
      <c r="J246" s="84"/>
      <c r="K246" s="84"/>
      <c r="L246" s="118"/>
      <c r="M246" s="117"/>
      <c r="N246" s="96"/>
      <c r="O246" s="119"/>
      <c r="P246" s="119"/>
      <c r="Q246" s="117"/>
      <c r="R246" s="96"/>
      <c r="S246" s="96"/>
      <c r="T246" s="96"/>
      <c r="U246" s="78"/>
      <c r="V246" s="78"/>
      <c r="W246" s="78"/>
      <c r="X246" s="78"/>
      <c r="Y246" s="78"/>
      <c r="Z246" s="78"/>
      <c r="AA246" s="78"/>
      <c r="AB246" s="78"/>
      <c r="AC246" s="78"/>
      <c r="AD246" s="78"/>
      <c r="AE246" s="78"/>
      <c r="AF246" s="78"/>
      <c r="AG246" s="78"/>
      <c r="AH246" s="78"/>
      <c r="AI246" s="78"/>
      <c r="AJ246" s="78"/>
      <c r="AK246" s="78"/>
      <c r="AL246" s="78"/>
      <c r="AM246" s="78"/>
      <c r="AN246" s="78"/>
      <c r="AO246" s="78"/>
      <c r="AP246" s="78"/>
      <c r="AQ246" s="78"/>
      <c r="AR246" s="78"/>
      <c r="AS246" s="78"/>
      <c r="AT246" s="78"/>
      <c r="AU246" s="78"/>
      <c r="AV246" s="78"/>
      <c r="AW246" s="78"/>
      <c r="AX246" s="78"/>
      <c r="AY246" s="78"/>
      <c r="AZ246" s="78"/>
      <c r="BA246" s="78"/>
      <c r="BB246" s="78"/>
      <c r="BC246" s="78"/>
      <c r="BD246" s="78"/>
      <c r="BE246" s="78"/>
      <c r="BF246" s="78"/>
      <c r="BG246" s="78"/>
      <c r="BH246" s="78"/>
      <c r="BI246" s="78"/>
      <c r="BJ246" s="78"/>
      <c r="BK246" s="78"/>
      <c r="BL246" s="78"/>
    </row>
    <row r="247" spans="1:64" ht="15.75" thickBot="1">
      <c r="A247" s="85"/>
      <c r="B247" s="79"/>
      <c r="C247" s="143"/>
      <c r="D247" s="90" t="s">
        <v>205</v>
      </c>
      <c r="E247" s="90" t="s">
        <v>226</v>
      </c>
      <c r="F247" s="84"/>
      <c r="G247" s="90" t="s">
        <v>227</v>
      </c>
      <c r="H247" s="84"/>
      <c r="I247" s="90" t="s">
        <v>228</v>
      </c>
      <c r="J247" s="84"/>
      <c r="K247" s="84"/>
      <c r="L247" s="118"/>
      <c r="M247" s="117"/>
      <c r="N247" s="96"/>
      <c r="O247" s="119"/>
      <c r="P247" s="119"/>
      <c r="Q247" s="117"/>
      <c r="R247" s="96"/>
      <c r="S247" s="96"/>
      <c r="T247" s="96"/>
      <c r="U247" s="78"/>
      <c r="V247" s="78"/>
      <c r="W247" s="78"/>
      <c r="X247" s="78"/>
      <c r="Y247" s="78"/>
      <c r="Z247" s="78"/>
      <c r="AA247" s="78"/>
      <c r="AB247" s="78"/>
      <c r="AC247" s="78"/>
      <c r="AD247" s="78"/>
      <c r="AE247" s="78"/>
      <c r="AF247" s="78"/>
      <c r="AG247" s="78"/>
      <c r="AH247" s="78"/>
      <c r="AI247" s="78"/>
      <c r="AJ247" s="78"/>
      <c r="AK247" s="78"/>
      <c r="AL247" s="78"/>
      <c r="AM247" s="78"/>
      <c r="AN247" s="78"/>
      <c r="AO247" s="78"/>
      <c r="AP247" s="78"/>
      <c r="AQ247" s="78"/>
      <c r="AR247" s="78"/>
      <c r="AS247" s="78"/>
      <c r="AT247" s="78"/>
      <c r="AU247" s="78"/>
      <c r="AV247" s="78"/>
      <c r="AW247" s="78"/>
      <c r="AX247" s="78"/>
      <c r="AY247" s="78"/>
      <c r="AZ247" s="78"/>
      <c r="BA247" s="78"/>
      <c r="BB247" s="78"/>
      <c r="BC247" s="78"/>
      <c r="BD247" s="78"/>
      <c r="BE247" s="78"/>
      <c r="BF247" s="78"/>
      <c r="BG247" s="78"/>
      <c r="BH247" s="78"/>
      <c r="BI247" s="78"/>
      <c r="BJ247" s="78"/>
      <c r="BK247" s="78"/>
      <c r="BL247" s="78"/>
    </row>
    <row r="248" spans="1:64" ht="15">
      <c r="A248" s="85">
        <v>22</v>
      </c>
      <c r="B248" s="79" t="s">
        <v>229</v>
      </c>
      <c r="C248" s="165" t="s">
        <v>660</v>
      </c>
      <c r="D248" s="133">
        <f>'EIA412 BALANCE SHEET'!F32</f>
        <v>301933</v>
      </c>
      <c r="E248" s="166">
        <f>D248/D250</f>
        <v>2.7592076319438372E-2</v>
      </c>
      <c r="F248" s="167"/>
      <c r="G248" s="168">
        <f>IF(D248&gt;0,D245/D248,0)</f>
        <v>3.1950797031129421E-2</v>
      </c>
      <c r="I248" s="167">
        <f>G248*E248</f>
        <v>8.8158883014980793E-4</v>
      </c>
      <c r="J248" s="169" t="s">
        <v>230</v>
      </c>
      <c r="L248" s="118"/>
      <c r="M248" s="117"/>
      <c r="N248" s="96"/>
      <c r="O248" s="119"/>
      <c r="P248" s="119"/>
      <c r="Q248" s="117"/>
      <c r="R248" s="96"/>
      <c r="S248" s="96"/>
      <c r="T248" s="96"/>
      <c r="U248" s="78"/>
      <c r="V248" s="78"/>
      <c r="W248" s="78"/>
      <c r="X248" s="78"/>
      <c r="Y248" s="78"/>
      <c r="Z248" s="78"/>
      <c r="AA248" s="78"/>
      <c r="AB248" s="78"/>
      <c r="AC248" s="78"/>
      <c r="AD248" s="78"/>
      <c r="AE248" s="78"/>
      <c r="AF248" s="78"/>
      <c r="AG248" s="78"/>
      <c r="AH248" s="78"/>
      <c r="AI248" s="78"/>
      <c r="AJ248" s="78"/>
      <c r="AK248" s="78"/>
      <c r="AL248" s="78"/>
      <c r="AM248" s="78"/>
      <c r="AN248" s="78"/>
      <c r="AO248" s="78"/>
      <c r="AP248" s="78"/>
      <c r="AQ248" s="78"/>
      <c r="AR248" s="78"/>
      <c r="AS248" s="78"/>
      <c r="AT248" s="78"/>
      <c r="AU248" s="78"/>
      <c r="AV248" s="78"/>
      <c r="AW248" s="78"/>
      <c r="AX248" s="78"/>
      <c r="AY248" s="78"/>
      <c r="AZ248" s="78"/>
      <c r="BA248" s="78"/>
      <c r="BB248" s="78"/>
      <c r="BC248" s="78"/>
      <c r="BD248" s="78"/>
      <c r="BE248" s="78"/>
      <c r="BF248" s="78"/>
      <c r="BG248" s="78"/>
      <c r="BH248" s="78"/>
      <c r="BI248" s="78"/>
      <c r="BJ248" s="78"/>
      <c r="BK248" s="78"/>
      <c r="BL248" s="78"/>
    </row>
    <row r="249" spans="1:64" ht="15.75" thickBot="1">
      <c r="A249" s="85">
        <v>23</v>
      </c>
      <c r="B249" s="79" t="s">
        <v>231</v>
      </c>
      <c r="C249" s="165" t="s">
        <v>639</v>
      </c>
      <c r="D249" s="131">
        <f>'EIA412 BALANCE SHEET'!F11</f>
        <v>10640810</v>
      </c>
      <c r="E249" s="166">
        <f>D249/D250</f>
        <v>0.97240792368056161</v>
      </c>
      <c r="F249" s="167"/>
      <c r="G249" s="170">
        <f>I252</f>
        <v>0.12379999999999999</v>
      </c>
      <c r="I249" s="171">
        <f>G249*E249</f>
        <v>0.12038410095165353</v>
      </c>
      <c r="J249" s="84"/>
      <c r="L249" s="118"/>
      <c r="M249" s="117"/>
      <c r="N249" s="96"/>
      <c r="O249" s="119"/>
      <c r="P249" s="119"/>
      <c r="Q249" s="117"/>
      <c r="R249" s="96"/>
      <c r="S249" s="96"/>
      <c r="T249" s="96"/>
      <c r="U249" s="78"/>
      <c r="V249" s="78"/>
      <c r="W249" s="78"/>
      <c r="X249" s="78"/>
      <c r="Y249" s="78"/>
      <c r="Z249" s="78"/>
      <c r="AA249" s="78"/>
      <c r="AB249" s="78"/>
      <c r="AC249" s="78"/>
      <c r="AD249" s="78"/>
      <c r="AE249" s="78"/>
      <c r="AF249" s="78"/>
      <c r="AG249" s="78"/>
      <c r="AH249" s="78"/>
      <c r="AI249" s="78"/>
      <c r="AJ249" s="78"/>
      <c r="AK249" s="78"/>
      <c r="AL249" s="78"/>
      <c r="AM249" s="78"/>
      <c r="AN249" s="78"/>
      <c r="AO249" s="78"/>
      <c r="AP249" s="78"/>
      <c r="AQ249" s="78"/>
      <c r="AR249" s="78"/>
      <c r="AS249" s="78"/>
      <c r="AT249" s="78"/>
      <c r="AU249" s="78"/>
      <c r="AV249" s="78"/>
      <c r="AW249" s="78"/>
      <c r="AX249" s="78"/>
      <c r="AY249" s="78"/>
      <c r="AZ249" s="78"/>
      <c r="BA249" s="78"/>
      <c r="BB249" s="78"/>
      <c r="BC249" s="78"/>
      <c r="BD249" s="78"/>
      <c r="BE249" s="78"/>
      <c r="BF249" s="78"/>
      <c r="BG249" s="78"/>
      <c r="BH249" s="78"/>
      <c r="BI249" s="78"/>
      <c r="BJ249" s="78"/>
      <c r="BK249" s="78"/>
      <c r="BL249" s="78"/>
    </row>
    <row r="250" spans="1:64" ht="15">
      <c r="A250" s="85">
        <v>24</v>
      </c>
      <c r="B250" s="79" t="s">
        <v>232</v>
      </c>
      <c r="C250" s="143"/>
      <c r="D250" s="84">
        <f>SUM(D248:D249)</f>
        <v>10942743</v>
      </c>
      <c r="E250" s="166">
        <f>SUM(E248:E249)</f>
        <v>1</v>
      </c>
      <c r="F250" s="167"/>
      <c r="G250" s="167"/>
      <c r="I250" s="167">
        <f>SUM(I248:I249)</f>
        <v>0.12126568978180334</v>
      </c>
      <c r="J250" s="169" t="s">
        <v>233</v>
      </c>
      <c r="L250" s="118"/>
      <c r="M250" s="117"/>
      <c r="N250" s="96"/>
      <c r="O250" s="119"/>
      <c r="P250" s="119"/>
      <c r="Q250" s="117"/>
      <c r="R250" s="96"/>
      <c r="S250" s="96"/>
      <c r="T250" s="96"/>
      <c r="U250" s="78"/>
      <c r="V250" s="78"/>
      <c r="W250" s="78"/>
      <c r="X250" s="78"/>
      <c r="Y250" s="78"/>
      <c r="Z250" s="78"/>
      <c r="AA250" s="78"/>
      <c r="AB250" s="78"/>
      <c r="AC250" s="78"/>
      <c r="AD250" s="78"/>
      <c r="AE250" s="78"/>
      <c r="AF250" s="78"/>
      <c r="AG250" s="78"/>
      <c r="AH250" s="78"/>
      <c r="AI250" s="78"/>
      <c r="AJ250" s="78"/>
      <c r="AK250" s="78"/>
      <c r="AL250" s="78"/>
      <c r="AM250" s="78"/>
      <c r="AN250" s="78"/>
      <c r="AO250" s="78"/>
      <c r="AP250" s="78"/>
      <c r="AQ250" s="78"/>
      <c r="AR250" s="78"/>
      <c r="AS250" s="78"/>
      <c r="AT250" s="78"/>
      <c r="AU250" s="78"/>
      <c r="AV250" s="78"/>
      <c r="AW250" s="78"/>
      <c r="AX250" s="78"/>
      <c r="AY250" s="78"/>
      <c r="AZ250" s="78"/>
      <c r="BA250" s="78"/>
      <c r="BB250" s="78"/>
      <c r="BC250" s="78"/>
      <c r="BD250" s="78"/>
      <c r="BE250" s="78"/>
      <c r="BF250" s="78"/>
      <c r="BG250" s="78"/>
      <c r="BH250" s="78"/>
      <c r="BI250" s="78"/>
      <c r="BJ250" s="78"/>
      <c r="BK250" s="78"/>
      <c r="BL250" s="78"/>
    </row>
    <row r="251" spans="1:64" ht="15">
      <c r="L251" s="118"/>
      <c r="M251" s="117"/>
      <c r="N251" s="96"/>
      <c r="O251" s="119"/>
      <c r="P251" s="119"/>
      <c r="Q251" s="117"/>
      <c r="R251" s="96"/>
      <c r="S251" s="96"/>
      <c r="T251" s="96"/>
      <c r="U251" s="78"/>
      <c r="V251" s="78"/>
      <c r="W251" s="78"/>
      <c r="X251" s="78"/>
      <c r="Y251" s="78"/>
      <c r="Z251" s="78"/>
      <c r="AA251" s="78"/>
      <c r="AB251" s="78"/>
      <c r="AC251" s="78"/>
      <c r="AD251" s="78"/>
      <c r="AE251" s="78"/>
      <c r="AF251" s="78"/>
      <c r="AG251" s="78"/>
      <c r="AH251" s="78"/>
      <c r="AI251" s="78"/>
      <c r="AJ251" s="78"/>
      <c r="AK251" s="78"/>
      <c r="AL251" s="78"/>
      <c r="AM251" s="78"/>
      <c r="AN251" s="78"/>
      <c r="AO251" s="78"/>
      <c r="AP251" s="78"/>
      <c r="AQ251" s="78"/>
      <c r="AR251" s="78"/>
      <c r="AS251" s="78"/>
      <c r="AT251" s="78"/>
      <c r="AU251" s="78"/>
      <c r="AV251" s="78"/>
      <c r="AW251" s="78"/>
      <c r="AX251" s="78"/>
      <c r="AY251" s="78"/>
      <c r="AZ251" s="78"/>
      <c r="BA251" s="78"/>
      <c r="BB251" s="78"/>
      <c r="BC251" s="78"/>
      <c r="BD251" s="78"/>
      <c r="BE251" s="78"/>
      <c r="BF251" s="78"/>
      <c r="BG251" s="78"/>
      <c r="BH251" s="78"/>
      <c r="BI251" s="78"/>
      <c r="BJ251" s="78"/>
      <c r="BK251" s="78"/>
      <c r="BL251" s="78"/>
    </row>
    <row r="252" spans="1:64" ht="15">
      <c r="A252" s="85">
        <v>25</v>
      </c>
      <c r="D252" s="76" t="s">
        <v>234</v>
      </c>
      <c r="E252" s="84"/>
      <c r="F252" s="84"/>
      <c r="G252" s="84"/>
      <c r="H252" s="84"/>
      <c r="I252" s="172">
        <v>0.12379999999999999</v>
      </c>
      <c r="L252" s="118"/>
      <c r="M252" s="117"/>
      <c r="N252" s="96"/>
      <c r="O252" s="119"/>
      <c r="P252" s="119"/>
      <c r="Q252" s="117"/>
      <c r="R252" s="96"/>
      <c r="S252" s="96"/>
      <c r="T252" s="96"/>
      <c r="U252" s="78"/>
      <c r="V252" s="78"/>
      <c r="W252" s="78"/>
      <c r="X252" s="78"/>
      <c r="Y252" s="78"/>
      <c r="Z252" s="78"/>
      <c r="AA252" s="78"/>
      <c r="AB252" s="78"/>
      <c r="AC252" s="78"/>
      <c r="AD252" s="78"/>
      <c r="AE252" s="78"/>
      <c r="AF252" s="78"/>
      <c r="AG252" s="78"/>
      <c r="AH252" s="78"/>
      <c r="AI252" s="78"/>
      <c r="AJ252" s="78"/>
      <c r="AK252" s="78"/>
      <c r="AL252" s="78"/>
      <c r="AM252" s="78"/>
      <c r="AN252" s="78"/>
      <c r="AO252" s="78"/>
      <c r="AP252" s="78"/>
      <c r="AQ252" s="78"/>
      <c r="AR252" s="78"/>
      <c r="AS252" s="78"/>
      <c r="AT252" s="78"/>
      <c r="AU252" s="78"/>
      <c r="AV252" s="78"/>
      <c r="AW252" s="78"/>
      <c r="AX252" s="78"/>
      <c r="AY252" s="78"/>
      <c r="AZ252" s="78"/>
      <c r="BA252" s="78"/>
      <c r="BB252" s="78"/>
      <c r="BC252" s="78"/>
      <c r="BD252" s="78"/>
      <c r="BE252" s="78"/>
      <c r="BF252" s="78"/>
      <c r="BG252" s="78"/>
      <c r="BH252" s="78"/>
      <c r="BI252" s="78"/>
      <c r="BJ252" s="78"/>
      <c r="BK252" s="78"/>
      <c r="BL252" s="78"/>
    </row>
    <row r="253" spans="1:64" ht="15">
      <c r="A253" s="85">
        <v>26</v>
      </c>
      <c r="B253" s="102"/>
      <c r="D253" s="102"/>
      <c r="E253" s="102"/>
      <c r="F253" s="102"/>
      <c r="G253" s="102" t="s">
        <v>235</v>
      </c>
      <c r="H253" s="102"/>
      <c r="I253" s="161">
        <f>IF(G248&gt;0,I250/G248,0)</f>
        <v>3.7953885677297845</v>
      </c>
      <c r="J253" s="102"/>
      <c r="K253" s="84"/>
      <c r="L253" s="118"/>
      <c r="M253" s="117"/>
      <c r="N253" s="96"/>
      <c r="O253" s="119"/>
      <c r="P253" s="119"/>
      <c r="Q253" s="117"/>
      <c r="R253" s="96"/>
      <c r="S253" s="96"/>
      <c r="T253" s="96"/>
      <c r="U253" s="78"/>
      <c r="V253" s="78"/>
      <c r="W253" s="78"/>
      <c r="X253" s="78"/>
      <c r="Y253" s="78"/>
      <c r="Z253" s="78"/>
      <c r="AA253" s="78"/>
      <c r="AB253" s="78"/>
      <c r="AC253" s="78"/>
      <c r="AD253" s="78"/>
      <c r="AE253" s="78"/>
      <c r="AF253" s="78"/>
      <c r="AG253" s="78"/>
      <c r="AH253" s="78"/>
      <c r="AI253" s="78"/>
      <c r="AJ253" s="78"/>
      <c r="AK253" s="78"/>
      <c r="AL253" s="78"/>
      <c r="AM253" s="78"/>
      <c r="AN253" s="78"/>
      <c r="AO253" s="78"/>
      <c r="AP253" s="78"/>
      <c r="AQ253" s="78"/>
      <c r="AR253" s="78"/>
      <c r="AS253" s="78"/>
      <c r="AT253" s="78"/>
      <c r="AU253" s="78"/>
      <c r="AV253" s="78"/>
      <c r="AW253" s="78"/>
      <c r="AX253" s="78"/>
      <c r="AY253" s="78"/>
      <c r="AZ253" s="78"/>
      <c r="BA253" s="78"/>
      <c r="BB253" s="78"/>
      <c r="BC253" s="78"/>
      <c r="BD253" s="78"/>
      <c r="BE253" s="78"/>
      <c r="BF253" s="78"/>
      <c r="BG253" s="78"/>
      <c r="BH253" s="78"/>
      <c r="BI253" s="78"/>
      <c r="BJ253" s="78"/>
      <c r="BK253" s="78"/>
      <c r="BL253" s="78"/>
    </row>
    <row r="254" spans="1:64" ht="15">
      <c r="A254" s="85"/>
      <c r="B254" s="79" t="s">
        <v>236</v>
      </c>
      <c r="C254" s="80"/>
      <c r="D254" s="80"/>
      <c r="E254" s="80"/>
      <c r="F254" s="80"/>
      <c r="G254" s="80"/>
      <c r="H254" s="80"/>
      <c r="I254" s="80"/>
      <c r="J254" s="80"/>
      <c r="K254" s="80"/>
      <c r="L254" s="84"/>
      <c r="M254" s="117"/>
      <c r="N254" s="96"/>
      <c r="O254" s="173"/>
      <c r="P254" s="119"/>
      <c r="Q254" s="117"/>
      <c r="R254" s="96"/>
      <c r="S254" s="96"/>
      <c r="T254" s="96"/>
      <c r="U254" s="78"/>
      <c r="V254" s="78"/>
      <c r="W254" s="78"/>
      <c r="X254" s="78"/>
      <c r="Y254" s="78"/>
      <c r="Z254" s="78"/>
      <c r="AA254" s="78"/>
      <c r="AB254" s="78"/>
      <c r="AC254" s="78"/>
      <c r="AD254" s="78"/>
      <c r="AE254" s="78"/>
      <c r="AF254" s="78"/>
      <c r="AG254" s="78"/>
      <c r="AH254" s="78"/>
      <c r="AI254" s="78"/>
      <c r="AJ254" s="78"/>
      <c r="AK254" s="78"/>
      <c r="AL254" s="78"/>
      <c r="AM254" s="78"/>
      <c r="AN254" s="78"/>
      <c r="AO254" s="78"/>
      <c r="AP254" s="78"/>
      <c r="AQ254" s="78"/>
      <c r="AR254" s="78"/>
      <c r="AS254" s="78"/>
      <c r="AT254" s="78"/>
      <c r="AU254" s="78"/>
      <c r="AV254" s="78"/>
      <c r="AW254" s="78"/>
      <c r="AX254" s="78"/>
      <c r="AY254" s="78"/>
      <c r="AZ254" s="78"/>
      <c r="BA254" s="78"/>
      <c r="BB254" s="78"/>
      <c r="BC254" s="78"/>
      <c r="BD254" s="78"/>
      <c r="BE254" s="78"/>
      <c r="BF254" s="78"/>
      <c r="BG254" s="78"/>
      <c r="BH254" s="78"/>
      <c r="BI254" s="78"/>
      <c r="BJ254" s="78"/>
      <c r="BK254" s="78"/>
      <c r="BL254" s="78"/>
    </row>
    <row r="255" spans="1:64" ht="15.75" thickBot="1">
      <c r="A255" s="85"/>
      <c r="B255" s="79"/>
      <c r="C255" s="79"/>
      <c r="D255" s="79"/>
      <c r="E255" s="79"/>
      <c r="F255" s="79"/>
      <c r="G255" s="79"/>
      <c r="H255" s="79"/>
      <c r="I255" s="90" t="s">
        <v>237</v>
      </c>
      <c r="J255" s="79"/>
      <c r="K255" s="79"/>
      <c r="L255" s="79"/>
      <c r="M255" s="117"/>
      <c r="N255" s="96"/>
      <c r="O255" s="174"/>
      <c r="P255" s="119"/>
      <c r="Q255" s="117"/>
      <c r="R255" s="96"/>
      <c r="S255" s="96"/>
      <c r="T255" s="96"/>
      <c r="U255" s="78"/>
      <c r="V255" s="78"/>
      <c r="W255" s="78"/>
      <c r="X255" s="78"/>
      <c r="Y255" s="78"/>
      <c r="Z255" s="78"/>
      <c r="AA255" s="78"/>
      <c r="AB255" s="78"/>
      <c r="AC255" s="78"/>
      <c r="AD255" s="78"/>
      <c r="AE255" s="78"/>
      <c r="AF255" s="78"/>
      <c r="AG255" s="78"/>
      <c r="AH255" s="78"/>
      <c r="AI255" s="78"/>
      <c r="AJ255" s="78"/>
      <c r="AK255" s="78"/>
      <c r="AL255" s="78"/>
      <c r="AM255" s="78"/>
      <c r="AN255" s="78"/>
      <c r="AO255" s="78"/>
      <c r="AP255" s="78"/>
      <c r="AQ255" s="78"/>
      <c r="AR255" s="78"/>
      <c r="AS255" s="78"/>
      <c r="AT255" s="78"/>
      <c r="AU255" s="78"/>
      <c r="AV255" s="78"/>
      <c r="AW255" s="78"/>
      <c r="AX255" s="78"/>
      <c r="AY255" s="78"/>
      <c r="AZ255" s="78"/>
      <c r="BA255" s="78"/>
      <c r="BB255" s="78"/>
      <c r="BC255" s="78"/>
      <c r="BD255" s="78"/>
      <c r="BE255" s="78"/>
      <c r="BF255" s="78"/>
      <c r="BG255" s="78"/>
      <c r="BH255" s="78"/>
      <c r="BI255" s="78"/>
      <c r="BJ255" s="78"/>
      <c r="BK255" s="78"/>
      <c r="BL255" s="78"/>
    </row>
    <row r="256" spans="1:64" ht="15">
      <c r="A256" s="85"/>
      <c r="B256" s="79" t="s">
        <v>238</v>
      </c>
      <c r="C256" s="80"/>
      <c r="D256" s="80"/>
      <c r="E256" s="80"/>
      <c r="F256" s="80"/>
      <c r="G256" s="104" t="s">
        <v>54</v>
      </c>
      <c r="H256" s="175"/>
      <c r="I256" s="176"/>
      <c r="J256" s="79"/>
      <c r="K256" s="79"/>
      <c r="L256" s="79"/>
      <c r="M256" s="117"/>
      <c r="N256" s="96"/>
      <c r="O256" s="174"/>
      <c r="P256" s="119"/>
      <c r="Q256" s="117"/>
      <c r="R256" s="96"/>
      <c r="S256" s="96"/>
      <c r="T256" s="96"/>
      <c r="U256" s="78"/>
      <c r="V256" s="78"/>
      <c r="W256" s="78"/>
      <c r="X256" s="78"/>
      <c r="Y256" s="78"/>
      <c r="Z256" s="78"/>
      <c r="AA256" s="78"/>
      <c r="AB256" s="78"/>
      <c r="AC256" s="78"/>
      <c r="AD256" s="78"/>
      <c r="AE256" s="78"/>
      <c r="AF256" s="78"/>
      <c r="AG256" s="78"/>
      <c r="AH256" s="78"/>
      <c r="AI256" s="78"/>
      <c r="AJ256" s="78"/>
      <c r="AK256" s="78"/>
      <c r="AL256" s="78"/>
      <c r="AM256" s="78"/>
      <c r="AN256" s="78"/>
      <c r="AO256" s="78"/>
      <c r="AP256" s="78"/>
      <c r="AQ256" s="78"/>
      <c r="AR256" s="78"/>
      <c r="AS256" s="78"/>
      <c r="AT256" s="78"/>
      <c r="AU256" s="78"/>
      <c r="AV256" s="78"/>
      <c r="AW256" s="78"/>
      <c r="AX256" s="78"/>
      <c r="AY256" s="78"/>
      <c r="AZ256" s="78"/>
      <c r="BA256" s="78"/>
      <c r="BB256" s="78"/>
      <c r="BC256" s="78"/>
      <c r="BD256" s="78"/>
      <c r="BE256" s="78"/>
      <c r="BF256" s="78"/>
      <c r="BG256" s="78"/>
      <c r="BH256" s="78"/>
      <c r="BI256" s="78"/>
      <c r="BJ256" s="78"/>
      <c r="BK256" s="78"/>
      <c r="BL256" s="78"/>
    </row>
    <row r="257" spans="1:64" ht="15">
      <c r="A257" s="85">
        <v>27</v>
      </c>
      <c r="B257" s="363" t="s">
        <v>239</v>
      </c>
      <c r="C257" s="80"/>
      <c r="D257" s="80"/>
      <c r="E257" s="80" t="s">
        <v>240</v>
      </c>
      <c r="F257" s="80"/>
      <c r="G257" s="102"/>
      <c r="H257" s="175"/>
      <c r="I257" s="177">
        <v>0</v>
      </c>
      <c r="J257" s="79"/>
      <c r="K257" s="79"/>
      <c r="L257" s="79"/>
      <c r="M257" s="117"/>
      <c r="N257" s="96"/>
      <c r="O257" s="174"/>
      <c r="P257" s="119"/>
      <c r="Q257" s="117"/>
      <c r="R257" s="96"/>
      <c r="S257" s="96"/>
      <c r="T257" s="96"/>
      <c r="U257" s="78"/>
      <c r="V257" s="78"/>
      <c r="W257" s="78"/>
      <c r="X257" s="78"/>
      <c r="Y257" s="78"/>
      <c r="Z257" s="78"/>
      <c r="AA257" s="78"/>
      <c r="AB257" s="78"/>
      <c r="AC257" s="78"/>
      <c r="AD257" s="78"/>
      <c r="AE257" s="78"/>
      <c r="AF257" s="78"/>
      <c r="AG257" s="78"/>
      <c r="AH257" s="78"/>
      <c r="AI257" s="78"/>
      <c r="AJ257" s="78"/>
      <c r="AK257" s="78"/>
      <c r="AL257" s="78"/>
      <c r="AM257" s="78"/>
      <c r="AN257" s="78"/>
      <c r="AO257" s="78"/>
      <c r="AP257" s="78"/>
      <c r="AQ257" s="78"/>
      <c r="AR257" s="78"/>
      <c r="AS257" s="78"/>
      <c r="AT257" s="78"/>
      <c r="AU257" s="78"/>
      <c r="AV257" s="78"/>
      <c r="AW257" s="78"/>
      <c r="AX257" s="78"/>
      <c r="AY257" s="78"/>
      <c r="AZ257" s="78"/>
      <c r="BA257" s="78"/>
      <c r="BB257" s="78"/>
      <c r="BC257" s="78"/>
      <c r="BD257" s="78"/>
      <c r="BE257" s="78"/>
      <c r="BF257" s="78"/>
      <c r="BG257" s="78"/>
      <c r="BH257" s="78"/>
      <c r="BI257" s="78"/>
      <c r="BJ257" s="78"/>
      <c r="BK257" s="78"/>
      <c r="BL257" s="78"/>
    </row>
    <row r="258" spans="1:64" ht="15.75" thickBot="1">
      <c r="A258" s="85">
        <v>28</v>
      </c>
      <c r="B258" s="178" t="s">
        <v>241</v>
      </c>
      <c r="C258" s="154"/>
      <c r="D258" s="178"/>
      <c r="E258" s="154"/>
      <c r="F258" s="154"/>
      <c r="G258" s="154"/>
      <c r="H258" s="80"/>
      <c r="I258" s="179">
        <v>0</v>
      </c>
      <c r="J258" s="79"/>
      <c r="K258" s="79"/>
      <c r="L258" s="79"/>
      <c r="M258" s="95"/>
      <c r="N258" s="96"/>
      <c r="O258" s="174"/>
      <c r="P258" s="119"/>
      <c r="Q258" s="117"/>
      <c r="R258" s="96"/>
      <c r="S258" s="96"/>
      <c r="T258" s="96"/>
      <c r="U258" s="78"/>
      <c r="V258" s="78"/>
      <c r="W258" s="78"/>
      <c r="X258" s="78"/>
      <c r="Y258" s="78"/>
      <c r="Z258" s="78"/>
      <c r="AA258" s="78"/>
      <c r="AB258" s="78"/>
      <c r="AC258" s="78"/>
      <c r="AD258" s="78"/>
      <c r="AE258" s="78"/>
      <c r="AF258" s="78"/>
      <c r="AG258" s="78"/>
      <c r="AH258" s="78"/>
      <c r="AI258" s="78"/>
      <c r="AJ258" s="78"/>
      <c r="AK258" s="78"/>
      <c r="AL258" s="78"/>
      <c r="AM258" s="78"/>
      <c r="AN258" s="78"/>
      <c r="AO258" s="78"/>
      <c r="AP258" s="78"/>
      <c r="AQ258" s="78"/>
      <c r="AR258" s="78"/>
      <c r="AS258" s="78"/>
      <c r="AT258" s="78"/>
      <c r="AU258" s="78"/>
      <c r="AV258" s="78"/>
      <c r="AW258" s="78"/>
      <c r="AX258" s="78"/>
      <c r="AY258" s="78"/>
      <c r="AZ258" s="78"/>
      <c r="BA258" s="78"/>
      <c r="BB258" s="78"/>
      <c r="BC258" s="78"/>
      <c r="BD258" s="78"/>
      <c r="BE258" s="78"/>
      <c r="BF258" s="78"/>
      <c r="BG258" s="78"/>
      <c r="BH258" s="78"/>
      <c r="BI258" s="78"/>
      <c r="BJ258" s="78"/>
      <c r="BK258" s="78"/>
      <c r="BL258" s="78"/>
    </row>
    <row r="259" spans="1:64" ht="15">
      <c r="A259" s="85">
        <v>29</v>
      </c>
      <c r="B259" s="102" t="s">
        <v>242</v>
      </c>
      <c r="C259" s="80"/>
      <c r="D259" s="102"/>
      <c r="E259" s="80"/>
      <c r="F259" s="80"/>
      <c r="G259" s="80"/>
      <c r="H259" s="80"/>
      <c r="I259" s="177">
        <f>+I257-I258</f>
        <v>0</v>
      </c>
      <c r="J259" s="79"/>
      <c r="K259" s="79"/>
      <c r="L259" s="79"/>
      <c r="M259" s="95"/>
      <c r="N259" s="96"/>
      <c r="O259" s="174"/>
      <c r="P259" s="119"/>
      <c r="Q259" s="117"/>
      <c r="R259" s="96"/>
      <c r="S259" s="96"/>
      <c r="T259" s="96"/>
      <c r="U259" s="78"/>
      <c r="V259" s="78"/>
      <c r="W259" s="78"/>
      <c r="X259" s="78"/>
      <c r="Y259" s="78"/>
      <c r="Z259" s="78"/>
      <c r="AA259" s="78"/>
      <c r="AB259" s="78"/>
      <c r="AC259" s="78"/>
      <c r="AD259" s="78"/>
      <c r="AE259" s="78"/>
      <c r="AF259" s="78"/>
      <c r="AG259" s="78"/>
      <c r="AH259" s="78"/>
      <c r="AI259" s="78"/>
      <c r="AJ259" s="78"/>
      <c r="AK259" s="78"/>
      <c r="AL259" s="78"/>
      <c r="AM259" s="78"/>
      <c r="AN259" s="78"/>
      <c r="AO259" s="78"/>
      <c r="AP259" s="78"/>
      <c r="AQ259" s="78"/>
      <c r="AR259" s="78"/>
      <c r="AS259" s="78"/>
      <c r="AT259" s="78"/>
      <c r="AU259" s="78"/>
      <c r="AV259" s="78"/>
      <c r="AW259" s="78"/>
      <c r="AX259" s="78"/>
      <c r="AY259" s="78"/>
      <c r="AZ259" s="78"/>
      <c r="BA259" s="78"/>
      <c r="BB259" s="78"/>
      <c r="BC259" s="78"/>
      <c r="BD259" s="78"/>
      <c r="BE259" s="78"/>
      <c r="BF259" s="78"/>
      <c r="BG259" s="78"/>
      <c r="BH259" s="78"/>
      <c r="BI259" s="78"/>
      <c r="BJ259" s="78"/>
      <c r="BK259" s="78"/>
      <c r="BL259" s="78"/>
    </row>
    <row r="260" spans="1:64" ht="15">
      <c r="A260" s="85"/>
      <c r="B260" s="102" t="s">
        <v>54</v>
      </c>
      <c r="C260" s="80"/>
      <c r="D260" s="102"/>
      <c r="E260" s="80"/>
      <c r="F260" s="80"/>
      <c r="G260" s="181"/>
      <c r="H260" s="80"/>
      <c r="I260" s="180" t="s">
        <v>54</v>
      </c>
      <c r="J260" s="79"/>
      <c r="K260" s="79"/>
      <c r="L260" s="79"/>
      <c r="M260" s="95"/>
      <c r="N260" s="96"/>
      <c r="O260" s="174"/>
      <c r="P260" s="119"/>
      <c r="Q260" s="117"/>
      <c r="R260" s="96"/>
      <c r="S260" s="96"/>
      <c r="T260" s="96"/>
      <c r="U260" s="78"/>
      <c r="V260" s="78"/>
      <c r="W260" s="78"/>
      <c r="X260" s="78"/>
      <c r="Y260" s="78"/>
      <c r="Z260" s="78"/>
      <c r="AA260" s="78"/>
      <c r="AB260" s="78"/>
      <c r="AC260" s="78"/>
      <c r="AD260" s="78"/>
      <c r="AE260" s="78"/>
      <c r="AF260" s="78"/>
      <c r="AG260" s="78"/>
      <c r="AH260" s="78"/>
      <c r="AI260" s="78"/>
      <c r="AJ260" s="78"/>
      <c r="AK260" s="78"/>
      <c r="AL260" s="78"/>
      <c r="AM260" s="78"/>
      <c r="AN260" s="78"/>
      <c r="AO260" s="78"/>
      <c r="AP260" s="78"/>
      <c r="AQ260" s="78"/>
      <c r="AR260" s="78"/>
      <c r="AS260" s="78"/>
      <c r="AT260" s="78"/>
      <c r="AU260" s="78"/>
      <c r="AV260" s="78"/>
      <c r="AW260" s="78"/>
      <c r="AX260" s="78"/>
      <c r="AY260" s="78"/>
      <c r="AZ260" s="78"/>
      <c r="BA260" s="78"/>
      <c r="BB260" s="78"/>
      <c r="BC260" s="78"/>
      <c r="BD260" s="78"/>
      <c r="BE260" s="78"/>
      <c r="BF260" s="78"/>
      <c r="BG260" s="78"/>
      <c r="BH260" s="78"/>
      <c r="BI260" s="78"/>
      <c r="BJ260" s="78"/>
      <c r="BK260" s="78"/>
      <c r="BL260" s="78"/>
    </row>
    <row r="261" spans="1:64" ht="15">
      <c r="A261" s="85">
        <v>30</v>
      </c>
      <c r="B261" s="79" t="s">
        <v>243</v>
      </c>
      <c r="C261" s="80"/>
      <c r="D261" s="102"/>
      <c r="E261" s="80"/>
      <c r="F261" s="80"/>
      <c r="G261" s="181"/>
      <c r="H261" s="80"/>
      <c r="I261" s="182">
        <f>'EIA412 INCOME STATEMENT'!C16</f>
        <v>2599</v>
      </c>
      <c r="J261" s="79"/>
      <c r="K261" s="79"/>
      <c r="L261" s="79"/>
      <c r="M261" s="183"/>
      <c r="N261" s="96"/>
      <c r="O261" s="174"/>
      <c r="P261" s="119"/>
      <c r="Q261" s="117"/>
      <c r="R261" s="96"/>
      <c r="S261" s="96"/>
      <c r="T261" s="96"/>
      <c r="U261" s="78"/>
      <c r="V261" s="78"/>
      <c r="W261" s="78"/>
      <c r="X261" s="78"/>
      <c r="Y261" s="78"/>
      <c r="Z261" s="78"/>
      <c r="AA261" s="78"/>
      <c r="AB261" s="78"/>
      <c r="AC261" s="78"/>
      <c r="AD261" s="78"/>
      <c r="AE261" s="78"/>
      <c r="AF261" s="78"/>
      <c r="AG261" s="78"/>
      <c r="AH261" s="78"/>
      <c r="AI261" s="78"/>
      <c r="AJ261" s="78"/>
      <c r="AK261" s="78"/>
      <c r="AL261" s="78"/>
      <c r="AM261" s="78"/>
      <c r="AN261" s="78"/>
      <c r="AO261" s="78"/>
      <c r="AP261" s="78"/>
      <c r="AQ261" s="78"/>
      <c r="AR261" s="78"/>
      <c r="AS261" s="78"/>
      <c r="AT261" s="78"/>
      <c r="AU261" s="78"/>
      <c r="AV261" s="78"/>
      <c r="AW261" s="78"/>
      <c r="AX261" s="78"/>
      <c r="AY261" s="78"/>
      <c r="AZ261" s="78"/>
      <c r="BA261" s="78"/>
      <c r="BB261" s="78"/>
      <c r="BC261" s="78"/>
      <c r="BD261" s="78"/>
      <c r="BE261" s="78"/>
      <c r="BF261" s="78"/>
      <c r="BG261" s="78"/>
      <c r="BH261" s="78"/>
      <c r="BI261" s="78"/>
      <c r="BJ261" s="78"/>
      <c r="BK261" s="78"/>
      <c r="BL261" s="78"/>
    </row>
    <row r="262" spans="1:64" ht="15">
      <c r="A262" s="85"/>
      <c r="C262" s="80"/>
      <c r="D262" s="80"/>
      <c r="E262" s="80"/>
      <c r="F262" s="80"/>
      <c r="G262" s="80"/>
      <c r="H262" s="80"/>
      <c r="I262" s="180"/>
      <c r="J262" s="79"/>
      <c r="K262" s="79"/>
      <c r="L262" s="79"/>
      <c r="M262" s="173"/>
      <c r="N262" s="96"/>
      <c r="O262" s="174"/>
      <c r="P262" s="119"/>
      <c r="Q262" s="117"/>
      <c r="R262" s="96"/>
      <c r="S262" s="96"/>
      <c r="T262" s="96"/>
      <c r="U262" s="78"/>
      <c r="V262" s="78"/>
      <c r="W262" s="78"/>
      <c r="X262" s="78"/>
      <c r="Y262" s="78"/>
      <c r="Z262" s="78"/>
      <c r="AA262" s="78"/>
      <c r="AB262" s="78"/>
      <c r="AC262" s="78"/>
      <c r="AD262" s="78"/>
      <c r="AE262" s="78"/>
      <c r="AF262" s="78"/>
      <c r="AG262" s="78"/>
      <c r="AH262" s="78"/>
      <c r="AI262" s="78"/>
      <c r="AJ262" s="78"/>
      <c r="AK262" s="78"/>
      <c r="AL262" s="78"/>
      <c r="AM262" s="78"/>
      <c r="AN262" s="78"/>
      <c r="AO262" s="78"/>
      <c r="AP262" s="78"/>
      <c r="AQ262" s="78"/>
      <c r="AR262" s="78"/>
      <c r="AS262" s="78"/>
      <c r="AT262" s="78"/>
      <c r="AU262" s="78"/>
      <c r="AV262" s="78"/>
      <c r="AW262" s="78"/>
      <c r="AX262" s="78"/>
      <c r="AY262" s="78"/>
      <c r="AZ262" s="78"/>
      <c r="BA262" s="78"/>
      <c r="BB262" s="78"/>
      <c r="BC262" s="78"/>
      <c r="BD262" s="78"/>
      <c r="BE262" s="78"/>
      <c r="BF262" s="78"/>
      <c r="BG262" s="78"/>
      <c r="BH262" s="78"/>
      <c r="BI262" s="78"/>
      <c r="BJ262" s="78"/>
      <c r="BK262" s="78"/>
      <c r="BL262" s="78"/>
    </row>
    <row r="263" spans="1:64" ht="15">
      <c r="B263" s="79" t="s">
        <v>648</v>
      </c>
      <c r="C263" s="80"/>
      <c r="D263" s="80"/>
      <c r="E263" s="80"/>
      <c r="F263" s="80"/>
      <c r="G263" s="80"/>
      <c r="H263" s="80"/>
      <c r="J263" s="79"/>
      <c r="K263" s="79"/>
      <c r="L263" s="79"/>
      <c r="M263" s="173"/>
      <c r="N263" s="96"/>
      <c r="O263" s="174"/>
      <c r="P263" s="119"/>
      <c r="Q263" s="117"/>
      <c r="R263" s="96"/>
      <c r="S263" s="96"/>
      <c r="T263" s="96"/>
      <c r="U263" s="78"/>
      <c r="V263" s="78"/>
      <c r="W263" s="78"/>
      <c r="X263" s="78"/>
      <c r="Y263" s="78"/>
      <c r="Z263" s="78"/>
      <c r="AA263" s="78"/>
      <c r="AB263" s="78"/>
      <c r="AC263" s="78"/>
      <c r="AD263" s="78"/>
      <c r="AE263" s="78"/>
      <c r="AF263" s="78"/>
      <c r="AG263" s="78"/>
      <c r="AH263" s="78"/>
      <c r="AI263" s="78"/>
      <c r="AJ263" s="78"/>
      <c r="AK263" s="78"/>
      <c r="AL263" s="78"/>
      <c r="AM263" s="78"/>
      <c r="AN263" s="78"/>
      <c r="AO263" s="78"/>
      <c r="AP263" s="78"/>
      <c r="AQ263" s="78"/>
      <c r="AR263" s="78"/>
      <c r="AS263" s="78"/>
      <c r="AT263" s="78"/>
      <c r="AU263" s="78"/>
      <c r="AV263" s="78"/>
      <c r="AW263" s="78"/>
      <c r="AX263" s="78"/>
      <c r="AY263" s="78"/>
      <c r="AZ263" s="78"/>
      <c r="BA263" s="78"/>
      <c r="BB263" s="78"/>
      <c r="BC263" s="78"/>
      <c r="BD263" s="78"/>
      <c r="BE263" s="78"/>
      <c r="BF263" s="78"/>
      <c r="BG263" s="78"/>
      <c r="BH263" s="78"/>
      <c r="BI263" s="78"/>
      <c r="BJ263" s="78"/>
      <c r="BK263" s="78"/>
      <c r="BL263" s="78"/>
    </row>
    <row r="264" spans="1:64" ht="15.75">
      <c r="A264" s="85">
        <v>31</v>
      </c>
      <c r="B264" s="79" t="s">
        <v>244</v>
      </c>
      <c r="C264" s="84"/>
      <c r="D264" s="84"/>
      <c r="E264" s="84"/>
      <c r="F264" s="84"/>
      <c r="G264" s="84"/>
      <c r="H264" s="84"/>
      <c r="I264" s="604">
        <f>-'TRANS TARIFF REV &amp; EXP'!Y17-'TRANS TARIFF REV &amp; EXP'!Y45-'TRANS TARIFF REV &amp; EXP'!Y60</f>
        <v>245374.93</v>
      </c>
      <c r="J264" s="79"/>
      <c r="K264" s="79"/>
      <c r="L264" s="79"/>
      <c r="M264" s="370" t="s">
        <v>641</v>
      </c>
      <c r="N264" s="353"/>
      <c r="O264" s="367"/>
      <c r="P264" s="362"/>
      <c r="Q264" s="354"/>
      <c r="R264" s="96"/>
      <c r="S264" s="96"/>
      <c r="T264" s="96"/>
      <c r="U264" s="78"/>
      <c r="V264" s="78"/>
      <c r="W264" s="78"/>
      <c r="X264" s="78"/>
      <c r="Y264" s="78"/>
      <c r="Z264" s="78"/>
      <c r="AA264" s="78"/>
      <c r="AB264" s="78"/>
      <c r="AC264" s="78"/>
      <c r="AD264" s="78"/>
      <c r="AE264" s="78"/>
      <c r="AF264" s="78"/>
      <c r="AG264" s="78"/>
      <c r="AH264" s="78"/>
      <c r="AI264" s="78"/>
      <c r="AJ264" s="78"/>
      <c r="AK264" s="78"/>
      <c r="AL264" s="78"/>
      <c r="AM264" s="78"/>
      <c r="AN264" s="78"/>
      <c r="AO264" s="78"/>
      <c r="AP264" s="78"/>
      <c r="AQ264" s="78"/>
      <c r="AR264" s="78"/>
      <c r="AS264" s="78"/>
      <c r="AT264" s="78"/>
      <c r="AU264" s="78"/>
      <c r="AV264" s="78"/>
      <c r="AW264" s="78"/>
      <c r="AX264" s="78"/>
      <c r="AY264" s="78"/>
      <c r="AZ264" s="78"/>
      <c r="BA264" s="78"/>
      <c r="BB264" s="78"/>
      <c r="BC264" s="78"/>
      <c r="BD264" s="78"/>
      <c r="BE264" s="78"/>
      <c r="BF264" s="78"/>
      <c r="BG264" s="78"/>
      <c r="BH264" s="78"/>
      <c r="BI264" s="78"/>
      <c r="BJ264" s="78"/>
      <c r="BK264" s="78"/>
      <c r="BL264" s="78"/>
    </row>
    <row r="265" spans="1:64" ht="15.75">
      <c r="A265" s="85">
        <v>32</v>
      </c>
      <c r="B265" s="368" t="s">
        <v>245</v>
      </c>
      <c r="C265" s="369"/>
      <c r="D265" s="369"/>
      <c r="E265" s="369"/>
      <c r="F265" s="369"/>
      <c r="G265" s="80"/>
      <c r="H265" s="80"/>
      <c r="I265" s="604">
        <f>-'TRANS TARIFF REV &amp; EXP'!Y17</f>
        <v>221983.44</v>
      </c>
      <c r="J265" s="79"/>
      <c r="K265" s="79"/>
      <c r="L265" s="79"/>
      <c r="M265" s="370" t="s">
        <v>642</v>
      </c>
      <c r="N265" s="371"/>
      <c r="O265" s="372"/>
      <c r="P265" s="373"/>
      <c r="Q265" s="374"/>
      <c r="R265" s="96"/>
      <c r="S265" s="96"/>
      <c r="T265" s="96"/>
      <c r="U265" s="78"/>
      <c r="V265" s="78"/>
      <c r="W265" s="78"/>
      <c r="X265" s="78"/>
      <c r="Y265" s="78"/>
      <c r="Z265" s="78"/>
      <c r="AA265" s="78"/>
      <c r="AB265" s="78"/>
      <c r="AC265" s="78"/>
      <c r="AD265" s="78"/>
      <c r="AE265" s="78"/>
      <c r="AF265" s="78"/>
      <c r="AG265" s="78"/>
      <c r="AH265" s="78"/>
      <c r="AI265" s="78"/>
      <c r="AJ265" s="78"/>
      <c r="AK265" s="78"/>
      <c r="AL265" s="78"/>
      <c r="AM265" s="78"/>
      <c r="AN265" s="78"/>
      <c r="AO265" s="78"/>
      <c r="AP265" s="78"/>
      <c r="AQ265" s="78"/>
      <c r="AR265" s="78"/>
      <c r="AS265" s="78"/>
      <c r="AT265" s="78"/>
      <c r="AU265" s="78"/>
      <c r="AV265" s="78"/>
      <c r="AW265" s="78"/>
      <c r="AX265" s="78"/>
      <c r="AY265" s="78"/>
      <c r="AZ265" s="78"/>
      <c r="BA265" s="78"/>
      <c r="BB265" s="78"/>
      <c r="BC265" s="78"/>
      <c r="BD265" s="78"/>
      <c r="BE265" s="78"/>
      <c r="BF265" s="78"/>
      <c r="BG265" s="78"/>
      <c r="BH265" s="78"/>
      <c r="BI265" s="78"/>
      <c r="BJ265" s="78"/>
      <c r="BK265" s="78"/>
      <c r="BL265" s="78"/>
    </row>
    <row r="266" spans="1:64" ht="15">
      <c r="A266" s="85" t="s">
        <v>640</v>
      </c>
      <c r="B266" s="368" t="s">
        <v>728</v>
      </c>
      <c r="C266" s="369"/>
      <c r="D266" s="369"/>
      <c r="E266" s="369"/>
      <c r="F266" s="369"/>
      <c r="G266" s="80"/>
      <c r="H266" s="80"/>
      <c r="I266" s="184">
        <v>0</v>
      </c>
      <c r="J266" s="79"/>
      <c r="K266" s="79"/>
      <c r="L266" s="79"/>
      <c r="M266" s="183"/>
      <c r="N266" s="96"/>
      <c r="O266" s="174"/>
      <c r="P266" s="97"/>
      <c r="Q266" s="117"/>
      <c r="R266" s="96"/>
      <c r="S266" s="96"/>
      <c r="T266" s="96"/>
      <c r="U266" s="78"/>
      <c r="V266" s="78"/>
      <c r="W266" s="78"/>
      <c r="X266" s="78"/>
      <c r="Y266" s="78"/>
      <c r="Z266" s="78"/>
      <c r="AA266" s="78"/>
      <c r="AB266" s="78"/>
      <c r="AC266" s="78"/>
      <c r="AD266" s="78"/>
      <c r="AE266" s="78"/>
      <c r="AF266" s="78"/>
      <c r="AG266" s="78"/>
      <c r="AH266" s="78"/>
      <c r="AI266" s="78"/>
      <c r="AJ266" s="78"/>
      <c r="AK266" s="78"/>
      <c r="AL266" s="78"/>
      <c r="AM266" s="78"/>
      <c r="AN266" s="78"/>
      <c r="AO266" s="78"/>
      <c r="AP266" s="78"/>
      <c r="AQ266" s="78"/>
      <c r="AR266" s="78"/>
      <c r="AS266" s="78"/>
      <c r="AT266" s="78"/>
      <c r="AU266" s="78"/>
      <c r="AV266" s="78"/>
      <c r="AW266" s="78"/>
      <c r="AX266" s="78"/>
      <c r="AY266" s="78"/>
      <c r="AZ266" s="78"/>
      <c r="BA266" s="78"/>
      <c r="BB266" s="78"/>
      <c r="BC266" s="78"/>
      <c r="BD266" s="78"/>
      <c r="BE266" s="78"/>
      <c r="BF266" s="78"/>
      <c r="BG266" s="78"/>
      <c r="BH266" s="78"/>
      <c r="BI266" s="78"/>
      <c r="BJ266" s="78"/>
      <c r="BK266" s="78"/>
      <c r="BL266" s="78"/>
    </row>
    <row r="267" spans="1:64" ht="16.5" thickBot="1">
      <c r="A267" s="399" t="s">
        <v>661</v>
      </c>
      <c r="B267" s="501" t="s">
        <v>729</v>
      </c>
      <c r="C267" s="404"/>
      <c r="D267" s="405"/>
      <c r="E267" s="405"/>
      <c r="F267" s="405"/>
      <c r="G267" s="405"/>
      <c r="H267" s="403"/>
      <c r="I267" s="185">
        <v>0</v>
      </c>
      <c r="J267" s="79"/>
      <c r="K267" s="79"/>
      <c r="L267" s="79"/>
      <c r="M267" s="183"/>
      <c r="N267" s="96"/>
      <c r="O267" s="174"/>
      <c r="P267" s="97"/>
      <c r="Q267" s="117"/>
      <c r="R267" s="96"/>
      <c r="S267" s="96"/>
      <c r="T267" s="96"/>
      <c r="U267" s="78"/>
      <c r="V267" s="78"/>
      <c r="W267" s="78"/>
      <c r="X267" s="78"/>
      <c r="Y267" s="78"/>
      <c r="Z267" s="78"/>
      <c r="AA267" s="78"/>
      <c r="AB267" s="78"/>
      <c r="AC267" s="78"/>
      <c r="AD267" s="78"/>
      <c r="AE267" s="78"/>
      <c r="AF267" s="78"/>
      <c r="AG267" s="78"/>
      <c r="AH267" s="78"/>
      <c r="AI267" s="78"/>
      <c r="AJ267" s="78"/>
      <c r="AK267" s="78"/>
      <c r="AL267" s="78"/>
      <c r="AM267" s="78"/>
      <c r="AN267" s="78"/>
      <c r="AO267" s="78"/>
      <c r="AP267" s="78"/>
      <c r="AQ267" s="78"/>
      <c r="AR267" s="78"/>
      <c r="AS267" s="78"/>
      <c r="AT267" s="78"/>
      <c r="AU267" s="78"/>
      <c r="AV267" s="78"/>
      <c r="AW267" s="78"/>
      <c r="AX267" s="78"/>
      <c r="AY267" s="78"/>
      <c r="AZ267" s="78"/>
      <c r="BA267" s="78"/>
      <c r="BB267" s="78"/>
      <c r="BC267" s="78"/>
      <c r="BD267" s="78"/>
      <c r="BE267" s="78"/>
      <c r="BF267" s="78"/>
      <c r="BG267" s="78"/>
      <c r="BH267" s="78"/>
      <c r="BI267" s="78"/>
      <c r="BJ267" s="78"/>
      <c r="BK267" s="78"/>
      <c r="BL267" s="78"/>
    </row>
    <row r="268" spans="1:64" ht="15">
      <c r="A268" s="85">
        <v>33</v>
      </c>
      <c r="B268" s="186" t="s">
        <v>662</v>
      </c>
      <c r="C268" s="82"/>
      <c r="D268" s="84"/>
      <c r="E268" s="84"/>
      <c r="F268" s="84"/>
      <c r="G268" s="84"/>
      <c r="H268" s="80"/>
      <c r="I268" s="187">
        <f>+I264-I265-I266-I267</f>
        <v>23391.489999999991</v>
      </c>
      <c r="J268" s="79"/>
      <c r="K268" s="79"/>
      <c r="L268" s="79"/>
      <c r="R268" s="96"/>
      <c r="S268" s="96"/>
      <c r="T268" s="96"/>
      <c r="U268" s="78"/>
      <c r="V268" s="78"/>
      <c r="W268" s="78"/>
      <c r="X268" s="78"/>
      <c r="Y268" s="78"/>
      <c r="Z268" s="78"/>
      <c r="AA268" s="78"/>
      <c r="AB268" s="78"/>
      <c r="AC268" s="78"/>
      <c r="AD268" s="78"/>
      <c r="AE268" s="78"/>
      <c r="AF268" s="78"/>
      <c r="AG268" s="78"/>
      <c r="AH268" s="78"/>
      <c r="AI268" s="78"/>
      <c r="AJ268" s="78"/>
      <c r="AK268" s="78"/>
      <c r="AL268" s="78"/>
      <c r="AM268" s="78"/>
      <c r="AN268" s="78"/>
      <c r="AO268" s="78"/>
      <c r="AP268" s="78"/>
      <c r="AQ268" s="78"/>
      <c r="AR268" s="78"/>
      <c r="AS268" s="78"/>
      <c r="AT268" s="78"/>
      <c r="AU268" s="78"/>
      <c r="AV268" s="78"/>
      <c r="AW268" s="78"/>
      <c r="AX268" s="78"/>
      <c r="AY268" s="78"/>
      <c r="AZ268" s="78"/>
      <c r="BA268" s="78"/>
      <c r="BB268" s="78"/>
      <c r="BC268" s="78"/>
      <c r="BD268" s="78"/>
      <c r="BE268" s="78"/>
      <c r="BF268" s="78"/>
      <c r="BG268" s="78"/>
      <c r="BH268" s="78"/>
      <c r="BI268" s="78"/>
      <c r="BJ268" s="78"/>
      <c r="BK268" s="78"/>
      <c r="BL268" s="78"/>
    </row>
    <row r="269" spans="1:64" ht="15">
      <c r="A269" s="85"/>
      <c r="B269" s="186"/>
      <c r="C269" s="82"/>
      <c r="D269" s="84"/>
      <c r="E269" s="84"/>
      <c r="F269" s="84"/>
      <c r="G269" s="84"/>
      <c r="H269" s="80"/>
      <c r="I269" s="187"/>
      <c r="J269" s="79"/>
      <c r="K269" s="79"/>
      <c r="L269" s="79"/>
      <c r="R269" s="96"/>
      <c r="S269" s="96"/>
      <c r="T269" s="96"/>
      <c r="U269" s="78"/>
      <c r="V269" s="78"/>
      <c r="W269" s="78"/>
      <c r="X269" s="78"/>
      <c r="Y269" s="78"/>
      <c r="Z269" s="78"/>
      <c r="AA269" s="78"/>
      <c r="AB269" s="78"/>
      <c r="AC269" s="78"/>
      <c r="AD269" s="78"/>
      <c r="AE269" s="78"/>
      <c r="AF269" s="78"/>
      <c r="AG269" s="78"/>
      <c r="AH269" s="78"/>
      <c r="AI269" s="78"/>
      <c r="AJ269" s="78"/>
      <c r="AK269" s="78"/>
      <c r="AL269" s="78"/>
      <c r="AM269" s="78"/>
      <c r="AN269" s="78"/>
      <c r="AO269" s="78"/>
      <c r="AP269" s="78"/>
      <c r="AQ269" s="78"/>
      <c r="AR269" s="78"/>
      <c r="AS269" s="78"/>
      <c r="AT269" s="78"/>
      <c r="AU269" s="78"/>
      <c r="AV269" s="78"/>
      <c r="AW269" s="78"/>
      <c r="AX269" s="78"/>
      <c r="AY269" s="78"/>
      <c r="AZ269" s="78"/>
      <c r="BA269" s="78"/>
      <c r="BB269" s="78"/>
      <c r="BC269" s="78"/>
      <c r="BD269" s="78"/>
      <c r="BE269" s="78"/>
      <c r="BF269" s="78"/>
      <c r="BG269" s="78"/>
      <c r="BH269" s="78"/>
      <c r="BI269" s="78"/>
      <c r="BJ269" s="78"/>
      <c r="BK269" s="78"/>
      <c r="BL269" s="78"/>
    </row>
    <row r="270" spans="1:64" ht="15">
      <c r="A270"/>
      <c r="B270"/>
      <c r="C270"/>
      <c r="D270"/>
      <c r="E270"/>
      <c r="F270"/>
      <c r="G270"/>
      <c r="H270"/>
      <c r="I270"/>
      <c r="J270"/>
      <c r="K270"/>
      <c r="L270"/>
      <c r="M270" s="97"/>
      <c r="N270" s="96"/>
      <c r="O270" s="174"/>
      <c r="P270" s="97"/>
      <c r="Q270" s="117"/>
      <c r="R270" s="96"/>
      <c r="S270" s="96"/>
      <c r="T270" s="96"/>
      <c r="U270" s="78"/>
      <c r="V270" s="78"/>
      <c r="W270" s="78"/>
      <c r="X270" s="78"/>
      <c r="Y270" s="78"/>
      <c r="Z270" s="78"/>
      <c r="AA270" s="78"/>
      <c r="AB270" s="78"/>
      <c r="AC270" s="78"/>
      <c r="AD270" s="78"/>
      <c r="AE270" s="78"/>
      <c r="AF270" s="78"/>
      <c r="AG270" s="78"/>
      <c r="AH270" s="78"/>
      <c r="AI270" s="78"/>
      <c r="AJ270" s="78"/>
      <c r="AK270" s="78"/>
      <c r="AL270" s="78"/>
      <c r="AM270" s="78"/>
      <c r="AN270" s="78"/>
      <c r="AO270" s="78"/>
      <c r="AP270" s="78"/>
      <c r="AQ270" s="78"/>
      <c r="AR270" s="78"/>
      <c r="AS270" s="78"/>
      <c r="AT270" s="78"/>
      <c r="AU270" s="78"/>
      <c r="AV270" s="78"/>
      <c r="AW270" s="78"/>
      <c r="AX270" s="78"/>
      <c r="AY270" s="78"/>
      <c r="AZ270" s="78"/>
      <c r="BA270" s="78"/>
      <c r="BB270" s="78"/>
      <c r="BC270" s="78"/>
      <c r="BD270" s="78"/>
      <c r="BE270" s="78"/>
      <c r="BF270" s="78"/>
      <c r="BG270" s="78"/>
      <c r="BH270" s="78"/>
      <c r="BI270" s="78"/>
      <c r="BJ270" s="78"/>
      <c r="BK270" s="78"/>
      <c r="BL270" s="78"/>
    </row>
    <row r="271" spans="1:64" s="433" customFormat="1" ht="15">
      <c r="A271" s="430"/>
      <c r="B271" s="430"/>
      <c r="C271" s="430"/>
      <c r="D271" s="430"/>
      <c r="E271" s="430"/>
      <c r="F271" s="430"/>
      <c r="G271" s="430"/>
      <c r="H271" s="430"/>
      <c r="I271" s="430"/>
      <c r="J271" s="430"/>
      <c r="K271" s="430"/>
      <c r="L271" s="430"/>
      <c r="M271" s="444"/>
      <c r="N271" s="443"/>
      <c r="O271" s="452"/>
      <c r="P271" s="444"/>
      <c r="Q271" s="447"/>
      <c r="R271" s="443"/>
      <c r="S271" s="443"/>
      <c r="T271" s="443"/>
      <c r="U271" s="435"/>
      <c r="V271" s="435"/>
      <c r="W271" s="435"/>
      <c r="X271" s="435"/>
      <c r="Y271" s="435"/>
      <c r="Z271" s="435"/>
      <c r="AA271" s="435"/>
      <c r="AB271" s="435"/>
      <c r="AC271" s="435"/>
      <c r="AD271" s="435"/>
      <c r="AE271" s="435"/>
      <c r="AF271" s="435"/>
      <c r="AG271" s="435"/>
      <c r="AH271" s="435"/>
      <c r="AI271" s="435"/>
      <c r="AJ271" s="435"/>
      <c r="AK271" s="435"/>
      <c r="AL271" s="435"/>
      <c r="AM271" s="435"/>
      <c r="AN271" s="435"/>
      <c r="AO271" s="435"/>
      <c r="AP271" s="435"/>
      <c r="AQ271" s="435"/>
      <c r="AR271" s="435"/>
      <c r="AS271" s="435"/>
      <c r="AT271" s="435"/>
      <c r="AU271" s="435"/>
      <c r="AV271" s="435"/>
      <c r="AW271" s="435"/>
      <c r="AX271" s="435"/>
      <c r="AY271" s="435"/>
      <c r="AZ271" s="435"/>
      <c r="BA271" s="435"/>
      <c r="BB271" s="435"/>
      <c r="BC271" s="435"/>
      <c r="BD271" s="435"/>
      <c r="BE271" s="435"/>
      <c r="BF271" s="435"/>
      <c r="BG271" s="435"/>
      <c r="BH271" s="435"/>
      <c r="BI271" s="435"/>
      <c r="BJ271" s="435"/>
      <c r="BK271" s="435"/>
      <c r="BL271" s="435"/>
    </row>
    <row r="272" spans="1:64" s="433" customFormat="1" ht="15.75">
      <c r="A272" s="506"/>
      <c r="B272" s="528"/>
      <c r="C272" s="506"/>
      <c r="D272" s="457"/>
      <c r="E272" s="457"/>
      <c r="F272" s="457"/>
      <c r="G272" s="457"/>
      <c r="H272" s="529"/>
      <c r="I272" s="530"/>
      <c r="J272" s="367"/>
      <c r="K272" s="531" t="s">
        <v>708</v>
      </c>
      <c r="L272" s="500"/>
      <c r="M272" s="444"/>
      <c r="N272" s="443"/>
      <c r="O272" s="444"/>
      <c r="P272" s="444"/>
      <c r="Q272" s="444"/>
      <c r="R272" s="443"/>
      <c r="S272" s="443"/>
      <c r="T272" s="443"/>
      <c r="U272" s="435"/>
      <c r="V272" s="435"/>
      <c r="W272" s="435"/>
      <c r="X272" s="435"/>
      <c r="Y272" s="435"/>
      <c r="Z272" s="435"/>
      <c r="AA272" s="435"/>
      <c r="AB272" s="435"/>
      <c r="AC272" s="435"/>
      <c r="AD272" s="435"/>
      <c r="AE272" s="435"/>
      <c r="AF272" s="435"/>
      <c r="AG272" s="435"/>
      <c r="AH272" s="435"/>
      <c r="AI272" s="435"/>
      <c r="AJ272" s="435"/>
      <c r="AK272" s="435"/>
      <c r="AL272" s="435"/>
      <c r="AM272" s="435"/>
      <c r="AN272" s="435"/>
      <c r="AO272" s="435"/>
      <c r="AP272" s="435"/>
      <c r="AQ272" s="435"/>
      <c r="AR272" s="435"/>
      <c r="AS272" s="435"/>
      <c r="AT272" s="435"/>
      <c r="AU272" s="435"/>
      <c r="AV272" s="435"/>
      <c r="AW272" s="435"/>
      <c r="AX272" s="435"/>
      <c r="AY272" s="435"/>
      <c r="AZ272" s="435"/>
      <c r="BA272" s="435"/>
      <c r="BB272" s="435"/>
      <c r="BC272" s="435"/>
      <c r="BD272" s="435"/>
      <c r="BE272" s="435"/>
      <c r="BF272" s="435"/>
      <c r="BG272" s="435"/>
      <c r="BH272" s="435"/>
      <c r="BI272" s="435"/>
      <c r="BJ272" s="435"/>
      <c r="BK272" s="435"/>
      <c r="BL272" s="435"/>
    </row>
    <row r="273" spans="1:64" s="433" customFormat="1" ht="15.75">
      <c r="A273" s="456"/>
      <c r="B273" s="367"/>
      <c r="C273" s="367"/>
      <c r="D273" s="456"/>
      <c r="E273" s="367"/>
      <c r="F273" s="367"/>
      <c r="G273" s="367"/>
      <c r="H273" s="529"/>
      <c r="I273" s="529"/>
      <c r="J273" s="456"/>
      <c r="K273" s="532" t="s">
        <v>246</v>
      </c>
      <c r="L273" s="502"/>
      <c r="M273" s="444"/>
      <c r="N273" s="443"/>
      <c r="O273" s="444"/>
      <c r="P273" s="444"/>
      <c r="Q273" s="444"/>
      <c r="R273" s="443"/>
      <c r="S273" s="443"/>
      <c r="T273" s="443"/>
      <c r="U273" s="435"/>
      <c r="V273" s="435"/>
      <c r="W273" s="435"/>
      <c r="X273" s="435"/>
      <c r="Y273" s="435"/>
      <c r="Z273" s="435"/>
      <c r="AA273" s="435"/>
      <c r="AB273" s="435"/>
      <c r="AC273" s="435"/>
      <c r="AD273" s="435"/>
      <c r="AE273" s="435"/>
      <c r="AF273" s="435"/>
      <c r="AG273" s="435"/>
      <c r="AH273" s="435"/>
      <c r="AI273" s="435"/>
      <c r="AJ273" s="435"/>
      <c r="AK273" s="435"/>
      <c r="AL273" s="435"/>
      <c r="AM273" s="435"/>
      <c r="AN273" s="435"/>
      <c r="AO273" s="435"/>
      <c r="AP273" s="435"/>
      <c r="AQ273" s="435"/>
      <c r="AR273" s="435"/>
      <c r="AS273" s="435"/>
      <c r="AT273" s="435"/>
      <c r="AU273" s="435"/>
      <c r="AV273" s="435"/>
      <c r="AW273" s="435"/>
      <c r="AX273" s="435"/>
      <c r="AY273" s="435"/>
      <c r="AZ273" s="435"/>
      <c r="BA273" s="435"/>
      <c r="BB273" s="435"/>
      <c r="BC273" s="435"/>
      <c r="BD273" s="435"/>
      <c r="BE273" s="435"/>
      <c r="BF273" s="435"/>
      <c r="BG273" s="435"/>
      <c r="BH273" s="435"/>
      <c r="BI273" s="435"/>
      <c r="BJ273" s="435"/>
      <c r="BK273" s="435"/>
      <c r="BL273" s="435"/>
    </row>
    <row r="274" spans="1:64" s="433" customFormat="1" ht="15.75">
      <c r="A274" s="506"/>
      <c r="B274" s="528" t="str">
        <f>B4</f>
        <v xml:space="preserve">Formula Rate - Non-Levelized </v>
      </c>
      <c r="C274" s="590" t="str">
        <f>D4</f>
        <v xml:space="preserve">   Rate Formula Template</v>
      </c>
      <c r="D274" s="590"/>
      <c r="E274" s="533"/>
      <c r="F274" s="533"/>
      <c r="G274" s="533"/>
      <c r="H274" s="534"/>
      <c r="I274" s="591" t="str">
        <f>I4</f>
        <v>For the 12 months ended 12/31/14</v>
      </c>
      <c r="J274" s="591"/>
      <c r="K274" s="591"/>
      <c r="L274" s="431"/>
      <c r="M274" s="444"/>
      <c r="N274" s="443"/>
      <c r="O274" s="535"/>
      <c r="P274" s="444"/>
      <c r="Q274" s="447"/>
      <c r="R274" s="443"/>
      <c r="S274" s="443"/>
      <c r="T274" s="443"/>
      <c r="U274" s="435"/>
      <c r="V274" s="435"/>
      <c r="W274" s="435"/>
      <c r="X274" s="435"/>
      <c r="Y274" s="435"/>
      <c r="Z274" s="435"/>
      <c r="AA274" s="435"/>
      <c r="AB274" s="435"/>
      <c r="AC274" s="435"/>
      <c r="AD274" s="435"/>
      <c r="AE274" s="435"/>
      <c r="AF274" s="435"/>
      <c r="AG274" s="435"/>
      <c r="AH274" s="435"/>
      <c r="AI274" s="435"/>
      <c r="AJ274" s="435"/>
      <c r="AK274" s="435"/>
      <c r="AL274" s="435"/>
      <c r="AM274" s="435"/>
      <c r="AN274" s="435"/>
      <c r="AO274" s="435"/>
      <c r="AP274" s="435"/>
      <c r="AQ274" s="435"/>
      <c r="AR274" s="435"/>
      <c r="AS274" s="435"/>
      <c r="AT274" s="435"/>
      <c r="AU274" s="435"/>
      <c r="AV274" s="435"/>
      <c r="AW274" s="435"/>
      <c r="AX274" s="435"/>
      <c r="AY274" s="435"/>
      <c r="AZ274" s="435"/>
      <c r="BA274" s="435"/>
      <c r="BB274" s="435"/>
      <c r="BC274" s="435"/>
      <c r="BD274" s="435"/>
      <c r="BE274" s="435"/>
      <c r="BF274" s="435"/>
      <c r="BG274" s="435"/>
      <c r="BH274" s="435"/>
      <c r="BI274" s="435"/>
      <c r="BJ274" s="435"/>
      <c r="BK274" s="435"/>
      <c r="BL274" s="435"/>
    </row>
    <row r="275" spans="1:64" s="433" customFormat="1" ht="15.75">
      <c r="A275" s="506"/>
      <c r="B275" s="528"/>
      <c r="C275" s="506"/>
      <c r="D275" s="533" t="str">
        <f>D5</f>
        <v>Utilizing EIA Form 412 Data</v>
      </c>
      <c r="E275" s="533"/>
      <c r="F275" s="533"/>
      <c r="G275" s="533"/>
      <c r="H275" s="529"/>
      <c r="I275" s="536"/>
      <c r="J275" s="537"/>
      <c r="K275" s="538"/>
      <c r="L275" s="431"/>
      <c r="M275" s="444"/>
      <c r="N275" s="443"/>
      <c r="O275" s="535"/>
      <c r="P275" s="444"/>
      <c r="Q275" s="447"/>
      <c r="R275" s="443"/>
      <c r="S275" s="443"/>
      <c r="T275" s="443"/>
      <c r="U275" s="435"/>
      <c r="V275" s="435"/>
      <c r="W275" s="435"/>
      <c r="X275" s="435"/>
      <c r="Y275" s="435"/>
      <c r="Z275" s="435"/>
      <c r="AA275" s="435"/>
      <c r="AB275" s="435"/>
      <c r="AC275" s="435"/>
      <c r="AD275" s="435"/>
      <c r="AE275" s="435"/>
      <c r="AF275" s="435"/>
      <c r="AG275" s="435"/>
      <c r="AH275" s="435"/>
      <c r="AI275" s="435"/>
      <c r="AJ275" s="435"/>
      <c r="AK275" s="435"/>
      <c r="AL275" s="435"/>
      <c r="AM275" s="435"/>
      <c r="AN275" s="435"/>
      <c r="AO275" s="435"/>
      <c r="AP275" s="435"/>
      <c r="AQ275" s="435"/>
      <c r="AR275" s="435"/>
      <c r="AS275" s="435"/>
      <c r="AT275" s="435"/>
      <c r="AU275" s="435"/>
      <c r="AV275" s="435"/>
      <c r="AW275" s="435"/>
      <c r="AX275" s="435"/>
      <c r="AY275" s="435"/>
      <c r="AZ275" s="435"/>
      <c r="BA275" s="435"/>
      <c r="BB275" s="435"/>
      <c r="BC275" s="435"/>
      <c r="BD275" s="435"/>
      <c r="BE275" s="435"/>
      <c r="BF275" s="435"/>
      <c r="BG275" s="435"/>
      <c r="BH275" s="435"/>
      <c r="BI275" s="435"/>
      <c r="BJ275" s="435"/>
      <c r="BK275" s="435"/>
      <c r="BL275" s="435"/>
    </row>
    <row r="276" spans="1:64" s="433" customFormat="1" ht="15.75">
      <c r="A276" s="506"/>
      <c r="B276" s="528"/>
      <c r="C276" s="506"/>
      <c r="D276" s="533" t="str">
        <f>D7</f>
        <v>Blue Earth</v>
      </c>
      <c r="E276" s="533"/>
      <c r="F276" s="533"/>
      <c r="G276" s="533"/>
      <c r="H276" s="529"/>
      <c r="I276" s="536"/>
      <c r="J276" s="537"/>
      <c r="K276" s="538"/>
      <c r="L276" s="431"/>
      <c r="M276" s="444"/>
      <c r="N276" s="443"/>
      <c r="O276" s="535"/>
      <c r="P276" s="444"/>
      <c r="Q276" s="444"/>
      <c r="R276" s="443"/>
      <c r="S276" s="443"/>
      <c r="T276" s="443"/>
      <c r="U276" s="435"/>
      <c r="V276" s="435"/>
      <c r="W276" s="435"/>
      <c r="X276" s="435"/>
      <c r="Y276" s="435"/>
      <c r="Z276" s="435"/>
      <c r="AA276" s="435"/>
      <c r="AB276" s="435"/>
      <c r="AC276" s="435"/>
      <c r="AD276" s="435"/>
      <c r="AE276" s="435"/>
      <c r="AF276" s="435"/>
      <c r="AG276" s="435"/>
      <c r="AH276" s="435"/>
      <c r="AI276" s="435"/>
      <c r="AJ276" s="435"/>
      <c r="AK276" s="435"/>
      <c r="AL276" s="435"/>
      <c r="AM276" s="435"/>
      <c r="AN276" s="435"/>
      <c r="AO276" s="435"/>
      <c r="AP276" s="435"/>
      <c r="AQ276" s="435"/>
      <c r="AR276" s="435"/>
      <c r="AS276" s="435"/>
      <c r="AT276" s="435"/>
      <c r="AU276" s="435"/>
      <c r="AV276" s="435"/>
      <c r="AW276" s="435"/>
      <c r="AX276" s="435"/>
      <c r="AY276" s="435"/>
      <c r="AZ276" s="435"/>
      <c r="BA276" s="435"/>
      <c r="BB276" s="435"/>
      <c r="BC276" s="435"/>
      <c r="BD276" s="435"/>
      <c r="BE276" s="435"/>
      <c r="BF276" s="435"/>
      <c r="BG276" s="435"/>
      <c r="BH276" s="435"/>
      <c r="BI276" s="435"/>
      <c r="BJ276" s="435"/>
      <c r="BK276" s="435"/>
      <c r="BL276" s="435"/>
    </row>
    <row r="277" spans="1:64" s="433" customFormat="1" ht="20.25">
      <c r="A277" s="506"/>
      <c r="B277" s="367" t="s">
        <v>247</v>
      </c>
      <c r="C277" s="506"/>
      <c r="D277" s="533"/>
      <c r="E277" s="533"/>
      <c r="F277" s="533"/>
      <c r="G277" s="533"/>
      <c r="H277" s="529"/>
      <c r="I277" s="533"/>
      <c r="J277" s="537"/>
      <c r="K277" s="538"/>
      <c r="L277" s="539"/>
      <c r="M277" s="444"/>
      <c r="N277" s="443"/>
      <c r="O277" s="540"/>
      <c r="P277" s="444"/>
      <c r="Q277" s="444"/>
      <c r="R277" s="443"/>
      <c r="S277" s="443"/>
      <c r="T277" s="443"/>
      <c r="U277" s="435"/>
      <c r="V277" s="435"/>
      <c r="W277" s="435"/>
      <c r="X277" s="435"/>
      <c r="Y277" s="435"/>
      <c r="Z277" s="435"/>
      <c r="AA277" s="435"/>
      <c r="AB277" s="435"/>
      <c r="AC277" s="435"/>
      <c r="AD277" s="435"/>
      <c r="AE277" s="435"/>
      <c r="AF277" s="435"/>
      <c r="AG277" s="435"/>
      <c r="AH277" s="435"/>
      <c r="AI277" s="435"/>
      <c r="AJ277" s="435"/>
      <c r="AK277" s="435"/>
      <c r="AL277" s="435"/>
      <c r="AM277" s="435"/>
      <c r="AN277" s="435"/>
      <c r="AO277" s="435"/>
      <c r="AP277" s="435"/>
      <c r="AQ277" s="435"/>
      <c r="AR277" s="435"/>
      <c r="AS277" s="435"/>
      <c r="AT277" s="435"/>
      <c r="AU277" s="435"/>
      <c r="AV277" s="435"/>
      <c r="AW277" s="435"/>
      <c r="AX277" s="435"/>
      <c r="AY277" s="435"/>
      <c r="AZ277" s="435"/>
      <c r="BA277" s="435"/>
      <c r="BB277" s="435"/>
      <c r="BC277" s="435"/>
      <c r="BD277" s="435"/>
      <c r="BE277" s="435"/>
      <c r="BF277" s="435"/>
      <c r="BG277" s="435"/>
      <c r="BH277" s="435"/>
      <c r="BI277" s="435"/>
      <c r="BJ277" s="435"/>
      <c r="BK277" s="435"/>
      <c r="BL277" s="435"/>
    </row>
    <row r="278" spans="1:64" s="433" customFormat="1" ht="20.25">
      <c r="A278" s="506"/>
      <c r="B278" s="541" t="s">
        <v>663</v>
      </c>
      <c r="C278" s="506"/>
      <c r="D278" s="533"/>
      <c r="E278" s="533"/>
      <c r="F278" s="533"/>
      <c r="G278" s="533"/>
      <c r="H278" s="529"/>
      <c r="I278" s="533"/>
      <c r="J278" s="529"/>
      <c r="K278" s="533"/>
      <c r="L278" s="539"/>
      <c r="M278" s="444"/>
      <c r="N278" s="443"/>
      <c r="O278" s="540"/>
      <c r="P278" s="444"/>
      <c r="Q278" s="444"/>
      <c r="R278" s="443"/>
      <c r="S278" s="443"/>
      <c r="T278" s="443"/>
      <c r="U278" s="435"/>
      <c r="V278" s="435"/>
      <c r="W278" s="435"/>
      <c r="X278" s="435"/>
      <c r="Y278" s="435"/>
      <c r="Z278" s="435"/>
      <c r="AA278" s="435"/>
      <c r="AB278" s="435"/>
      <c r="AC278" s="435"/>
      <c r="AD278" s="435"/>
      <c r="AE278" s="435"/>
      <c r="AF278" s="435"/>
      <c r="AG278" s="435"/>
      <c r="AH278" s="435"/>
      <c r="AI278" s="435"/>
      <c r="AJ278" s="435"/>
      <c r="AK278" s="435"/>
      <c r="AL278" s="435"/>
      <c r="AM278" s="435"/>
      <c r="AN278" s="435"/>
      <c r="AO278" s="435"/>
      <c r="AP278" s="435"/>
      <c r="AQ278" s="435"/>
      <c r="AR278" s="435"/>
      <c r="AS278" s="435"/>
      <c r="AT278" s="435"/>
      <c r="AU278" s="435"/>
      <c r="AV278" s="435"/>
      <c r="AW278" s="435"/>
      <c r="AX278" s="435"/>
      <c r="AY278" s="435"/>
      <c r="AZ278" s="435"/>
      <c r="BA278" s="435"/>
      <c r="BB278" s="435"/>
      <c r="BC278" s="435"/>
      <c r="BD278" s="435"/>
      <c r="BE278" s="435"/>
      <c r="BF278" s="435"/>
      <c r="BG278" s="435"/>
      <c r="BH278" s="435"/>
      <c r="BI278" s="435"/>
      <c r="BJ278" s="435"/>
      <c r="BK278" s="435"/>
      <c r="BL278" s="435"/>
    </row>
    <row r="279" spans="1:64" s="433" customFormat="1" ht="20.25">
      <c r="A279" s="456"/>
      <c r="B279" s="541" t="s">
        <v>664</v>
      </c>
      <c r="C279" s="506"/>
      <c r="D279" s="533"/>
      <c r="E279" s="533"/>
      <c r="F279" s="533"/>
      <c r="G279" s="533"/>
      <c r="H279" s="529"/>
      <c r="I279" s="533"/>
      <c r="J279" s="529"/>
      <c r="K279" s="533"/>
      <c r="L279" s="539"/>
      <c r="M279" s="444"/>
      <c r="N279" s="443"/>
      <c r="O279" s="540"/>
      <c r="P279" s="444"/>
      <c r="Q279" s="444"/>
      <c r="R279" s="443"/>
      <c r="S279" s="443"/>
      <c r="T279" s="443"/>
      <c r="U279" s="435"/>
      <c r="V279" s="435"/>
      <c r="W279" s="435"/>
      <c r="X279" s="435"/>
      <c r="Y279" s="435"/>
      <c r="Z279" s="435"/>
      <c r="AA279" s="435"/>
      <c r="AB279" s="435"/>
      <c r="AC279" s="435"/>
      <c r="AD279" s="435"/>
      <c r="AE279" s="435"/>
      <c r="AF279" s="435"/>
      <c r="AG279" s="435"/>
      <c r="AH279" s="435"/>
      <c r="AI279" s="435"/>
      <c r="AJ279" s="435"/>
      <c r="AK279" s="435"/>
      <c r="AL279" s="435"/>
      <c r="AM279" s="435"/>
      <c r="AN279" s="435"/>
      <c r="AO279" s="435"/>
      <c r="AP279" s="435"/>
      <c r="AQ279" s="435"/>
      <c r="AR279" s="435"/>
      <c r="AS279" s="435"/>
      <c r="AT279" s="435"/>
      <c r="AU279" s="435"/>
      <c r="AV279" s="435"/>
      <c r="AW279" s="435"/>
      <c r="AX279" s="435"/>
      <c r="AY279" s="435"/>
      <c r="AZ279" s="435"/>
      <c r="BA279" s="435"/>
      <c r="BB279" s="435"/>
      <c r="BC279" s="435"/>
      <c r="BD279" s="435"/>
      <c r="BE279" s="435"/>
      <c r="BF279" s="435"/>
      <c r="BG279" s="435"/>
      <c r="BH279" s="435"/>
      <c r="BI279" s="435"/>
      <c r="BJ279" s="435"/>
      <c r="BK279" s="435"/>
      <c r="BL279" s="435"/>
    </row>
    <row r="280" spans="1:64" s="433" customFormat="1" ht="20.25">
      <c r="A280" s="506" t="s">
        <v>248</v>
      </c>
      <c r="B280" s="367" t="s">
        <v>665</v>
      </c>
      <c r="C280" s="529"/>
      <c r="D280" s="533"/>
      <c r="E280" s="533"/>
      <c r="F280" s="533"/>
      <c r="G280" s="542"/>
      <c r="H280" s="529"/>
      <c r="I280" s="533"/>
      <c r="J280" s="529"/>
      <c r="K280" s="533"/>
      <c r="L280" s="539"/>
      <c r="M280" s="444"/>
      <c r="N280" s="443"/>
      <c r="O280" s="540"/>
      <c r="P280" s="444"/>
      <c r="Q280" s="444"/>
      <c r="R280" s="443"/>
      <c r="S280" s="443"/>
      <c r="T280" s="443"/>
      <c r="U280" s="435"/>
      <c r="V280" s="435"/>
      <c r="W280" s="435"/>
      <c r="X280" s="435"/>
      <c r="Y280" s="435"/>
      <c r="Z280" s="435"/>
      <c r="AA280" s="435"/>
      <c r="AB280" s="435"/>
      <c r="AC280" s="435"/>
      <c r="AD280" s="435"/>
      <c r="AE280" s="435"/>
      <c r="AF280" s="435"/>
      <c r="AG280" s="435"/>
      <c r="AH280" s="435"/>
      <c r="AI280" s="435"/>
      <c r="AJ280" s="435"/>
      <c r="AK280" s="435"/>
      <c r="AL280" s="435"/>
      <c r="AM280" s="435"/>
      <c r="AN280" s="435"/>
      <c r="AO280" s="435"/>
      <c r="AP280" s="435"/>
      <c r="AQ280" s="435"/>
      <c r="AR280" s="435"/>
      <c r="AS280" s="435"/>
      <c r="AT280" s="435"/>
      <c r="AU280" s="435"/>
      <c r="AV280" s="435"/>
      <c r="AW280" s="435"/>
      <c r="AX280" s="435"/>
      <c r="AY280" s="435"/>
      <c r="AZ280" s="435"/>
      <c r="BA280" s="435"/>
      <c r="BB280" s="435"/>
      <c r="BC280" s="435"/>
      <c r="BD280" s="435"/>
      <c r="BE280" s="435"/>
      <c r="BF280" s="435"/>
      <c r="BG280" s="435"/>
      <c r="BH280" s="435"/>
      <c r="BI280" s="435"/>
      <c r="BJ280" s="435"/>
      <c r="BK280" s="435"/>
      <c r="BL280" s="435"/>
    </row>
    <row r="281" spans="1:64" s="433" customFormat="1" ht="21" thickBot="1">
      <c r="A281" s="543" t="s">
        <v>249</v>
      </c>
      <c r="B281" s="456"/>
      <c r="C281" s="529"/>
      <c r="D281" s="533"/>
      <c r="E281" s="533"/>
      <c r="F281" s="533"/>
      <c r="G281" s="533"/>
      <c r="H281" s="529"/>
      <c r="I281" s="533"/>
      <c r="J281" s="529"/>
      <c r="K281" s="533"/>
      <c r="L281" s="539"/>
      <c r="M281" s="444"/>
      <c r="N281" s="443"/>
      <c r="O281" s="540"/>
      <c r="P281" s="444"/>
      <c r="Q281" s="444"/>
      <c r="R281" s="443"/>
      <c r="S281" s="443"/>
      <c r="T281" s="443"/>
      <c r="U281" s="435"/>
      <c r="V281" s="435"/>
      <c r="W281" s="435"/>
      <c r="X281" s="435"/>
      <c r="Y281" s="435"/>
      <c r="Z281" s="435"/>
      <c r="AA281" s="435"/>
      <c r="AB281" s="435"/>
      <c r="AC281" s="435"/>
      <c r="AD281" s="435"/>
      <c r="AE281" s="435"/>
      <c r="AF281" s="435"/>
      <c r="AG281" s="435"/>
      <c r="AH281" s="435"/>
      <c r="AI281" s="435"/>
      <c r="AJ281" s="435"/>
      <c r="AK281" s="435"/>
      <c r="AL281" s="435"/>
      <c r="AM281" s="435"/>
      <c r="AN281" s="435"/>
      <c r="AO281" s="435"/>
      <c r="AP281" s="435"/>
      <c r="AQ281" s="435"/>
      <c r="AR281" s="435"/>
      <c r="AS281" s="435"/>
      <c r="AT281" s="435"/>
      <c r="AU281" s="435"/>
      <c r="AV281" s="435"/>
      <c r="AW281" s="435"/>
      <c r="AX281" s="435"/>
      <c r="AY281" s="435"/>
      <c r="AZ281" s="435"/>
      <c r="BA281" s="435"/>
      <c r="BB281" s="435"/>
      <c r="BC281" s="435"/>
      <c r="BD281" s="435"/>
      <c r="BE281" s="435"/>
      <c r="BF281" s="435"/>
      <c r="BG281" s="435"/>
      <c r="BH281" s="435"/>
      <c r="BI281" s="435"/>
      <c r="BJ281" s="435"/>
      <c r="BK281" s="435"/>
      <c r="BL281" s="435"/>
    </row>
    <row r="282" spans="1:64" s="433" customFormat="1" ht="42" customHeight="1">
      <c r="A282" s="544" t="s">
        <v>250</v>
      </c>
      <c r="B282" s="586" t="s">
        <v>666</v>
      </c>
      <c r="C282" s="586"/>
      <c r="D282" s="586"/>
      <c r="E282" s="586"/>
      <c r="F282" s="586"/>
      <c r="G282" s="586"/>
      <c r="H282" s="586"/>
      <c r="I282" s="586"/>
      <c r="J282" s="586"/>
      <c r="K282" s="586"/>
      <c r="L282" s="539"/>
      <c r="M282" s="444"/>
      <c r="N282" s="443"/>
      <c r="O282" s="540"/>
      <c r="P282" s="444"/>
      <c r="Q282" s="444"/>
      <c r="R282" s="443"/>
      <c r="S282" s="443"/>
      <c r="T282" s="443"/>
      <c r="U282" s="435"/>
      <c r="V282" s="435"/>
      <c r="W282" s="435"/>
      <c r="X282" s="435"/>
      <c r="Y282" s="435"/>
      <c r="Z282" s="435"/>
      <c r="AA282" s="435"/>
      <c r="AB282" s="435"/>
      <c r="AC282" s="435"/>
      <c r="AD282" s="435"/>
      <c r="AE282" s="435"/>
      <c r="AF282" s="435"/>
      <c r="AG282" s="435"/>
      <c r="AH282" s="435"/>
      <c r="AI282" s="435"/>
      <c r="AJ282" s="435"/>
      <c r="AK282" s="435"/>
      <c r="AL282" s="435"/>
      <c r="AM282" s="435"/>
      <c r="AN282" s="435"/>
      <c r="AO282" s="435"/>
      <c r="AP282" s="435"/>
      <c r="AQ282" s="435"/>
      <c r="AR282" s="435"/>
      <c r="AS282" s="435"/>
      <c r="AT282" s="435"/>
      <c r="AU282" s="435"/>
      <c r="AV282" s="435"/>
      <c r="AW282" s="435"/>
      <c r="AX282" s="435"/>
      <c r="AY282" s="435"/>
      <c r="AZ282" s="435"/>
      <c r="BA282" s="435"/>
      <c r="BB282" s="435"/>
      <c r="BC282" s="435"/>
      <c r="BD282" s="435"/>
      <c r="BE282" s="435"/>
      <c r="BF282" s="435"/>
      <c r="BG282" s="435"/>
      <c r="BH282" s="435"/>
      <c r="BI282" s="435"/>
      <c r="BJ282" s="435"/>
      <c r="BK282" s="435"/>
      <c r="BL282" s="435"/>
    </row>
    <row r="283" spans="1:64" s="433" customFormat="1" ht="60.75" customHeight="1">
      <c r="A283" s="544" t="s">
        <v>251</v>
      </c>
      <c r="B283" s="586" t="s">
        <v>667</v>
      </c>
      <c r="C283" s="586"/>
      <c r="D283" s="586"/>
      <c r="E283" s="586"/>
      <c r="F283" s="586"/>
      <c r="G283" s="586"/>
      <c r="H283" s="586"/>
      <c r="I283" s="586"/>
      <c r="J283" s="586"/>
      <c r="K283" s="586"/>
      <c r="L283" s="539"/>
      <c r="M283" s="444"/>
      <c r="N283" s="443"/>
      <c r="O283" s="540"/>
      <c r="P283" s="545"/>
      <c r="Q283" s="444"/>
      <c r="R283" s="443"/>
      <c r="S283" s="443"/>
      <c r="T283" s="443"/>
      <c r="U283" s="435"/>
      <c r="V283" s="435"/>
      <c r="W283" s="435"/>
      <c r="X283" s="435"/>
      <c r="Y283" s="435"/>
      <c r="Z283" s="435"/>
      <c r="AA283" s="435"/>
      <c r="AB283" s="435"/>
      <c r="AC283" s="435"/>
      <c r="AD283" s="435"/>
      <c r="AE283" s="435"/>
      <c r="AF283" s="435"/>
      <c r="AG283" s="435"/>
      <c r="AH283" s="435"/>
      <c r="AI283" s="435"/>
      <c r="AJ283" s="435"/>
      <c r="AK283" s="435"/>
      <c r="AL283" s="435"/>
      <c r="AM283" s="435"/>
      <c r="AN283" s="435"/>
      <c r="AO283" s="435"/>
      <c r="AP283" s="435"/>
      <c r="AQ283" s="435"/>
      <c r="AR283" s="435"/>
      <c r="AS283" s="435"/>
      <c r="AT283" s="435"/>
      <c r="AU283" s="435"/>
      <c r="AV283" s="435"/>
      <c r="AW283" s="435"/>
      <c r="AX283" s="435"/>
      <c r="AY283" s="435"/>
      <c r="AZ283" s="435"/>
      <c r="BA283" s="435"/>
      <c r="BB283" s="435"/>
      <c r="BC283" s="435"/>
      <c r="BD283" s="435"/>
      <c r="BE283" s="435"/>
      <c r="BF283" s="435"/>
      <c r="BG283" s="435"/>
      <c r="BH283" s="435"/>
      <c r="BI283" s="435"/>
      <c r="BJ283" s="435"/>
      <c r="BK283" s="435"/>
      <c r="BL283" s="435"/>
    </row>
    <row r="284" spans="1:64" s="433" customFormat="1" ht="20.25">
      <c r="A284" s="544" t="s">
        <v>252</v>
      </c>
      <c r="B284" s="586" t="s">
        <v>668</v>
      </c>
      <c r="C284" s="586"/>
      <c r="D284" s="586"/>
      <c r="E284" s="586"/>
      <c r="F284" s="586"/>
      <c r="G284" s="586"/>
      <c r="H284" s="586"/>
      <c r="I284" s="586"/>
      <c r="J284" s="586"/>
      <c r="K284" s="586"/>
      <c r="L284" s="539"/>
      <c r="M284" s="444"/>
      <c r="N284" s="443"/>
      <c r="O284" s="540"/>
      <c r="P284" s="444"/>
      <c r="Q284" s="444"/>
      <c r="R284" s="443"/>
      <c r="S284" s="443"/>
      <c r="T284" s="443"/>
      <c r="U284" s="435"/>
      <c r="V284" s="435"/>
      <c r="W284" s="435"/>
      <c r="X284" s="435"/>
      <c r="Y284" s="435"/>
      <c r="Z284" s="435"/>
      <c r="AA284" s="435"/>
      <c r="AB284" s="435"/>
      <c r="AC284" s="435"/>
      <c r="AD284" s="435"/>
      <c r="AE284" s="435"/>
      <c r="AF284" s="435"/>
      <c r="AG284" s="435"/>
      <c r="AH284" s="435"/>
      <c r="AI284" s="435"/>
      <c r="AJ284" s="435"/>
      <c r="AK284" s="435"/>
      <c r="AL284" s="435"/>
      <c r="AM284" s="435"/>
      <c r="AN284" s="435"/>
      <c r="AO284" s="435"/>
      <c r="AP284" s="435"/>
      <c r="AQ284" s="435"/>
      <c r="AR284" s="435"/>
      <c r="AS284" s="435"/>
      <c r="AT284" s="435"/>
      <c r="AU284" s="435"/>
      <c r="AV284" s="435"/>
      <c r="AW284" s="435"/>
      <c r="AX284" s="435"/>
      <c r="AY284" s="435"/>
      <c r="AZ284" s="435"/>
      <c r="BA284" s="435"/>
      <c r="BB284" s="435"/>
      <c r="BC284" s="435"/>
      <c r="BD284" s="435"/>
      <c r="BE284" s="435"/>
      <c r="BF284" s="435"/>
      <c r="BG284" s="435"/>
      <c r="BH284" s="435"/>
      <c r="BI284" s="435"/>
      <c r="BJ284" s="435"/>
      <c r="BK284" s="435"/>
      <c r="BL284" s="435"/>
    </row>
    <row r="285" spans="1:64" s="433" customFormat="1" ht="20.25">
      <c r="A285" s="544" t="s">
        <v>253</v>
      </c>
      <c r="B285" s="586" t="s">
        <v>668</v>
      </c>
      <c r="C285" s="586"/>
      <c r="D285" s="586"/>
      <c r="E285" s="586"/>
      <c r="F285" s="586"/>
      <c r="G285" s="586"/>
      <c r="H285" s="586"/>
      <c r="I285" s="586"/>
      <c r="J285" s="586"/>
      <c r="K285" s="586"/>
      <c r="L285" s="539"/>
      <c r="M285" s="444"/>
      <c r="N285" s="443"/>
      <c r="O285" s="540"/>
      <c r="P285" s="444"/>
      <c r="Q285" s="444"/>
      <c r="R285" s="443"/>
      <c r="S285" s="443"/>
      <c r="T285" s="443"/>
      <c r="U285" s="435"/>
      <c r="V285" s="435"/>
      <c r="W285" s="435"/>
      <c r="X285" s="435"/>
      <c r="Y285" s="435"/>
      <c r="Z285" s="435"/>
      <c r="AA285" s="435"/>
      <c r="AB285" s="435"/>
      <c r="AC285" s="435"/>
      <c r="AD285" s="435"/>
      <c r="AE285" s="435"/>
      <c r="AF285" s="435"/>
      <c r="AG285" s="435"/>
      <c r="AH285" s="435"/>
      <c r="AI285" s="435"/>
      <c r="AJ285" s="435"/>
      <c r="AK285" s="435"/>
      <c r="AL285" s="435"/>
      <c r="AM285" s="435"/>
      <c r="AN285" s="435"/>
      <c r="AO285" s="435"/>
      <c r="AP285" s="435"/>
      <c r="AQ285" s="435"/>
      <c r="AR285" s="435"/>
      <c r="AS285" s="435"/>
      <c r="AT285" s="435"/>
      <c r="AU285" s="435"/>
      <c r="AV285" s="435"/>
      <c r="AW285" s="435"/>
      <c r="AX285" s="435"/>
      <c r="AY285" s="435"/>
      <c r="AZ285" s="435"/>
      <c r="BA285" s="435"/>
      <c r="BB285" s="435"/>
      <c r="BC285" s="435"/>
      <c r="BD285" s="435"/>
      <c r="BE285" s="435"/>
      <c r="BF285" s="435"/>
      <c r="BG285" s="435"/>
      <c r="BH285" s="435"/>
      <c r="BI285" s="435"/>
      <c r="BJ285" s="435"/>
      <c r="BK285" s="435"/>
      <c r="BL285" s="435"/>
    </row>
    <row r="286" spans="1:64" s="433" customFormat="1" ht="20.25">
      <c r="A286" s="544" t="s">
        <v>254</v>
      </c>
      <c r="B286" s="586" t="s">
        <v>750</v>
      </c>
      <c r="C286" s="586"/>
      <c r="D286" s="586"/>
      <c r="E286" s="586"/>
      <c r="F286" s="586"/>
      <c r="G286" s="586"/>
      <c r="H286" s="586"/>
      <c r="I286" s="586"/>
      <c r="J286" s="586"/>
      <c r="K286" s="586"/>
      <c r="L286" s="539"/>
      <c r="M286" s="444"/>
      <c r="N286" s="443"/>
      <c r="O286" s="540"/>
      <c r="P286" s="444"/>
      <c r="Q286" s="444"/>
      <c r="R286" s="443"/>
      <c r="S286" s="443"/>
      <c r="T286" s="443"/>
      <c r="U286" s="435"/>
      <c r="V286" s="435"/>
      <c r="W286" s="435"/>
      <c r="X286" s="435"/>
      <c r="Y286" s="435"/>
      <c r="Z286" s="435"/>
      <c r="AA286" s="435"/>
      <c r="AB286" s="435"/>
      <c r="AC286" s="435"/>
      <c r="AD286" s="435"/>
      <c r="AE286" s="435"/>
      <c r="AF286" s="435"/>
      <c r="AG286" s="435"/>
      <c r="AH286" s="435"/>
      <c r="AI286" s="435"/>
      <c r="AJ286" s="435"/>
      <c r="AK286" s="435"/>
      <c r="AL286" s="435"/>
      <c r="AM286" s="435"/>
      <c r="AN286" s="435"/>
      <c r="AO286" s="435"/>
      <c r="AP286" s="435"/>
      <c r="AQ286" s="435"/>
      <c r="AR286" s="435"/>
      <c r="AS286" s="435"/>
      <c r="AT286" s="435"/>
      <c r="AU286" s="435"/>
      <c r="AV286" s="435"/>
      <c r="AW286" s="435"/>
      <c r="AX286" s="435"/>
      <c r="AY286" s="435"/>
      <c r="AZ286" s="435"/>
      <c r="BA286" s="435"/>
      <c r="BB286" s="435"/>
      <c r="BC286" s="435"/>
      <c r="BD286" s="435"/>
      <c r="BE286" s="435"/>
      <c r="BF286" s="435"/>
      <c r="BG286" s="435"/>
      <c r="BH286" s="435"/>
      <c r="BI286" s="435"/>
      <c r="BJ286" s="435"/>
      <c r="BK286" s="435"/>
      <c r="BL286" s="435"/>
    </row>
    <row r="287" spans="1:64" s="433" customFormat="1" ht="38.25" customHeight="1">
      <c r="A287" s="544" t="s">
        <v>255</v>
      </c>
      <c r="B287" s="588" t="s">
        <v>669</v>
      </c>
      <c r="C287" s="588"/>
      <c r="D287" s="588"/>
      <c r="E287" s="588"/>
      <c r="F287" s="588"/>
      <c r="G287" s="588"/>
      <c r="H287" s="588"/>
      <c r="I287" s="588"/>
      <c r="J287" s="588"/>
      <c r="K287" s="588"/>
      <c r="L287" s="539"/>
      <c r="M287" s="444"/>
      <c r="N287" s="443"/>
      <c r="O287" s="540"/>
      <c r="P287" s="444"/>
      <c r="Q287" s="444"/>
      <c r="R287" s="443"/>
      <c r="S287" s="443"/>
      <c r="T287" s="443"/>
      <c r="U287" s="435"/>
      <c r="V287" s="435"/>
      <c r="W287" s="435"/>
      <c r="X287" s="435"/>
      <c r="Y287" s="435"/>
      <c r="Z287" s="435"/>
      <c r="AA287" s="435"/>
      <c r="AB287" s="435"/>
      <c r="AC287" s="435"/>
      <c r="AD287" s="435"/>
      <c r="AE287" s="435"/>
      <c r="AF287" s="435"/>
      <c r="AG287" s="435"/>
      <c r="AH287" s="435"/>
      <c r="AI287" s="435"/>
      <c r="AJ287" s="435"/>
      <c r="AK287" s="435"/>
      <c r="AL287" s="435"/>
      <c r="AM287" s="435"/>
      <c r="AN287" s="435"/>
      <c r="AO287" s="435"/>
      <c r="AP287" s="435"/>
      <c r="AQ287" s="435"/>
      <c r="AR287" s="435"/>
      <c r="AS287" s="435"/>
      <c r="AT287" s="435"/>
      <c r="AU287" s="435"/>
      <c r="AV287" s="435"/>
      <c r="AW287" s="435"/>
      <c r="AX287" s="435"/>
      <c r="AY287" s="435"/>
      <c r="AZ287" s="435"/>
      <c r="BA287" s="435"/>
      <c r="BB287" s="435"/>
      <c r="BC287" s="435"/>
      <c r="BD287" s="435"/>
      <c r="BE287" s="435"/>
      <c r="BF287" s="435"/>
      <c r="BG287" s="435"/>
      <c r="BH287" s="435"/>
      <c r="BI287" s="435"/>
      <c r="BJ287" s="435"/>
      <c r="BK287" s="435"/>
      <c r="BL287" s="435"/>
    </row>
    <row r="288" spans="1:64" s="433" customFormat="1" ht="20.25">
      <c r="A288" s="544" t="s">
        <v>256</v>
      </c>
      <c r="B288" s="588" t="s">
        <v>257</v>
      </c>
      <c r="C288" s="588"/>
      <c r="D288" s="588"/>
      <c r="E288" s="588"/>
      <c r="F288" s="588"/>
      <c r="G288" s="588"/>
      <c r="H288" s="588"/>
      <c r="I288" s="588"/>
      <c r="J288" s="588"/>
      <c r="K288" s="588"/>
      <c r="L288" s="539"/>
      <c r="M288" s="444"/>
      <c r="N288" s="443"/>
      <c r="O288" s="540"/>
      <c r="P288" s="444"/>
      <c r="Q288" s="444"/>
      <c r="R288" s="443"/>
      <c r="S288" s="443"/>
      <c r="T288" s="443"/>
      <c r="U288" s="435"/>
      <c r="V288" s="435"/>
      <c r="W288" s="435"/>
      <c r="X288" s="435"/>
      <c r="Y288" s="435"/>
      <c r="Z288" s="435"/>
      <c r="AA288" s="435"/>
      <c r="AB288" s="435"/>
      <c r="AC288" s="435"/>
      <c r="AD288" s="435"/>
      <c r="AE288" s="435"/>
      <c r="AF288" s="435"/>
      <c r="AG288" s="435"/>
      <c r="AH288" s="435"/>
      <c r="AI288" s="435"/>
      <c r="AJ288" s="435"/>
      <c r="AK288" s="435"/>
      <c r="AL288" s="435"/>
      <c r="AM288" s="435"/>
      <c r="AN288" s="435"/>
      <c r="AO288" s="435"/>
      <c r="AP288" s="435"/>
      <c r="AQ288" s="435"/>
      <c r="AR288" s="435"/>
      <c r="AS288" s="435"/>
      <c r="AT288" s="435"/>
      <c r="AU288" s="435"/>
      <c r="AV288" s="435"/>
      <c r="AW288" s="435"/>
      <c r="AX288" s="435"/>
      <c r="AY288" s="435"/>
      <c r="AZ288" s="435"/>
      <c r="BA288" s="435"/>
      <c r="BB288" s="435"/>
      <c r="BC288" s="435"/>
      <c r="BD288" s="435"/>
      <c r="BE288" s="435"/>
      <c r="BF288" s="435"/>
      <c r="BG288" s="435"/>
      <c r="BH288" s="435"/>
      <c r="BI288" s="435"/>
      <c r="BJ288" s="435"/>
      <c r="BK288" s="435"/>
      <c r="BL288" s="435"/>
    </row>
    <row r="289" spans="1:64" s="433" customFormat="1" ht="42" customHeight="1">
      <c r="A289" s="544" t="s">
        <v>258</v>
      </c>
      <c r="B289" s="588" t="s">
        <v>670</v>
      </c>
      <c r="C289" s="588"/>
      <c r="D289" s="588"/>
      <c r="E289" s="588"/>
      <c r="F289" s="588"/>
      <c r="G289" s="588"/>
      <c r="H289" s="588"/>
      <c r="I289" s="588"/>
      <c r="J289" s="588"/>
      <c r="K289" s="588"/>
      <c r="L289" s="539"/>
      <c r="M289" s="444"/>
      <c r="N289" s="443"/>
      <c r="O289" s="540"/>
      <c r="P289" s="444"/>
      <c r="Q289" s="444"/>
      <c r="R289" s="443"/>
      <c r="S289" s="443"/>
      <c r="T289" s="443"/>
      <c r="U289" s="435"/>
      <c r="V289" s="435"/>
      <c r="W289" s="435"/>
      <c r="X289" s="435"/>
      <c r="Y289" s="435"/>
      <c r="Z289" s="435"/>
      <c r="AA289" s="435"/>
      <c r="AB289" s="435"/>
      <c r="AC289" s="435"/>
      <c r="AD289" s="435"/>
      <c r="AE289" s="435"/>
      <c r="AF289" s="435"/>
      <c r="AG289" s="435"/>
      <c r="AH289" s="435"/>
      <c r="AI289" s="435"/>
      <c r="AJ289" s="435"/>
      <c r="AK289" s="435"/>
      <c r="AL289" s="435"/>
      <c r="AM289" s="435"/>
      <c r="AN289" s="435"/>
      <c r="AO289" s="435"/>
      <c r="AP289" s="435"/>
      <c r="AQ289" s="435"/>
      <c r="AR289" s="435"/>
      <c r="AS289" s="435"/>
      <c r="AT289" s="435"/>
      <c r="AU289" s="435"/>
      <c r="AV289" s="435"/>
      <c r="AW289" s="435"/>
      <c r="AX289" s="435"/>
      <c r="AY289" s="435"/>
      <c r="AZ289" s="435"/>
      <c r="BA289" s="435"/>
      <c r="BB289" s="435"/>
      <c r="BC289" s="435"/>
      <c r="BD289" s="435"/>
      <c r="BE289" s="435"/>
      <c r="BF289" s="435"/>
      <c r="BG289" s="435"/>
      <c r="BH289" s="435"/>
      <c r="BI289" s="435"/>
      <c r="BJ289" s="435"/>
      <c r="BK289" s="435"/>
      <c r="BL289" s="435"/>
    </row>
    <row r="290" spans="1:64" s="433" customFormat="1" ht="41.25" customHeight="1">
      <c r="A290" s="544" t="s">
        <v>259</v>
      </c>
      <c r="B290" s="586" t="s">
        <v>671</v>
      </c>
      <c r="C290" s="586"/>
      <c r="D290" s="586"/>
      <c r="E290" s="586"/>
      <c r="F290" s="586"/>
      <c r="G290" s="586"/>
      <c r="H290" s="586"/>
      <c r="I290" s="586"/>
      <c r="J290" s="586"/>
      <c r="K290" s="586"/>
      <c r="L290" s="539"/>
      <c r="M290" s="444"/>
      <c r="N290" s="443"/>
      <c r="O290" s="540"/>
      <c r="P290" s="444"/>
      <c r="Q290" s="444"/>
      <c r="R290" s="443"/>
      <c r="S290" s="443"/>
      <c r="T290" s="443"/>
      <c r="U290" s="435"/>
      <c r="V290" s="435"/>
      <c r="W290" s="435"/>
      <c r="X290" s="435"/>
      <c r="Y290" s="435"/>
      <c r="Z290" s="435"/>
      <c r="AA290" s="435"/>
      <c r="AB290" s="435"/>
      <c r="AC290" s="435"/>
      <c r="AD290" s="435"/>
      <c r="AE290" s="435"/>
      <c r="AF290" s="435"/>
      <c r="AG290" s="435"/>
      <c r="AH290" s="435"/>
      <c r="AI290" s="435"/>
      <c r="AJ290" s="435"/>
      <c r="AK290" s="435"/>
      <c r="AL290" s="435"/>
      <c r="AM290" s="435"/>
      <c r="AN290" s="435"/>
      <c r="AO290" s="435"/>
      <c r="AP290" s="435"/>
      <c r="AQ290" s="435"/>
      <c r="AR290" s="435"/>
      <c r="AS290" s="435"/>
      <c r="AT290" s="435"/>
      <c r="AU290" s="435"/>
      <c r="AV290" s="435"/>
      <c r="AW290" s="435"/>
      <c r="AX290" s="435"/>
      <c r="AY290" s="435"/>
      <c r="AZ290" s="435"/>
      <c r="BA290" s="435"/>
      <c r="BB290" s="435"/>
      <c r="BC290" s="435"/>
      <c r="BD290" s="435"/>
      <c r="BE290" s="435"/>
      <c r="BF290" s="435"/>
      <c r="BG290" s="435"/>
      <c r="BH290" s="435"/>
      <c r="BI290" s="435"/>
      <c r="BJ290" s="435"/>
      <c r="BK290" s="435"/>
      <c r="BL290" s="435"/>
    </row>
    <row r="291" spans="1:64" s="433" customFormat="1" ht="39.75" customHeight="1">
      <c r="A291" s="544" t="s">
        <v>260</v>
      </c>
      <c r="B291" s="588" t="s">
        <v>672</v>
      </c>
      <c r="C291" s="588"/>
      <c r="D291" s="588"/>
      <c r="E291" s="588"/>
      <c r="F291" s="588"/>
      <c r="G291" s="588"/>
      <c r="H291" s="588"/>
      <c r="I291" s="588"/>
      <c r="J291" s="588"/>
      <c r="K291" s="588"/>
      <c r="L291" s="539"/>
      <c r="M291" s="444"/>
      <c r="N291" s="443"/>
      <c r="O291" s="540"/>
      <c r="P291" s="444"/>
      <c r="Q291" s="444"/>
      <c r="R291" s="443"/>
      <c r="S291" s="443"/>
      <c r="T291" s="443"/>
      <c r="U291" s="435"/>
      <c r="V291" s="435"/>
      <c r="W291" s="435"/>
      <c r="X291" s="435"/>
      <c r="Y291" s="435"/>
      <c r="Z291" s="435"/>
      <c r="AA291" s="435"/>
      <c r="AB291" s="435"/>
      <c r="AC291" s="435"/>
      <c r="AD291" s="435"/>
      <c r="AE291" s="435"/>
      <c r="AF291" s="435"/>
      <c r="AG291" s="435"/>
      <c r="AH291" s="435"/>
      <c r="AI291" s="435"/>
      <c r="AJ291" s="435"/>
      <c r="AK291" s="435"/>
      <c r="AL291" s="435"/>
      <c r="AM291" s="435"/>
      <c r="AN291" s="435"/>
      <c r="AO291" s="435"/>
      <c r="AP291" s="435"/>
      <c r="AQ291" s="435"/>
      <c r="AR291" s="435"/>
      <c r="AS291" s="435"/>
      <c r="AT291" s="435"/>
      <c r="AU291" s="435"/>
      <c r="AV291" s="435"/>
      <c r="AW291" s="435"/>
      <c r="AX291" s="435"/>
      <c r="AY291" s="435"/>
      <c r="AZ291" s="435"/>
      <c r="BA291" s="435"/>
      <c r="BB291" s="435"/>
      <c r="BC291" s="435"/>
      <c r="BD291" s="435"/>
      <c r="BE291" s="435"/>
      <c r="BF291" s="435"/>
      <c r="BG291" s="435"/>
      <c r="BH291" s="435"/>
      <c r="BI291" s="435"/>
      <c r="BJ291" s="435"/>
      <c r="BK291" s="435"/>
      <c r="BL291" s="435"/>
    </row>
    <row r="292" spans="1:64" s="433" customFormat="1" ht="67.5" customHeight="1">
      <c r="A292" s="544" t="s">
        <v>261</v>
      </c>
      <c r="B292" s="588" t="s">
        <v>673</v>
      </c>
      <c r="C292" s="588"/>
      <c r="D292" s="588"/>
      <c r="E292" s="588"/>
      <c r="F292" s="588"/>
      <c r="G292" s="588"/>
      <c r="H292" s="588"/>
      <c r="I292" s="588"/>
      <c r="J292" s="588"/>
      <c r="K292" s="588"/>
      <c r="L292" s="539"/>
      <c r="M292" s="444"/>
      <c r="N292" s="443"/>
      <c r="O292" s="540"/>
      <c r="P292" s="444"/>
      <c r="Q292" s="444"/>
      <c r="R292" s="443"/>
      <c r="S292" s="443"/>
      <c r="T292" s="443"/>
      <c r="U292" s="435"/>
      <c r="V292" s="435"/>
      <c r="W292" s="435"/>
      <c r="X292" s="435"/>
      <c r="Y292" s="435"/>
      <c r="Z292" s="435"/>
      <c r="AA292" s="435"/>
      <c r="AB292" s="435"/>
      <c r="AC292" s="435"/>
      <c r="AD292" s="435"/>
      <c r="AE292" s="435"/>
      <c r="AF292" s="435"/>
      <c r="AG292" s="435"/>
      <c r="AH292" s="435"/>
      <c r="AI292" s="435"/>
      <c r="AJ292" s="435"/>
      <c r="AK292" s="435"/>
      <c r="AL292" s="435"/>
      <c r="AM292" s="435"/>
      <c r="AN292" s="435"/>
      <c r="AO292" s="435"/>
      <c r="AP292" s="435"/>
      <c r="AQ292" s="435"/>
      <c r="AR292" s="435"/>
      <c r="AS292" s="435"/>
      <c r="AT292" s="435"/>
      <c r="AU292" s="435"/>
      <c r="AV292" s="435"/>
      <c r="AW292" s="435"/>
      <c r="AX292" s="435"/>
      <c r="AY292" s="435"/>
      <c r="AZ292" s="435"/>
      <c r="BA292" s="435"/>
      <c r="BB292" s="435"/>
      <c r="BC292" s="435"/>
      <c r="BD292" s="435"/>
      <c r="BE292" s="435"/>
      <c r="BF292" s="435"/>
      <c r="BG292" s="435"/>
      <c r="BH292" s="435"/>
      <c r="BI292" s="435"/>
      <c r="BJ292" s="435"/>
      <c r="BK292" s="435"/>
      <c r="BL292" s="435"/>
    </row>
    <row r="293" spans="1:64" s="433" customFormat="1" ht="20.25">
      <c r="A293" s="544" t="s">
        <v>54</v>
      </c>
      <c r="B293" s="546" t="s">
        <v>674</v>
      </c>
      <c r="C293" s="547" t="s">
        <v>262</v>
      </c>
      <c r="D293" s="548">
        <v>0</v>
      </c>
      <c r="E293" s="547"/>
      <c r="F293" s="549"/>
      <c r="G293" s="549"/>
      <c r="H293" s="550"/>
      <c r="I293" s="549"/>
      <c r="J293" s="550"/>
      <c r="K293" s="549"/>
      <c r="L293" s="539"/>
      <c r="M293" s="444"/>
      <c r="N293" s="443"/>
      <c r="O293" s="540"/>
      <c r="P293" s="444"/>
      <c r="Q293" s="444"/>
      <c r="R293" s="443"/>
      <c r="S293" s="443"/>
      <c r="T293" s="443"/>
      <c r="U293" s="435"/>
      <c r="V293" s="435"/>
      <c r="W293" s="435"/>
      <c r="X293" s="435"/>
      <c r="Y293" s="435"/>
      <c r="Z293" s="435"/>
      <c r="AA293" s="435"/>
      <c r="AB293" s="435"/>
      <c r="AC293" s="435"/>
      <c r="AD293" s="435"/>
      <c r="AE293" s="435"/>
      <c r="AF293" s="435"/>
      <c r="AG293" s="435"/>
      <c r="AH293" s="435"/>
      <c r="AI293" s="435"/>
      <c r="AJ293" s="435"/>
      <c r="AK293" s="435"/>
      <c r="AL293" s="435"/>
      <c r="AM293" s="435"/>
      <c r="AN293" s="435"/>
      <c r="AO293" s="435"/>
      <c r="AP293" s="435"/>
      <c r="AQ293" s="435"/>
      <c r="AR293" s="435"/>
      <c r="AS293" s="435"/>
      <c r="AT293" s="435"/>
      <c r="AU293" s="435"/>
      <c r="AV293" s="435"/>
      <c r="AW293" s="435"/>
      <c r="AX293" s="435"/>
      <c r="AY293" s="435"/>
      <c r="AZ293" s="435"/>
      <c r="BA293" s="435"/>
      <c r="BB293" s="435"/>
      <c r="BC293" s="435"/>
      <c r="BD293" s="435"/>
      <c r="BE293" s="435"/>
      <c r="BF293" s="435"/>
      <c r="BG293" s="435"/>
      <c r="BH293" s="435"/>
      <c r="BI293" s="435"/>
      <c r="BJ293" s="435"/>
      <c r="BK293" s="435"/>
      <c r="BL293" s="435"/>
    </row>
    <row r="294" spans="1:64" s="433" customFormat="1" ht="20.25">
      <c r="A294" s="544"/>
      <c r="B294" s="547"/>
      <c r="C294" s="547" t="s">
        <v>263</v>
      </c>
      <c r="D294" s="548">
        <v>0</v>
      </c>
      <c r="E294" s="588" t="s">
        <v>264</v>
      </c>
      <c r="F294" s="588"/>
      <c r="G294" s="588"/>
      <c r="H294" s="588"/>
      <c r="I294" s="588"/>
      <c r="J294" s="588"/>
      <c r="K294" s="588"/>
      <c r="L294" s="539"/>
      <c r="M294" s="444"/>
      <c r="N294" s="443"/>
      <c r="O294" s="540"/>
      <c r="P294" s="444"/>
      <c r="Q294" s="444"/>
      <c r="R294" s="443"/>
      <c r="S294" s="443"/>
      <c r="T294" s="443"/>
      <c r="U294" s="435"/>
      <c r="V294" s="435"/>
      <c r="W294" s="435"/>
      <c r="X294" s="435"/>
      <c r="Y294" s="435"/>
      <c r="Z294" s="435"/>
      <c r="AA294" s="435"/>
      <c r="AB294" s="435"/>
      <c r="AC294" s="435"/>
      <c r="AD294" s="435"/>
      <c r="AE294" s="435"/>
      <c r="AF294" s="435"/>
      <c r="AG294" s="435"/>
      <c r="AH294" s="435"/>
      <c r="AI294" s="435"/>
      <c r="AJ294" s="435"/>
      <c r="AK294" s="435"/>
      <c r="AL294" s="435"/>
      <c r="AM294" s="435"/>
      <c r="AN294" s="435"/>
      <c r="AO294" s="435"/>
      <c r="AP294" s="435"/>
      <c r="AQ294" s="435"/>
      <c r="AR294" s="435"/>
      <c r="AS294" s="435"/>
      <c r="AT294" s="435"/>
      <c r="AU294" s="435"/>
      <c r="AV294" s="435"/>
      <c r="AW294" s="435"/>
      <c r="AX294" s="435"/>
      <c r="AY294" s="435"/>
      <c r="AZ294" s="435"/>
      <c r="BA294" s="435"/>
      <c r="BB294" s="435"/>
      <c r="BC294" s="435"/>
      <c r="BD294" s="435"/>
      <c r="BE294" s="435"/>
      <c r="BF294" s="435"/>
      <c r="BG294" s="435"/>
      <c r="BH294" s="435"/>
      <c r="BI294" s="435"/>
      <c r="BJ294" s="435"/>
      <c r="BK294" s="435"/>
      <c r="BL294" s="435"/>
    </row>
    <row r="295" spans="1:64" s="433" customFormat="1" ht="20.25">
      <c r="A295" s="544"/>
      <c r="B295" s="547"/>
      <c r="C295" s="547" t="s">
        <v>265</v>
      </c>
      <c r="D295" s="548">
        <v>0</v>
      </c>
      <c r="E295" s="588" t="s">
        <v>266</v>
      </c>
      <c r="F295" s="588"/>
      <c r="G295" s="588"/>
      <c r="H295" s="588"/>
      <c r="I295" s="588"/>
      <c r="J295" s="588"/>
      <c r="K295" s="588"/>
      <c r="L295" s="539"/>
      <c r="M295" s="444"/>
      <c r="N295" s="443"/>
      <c r="O295" s="540"/>
      <c r="P295" s="444"/>
      <c r="Q295" s="444"/>
      <c r="R295" s="443"/>
      <c r="S295" s="443"/>
      <c r="T295" s="443"/>
      <c r="U295" s="435"/>
      <c r="V295" s="435"/>
      <c r="W295" s="435"/>
      <c r="X295" s="435"/>
      <c r="Y295" s="435"/>
      <c r="Z295" s="435"/>
      <c r="AA295" s="435"/>
      <c r="AB295" s="435"/>
      <c r="AC295" s="435"/>
      <c r="AD295" s="435"/>
      <c r="AE295" s="435"/>
      <c r="AF295" s="435"/>
      <c r="AG295" s="435"/>
      <c r="AH295" s="435"/>
      <c r="AI295" s="435"/>
      <c r="AJ295" s="435"/>
      <c r="AK295" s="435"/>
      <c r="AL295" s="435"/>
      <c r="AM295" s="435"/>
      <c r="AN295" s="435"/>
      <c r="AO295" s="435"/>
      <c r="AP295" s="435"/>
      <c r="AQ295" s="435"/>
      <c r="AR295" s="435"/>
      <c r="AS295" s="435"/>
      <c r="AT295" s="435"/>
      <c r="AU295" s="435"/>
      <c r="AV295" s="435"/>
      <c r="AW295" s="435"/>
      <c r="AX295" s="435"/>
      <c r="AY295" s="435"/>
      <c r="AZ295" s="435"/>
      <c r="BA295" s="435"/>
      <c r="BB295" s="435"/>
      <c r="BC295" s="435"/>
      <c r="BD295" s="435"/>
      <c r="BE295" s="435"/>
      <c r="BF295" s="435"/>
      <c r="BG295" s="435"/>
      <c r="BH295" s="435"/>
      <c r="BI295" s="435"/>
      <c r="BJ295" s="435"/>
      <c r="BK295" s="435"/>
      <c r="BL295" s="435"/>
    </row>
    <row r="296" spans="1:64" s="433" customFormat="1" ht="20.25">
      <c r="A296" s="544" t="s">
        <v>267</v>
      </c>
      <c r="B296" s="588" t="s">
        <v>6</v>
      </c>
      <c r="C296" s="588"/>
      <c r="D296" s="588"/>
      <c r="E296" s="588"/>
      <c r="F296" s="588"/>
      <c r="G296" s="588"/>
      <c r="H296" s="588"/>
      <c r="I296" s="588"/>
      <c r="J296" s="588"/>
      <c r="K296" s="588"/>
      <c r="L296" s="539"/>
      <c r="M296" s="444"/>
      <c r="N296" s="443"/>
      <c r="O296" s="540"/>
      <c r="P296" s="139"/>
      <c r="Q296" s="444"/>
      <c r="R296" s="443"/>
      <c r="S296" s="443"/>
      <c r="T296" s="443"/>
      <c r="U296" s="435"/>
      <c r="V296" s="435"/>
      <c r="W296" s="435"/>
      <c r="X296" s="435"/>
      <c r="Y296" s="435"/>
      <c r="Z296" s="435"/>
      <c r="AA296" s="435"/>
      <c r="AB296" s="435"/>
      <c r="AC296" s="435"/>
      <c r="AD296" s="435"/>
      <c r="AE296" s="435"/>
      <c r="AF296" s="435"/>
      <c r="AG296" s="435"/>
      <c r="AH296" s="435"/>
      <c r="AI296" s="435"/>
      <c r="AJ296" s="435"/>
      <c r="AK296" s="435"/>
      <c r="AL296" s="435"/>
      <c r="AM296" s="435"/>
      <c r="AN296" s="435"/>
      <c r="AO296" s="435"/>
      <c r="AP296" s="435"/>
      <c r="AQ296" s="435"/>
      <c r="AR296" s="435"/>
      <c r="AS296" s="435"/>
      <c r="AT296" s="435"/>
      <c r="AU296" s="435"/>
      <c r="AV296" s="435"/>
      <c r="AW296" s="435"/>
      <c r="AX296" s="435"/>
      <c r="AY296" s="435"/>
      <c r="AZ296" s="435"/>
      <c r="BA296" s="435"/>
      <c r="BB296" s="435"/>
      <c r="BC296" s="435"/>
      <c r="BD296" s="435"/>
      <c r="BE296" s="435"/>
      <c r="BF296" s="435"/>
      <c r="BG296" s="435"/>
      <c r="BH296" s="435"/>
      <c r="BI296" s="435"/>
      <c r="BJ296" s="435"/>
      <c r="BK296" s="435"/>
      <c r="BL296" s="435"/>
    </row>
    <row r="297" spans="1:64" s="433" customFormat="1" ht="22.5" customHeight="1">
      <c r="A297" s="544" t="s">
        <v>268</v>
      </c>
      <c r="B297" s="588" t="s">
        <v>751</v>
      </c>
      <c r="C297" s="588"/>
      <c r="D297" s="588"/>
      <c r="E297" s="588"/>
      <c r="F297" s="588"/>
      <c r="G297" s="588"/>
      <c r="H297" s="588"/>
      <c r="I297" s="588"/>
      <c r="J297" s="588"/>
      <c r="K297" s="588"/>
      <c r="L297" s="539"/>
      <c r="M297" s="444"/>
      <c r="N297" s="443"/>
      <c r="O297" s="540"/>
      <c r="P297" s="139"/>
      <c r="Q297" s="444"/>
      <c r="R297" s="443"/>
      <c r="S297" s="443"/>
      <c r="T297" s="443"/>
      <c r="U297" s="435"/>
      <c r="V297" s="435"/>
      <c r="W297" s="435"/>
      <c r="X297" s="435"/>
      <c r="Y297" s="435"/>
      <c r="Z297" s="435"/>
      <c r="AA297" s="435"/>
      <c r="AB297" s="435"/>
      <c r="AC297" s="435"/>
      <c r="AD297" s="435"/>
      <c r="AE297" s="435"/>
      <c r="AF297" s="435"/>
      <c r="AG297" s="435"/>
      <c r="AH297" s="435"/>
      <c r="AI297" s="435"/>
      <c r="AJ297" s="435"/>
      <c r="AK297" s="435"/>
      <c r="AL297" s="435"/>
      <c r="AM297" s="435"/>
      <c r="AN297" s="435"/>
      <c r="AO297" s="435"/>
      <c r="AP297" s="435"/>
      <c r="AQ297" s="435"/>
      <c r="AR297" s="435"/>
      <c r="AS297" s="435"/>
      <c r="AT297" s="435"/>
      <c r="AU297" s="435"/>
      <c r="AV297" s="435"/>
      <c r="AW297" s="435"/>
      <c r="AX297" s="435"/>
      <c r="AY297" s="435"/>
      <c r="AZ297" s="435"/>
      <c r="BA297" s="435"/>
      <c r="BB297" s="435"/>
      <c r="BC297" s="435"/>
      <c r="BD297" s="435"/>
      <c r="BE297" s="435"/>
      <c r="BF297" s="435"/>
      <c r="BG297" s="435"/>
      <c r="BH297" s="435"/>
      <c r="BI297" s="435"/>
      <c r="BJ297" s="435"/>
      <c r="BK297" s="435"/>
      <c r="BL297" s="435"/>
    </row>
    <row r="298" spans="1:64" s="433" customFormat="1" ht="40.5" customHeight="1">
      <c r="A298" s="544" t="s">
        <v>269</v>
      </c>
      <c r="B298" s="588" t="s">
        <v>7</v>
      </c>
      <c r="C298" s="588"/>
      <c r="D298" s="588"/>
      <c r="E298" s="588"/>
      <c r="F298" s="588"/>
      <c r="G298" s="588"/>
      <c r="H298" s="588"/>
      <c r="I298" s="588"/>
      <c r="J298" s="588"/>
      <c r="K298" s="588"/>
      <c r="L298" s="539"/>
      <c r="M298" s="444"/>
      <c r="N298" s="443"/>
      <c r="O298" s="540"/>
      <c r="P298" s="444"/>
      <c r="Q298" s="444"/>
      <c r="R298" s="443"/>
      <c r="S298" s="443"/>
      <c r="T298" s="443"/>
      <c r="U298" s="435"/>
      <c r="V298" s="435"/>
      <c r="W298" s="435"/>
      <c r="X298" s="435"/>
      <c r="Y298" s="435"/>
      <c r="Z298" s="435"/>
      <c r="AA298" s="435"/>
      <c r="AB298" s="435"/>
      <c r="AC298" s="435"/>
      <c r="AD298" s="435"/>
      <c r="AE298" s="435"/>
      <c r="AF298" s="435"/>
      <c r="AG298" s="435"/>
      <c r="AH298" s="435"/>
      <c r="AI298" s="435"/>
      <c r="AJ298" s="435"/>
      <c r="AK298" s="435"/>
      <c r="AL298" s="435"/>
      <c r="AM298" s="435"/>
      <c r="AN298" s="435"/>
      <c r="AO298" s="435"/>
      <c r="AP298" s="435"/>
      <c r="AQ298" s="435"/>
      <c r="AR298" s="435"/>
      <c r="AS298" s="435"/>
      <c r="AT298" s="435"/>
      <c r="AU298" s="435"/>
      <c r="AV298" s="435"/>
      <c r="AW298" s="435"/>
      <c r="AX298" s="435"/>
      <c r="AY298" s="435"/>
      <c r="AZ298" s="435"/>
      <c r="BA298" s="435"/>
      <c r="BB298" s="435"/>
      <c r="BC298" s="435"/>
      <c r="BD298" s="435"/>
      <c r="BE298" s="435"/>
      <c r="BF298" s="435"/>
      <c r="BG298" s="435"/>
      <c r="BH298" s="435"/>
      <c r="BI298" s="435"/>
      <c r="BJ298" s="435"/>
      <c r="BK298" s="435"/>
      <c r="BL298" s="435"/>
    </row>
    <row r="299" spans="1:64" s="433" customFormat="1" ht="20.25">
      <c r="A299" s="544" t="s">
        <v>270</v>
      </c>
      <c r="B299" s="588" t="s">
        <v>271</v>
      </c>
      <c r="C299" s="588"/>
      <c r="D299" s="588"/>
      <c r="E299" s="588"/>
      <c r="F299" s="588"/>
      <c r="G299" s="588"/>
      <c r="H299" s="588"/>
      <c r="I299" s="588"/>
      <c r="J299" s="588"/>
      <c r="K299" s="588"/>
      <c r="L299" s="539"/>
      <c r="M299" s="444"/>
      <c r="N299" s="443"/>
      <c r="O299" s="540"/>
      <c r="P299" s="444"/>
      <c r="Q299" s="444"/>
      <c r="R299" s="443"/>
      <c r="S299" s="443"/>
      <c r="T299" s="443"/>
      <c r="U299" s="435"/>
      <c r="V299" s="435"/>
      <c r="W299" s="435"/>
      <c r="X299" s="435"/>
      <c r="Y299" s="435"/>
      <c r="Z299" s="435"/>
      <c r="AA299" s="435"/>
      <c r="AB299" s="435"/>
      <c r="AC299" s="435"/>
      <c r="AD299" s="435"/>
      <c r="AE299" s="435"/>
      <c r="AF299" s="435"/>
      <c r="AG299" s="435"/>
      <c r="AH299" s="435"/>
      <c r="AI299" s="435"/>
      <c r="AJ299" s="435"/>
      <c r="AK299" s="435"/>
      <c r="AL299" s="435"/>
      <c r="AM299" s="435"/>
      <c r="AN299" s="435"/>
      <c r="AO299" s="435"/>
      <c r="AP299" s="435"/>
      <c r="AQ299" s="435"/>
      <c r="AR299" s="435"/>
      <c r="AS299" s="435"/>
      <c r="AT299" s="435"/>
      <c r="AU299" s="435"/>
      <c r="AV299" s="435"/>
      <c r="AW299" s="435"/>
      <c r="AX299" s="435"/>
      <c r="AY299" s="435"/>
      <c r="AZ299" s="435"/>
      <c r="BA299" s="435"/>
      <c r="BB299" s="435"/>
      <c r="BC299" s="435"/>
      <c r="BD299" s="435"/>
      <c r="BE299" s="435"/>
      <c r="BF299" s="435"/>
      <c r="BG299" s="435"/>
      <c r="BH299" s="435"/>
      <c r="BI299" s="435"/>
      <c r="BJ299" s="435"/>
      <c r="BK299" s="435"/>
      <c r="BL299" s="435"/>
    </row>
    <row r="300" spans="1:64" s="433" customFormat="1" ht="142.5" customHeight="1">
      <c r="A300" s="544" t="s">
        <v>272</v>
      </c>
      <c r="B300" s="586" t="s">
        <v>752</v>
      </c>
      <c r="C300" s="586"/>
      <c r="D300" s="586"/>
      <c r="E300" s="586"/>
      <c r="F300" s="586"/>
      <c r="G300" s="586"/>
      <c r="H300" s="586"/>
      <c r="I300" s="586"/>
      <c r="J300" s="586"/>
      <c r="K300" s="586"/>
      <c r="L300" s="539"/>
      <c r="M300" s="444"/>
      <c r="N300" s="443"/>
      <c r="O300" s="540"/>
      <c r="P300" s="444"/>
      <c r="Q300" s="444"/>
      <c r="R300" s="443"/>
      <c r="S300" s="443"/>
      <c r="T300" s="443"/>
      <c r="U300" s="435"/>
      <c r="V300" s="435"/>
      <c r="W300" s="435"/>
      <c r="X300" s="435"/>
      <c r="Y300" s="435"/>
      <c r="Z300" s="435"/>
      <c r="AA300" s="435"/>
      <c r="AB300" s="435"/>
      <c r="AC300" s="435"/>
      <c r="AD300" s="435"/>
      <c r="AE300" s="435"/>
      <c r="AF300" s="435"/>
      <c r="AG300" s="435"/>
      <c r="AH300" s="435"/>
      <c r="AI300" s="435"/>
      <c r="AJ300" s="435"/>
      <c r="AK300" s="435"/>
      <c r="AL300" s="435"/>
      <c r="AM300" s="435"/>
      <c r="AN300" s="435"/>
      <c r="AO300" s="435"/>
      <c r="AP300" s="435"/>
      <c r="AQ300" s="435"/>
      <c r="AR300" s="435"/>
      <c r="AS300" s="435"/>
      <c r="AT300" s="435"/>
      <c r="AU300" s="435"/>
      <c r="AV300" s="435"/>
      <c r="AW300" s="435"/>
      <c r="AX300" s="435"/>
      <c r="AY300" s="435"/>
      <c r="AZ300" s="435"/>
      <c r="BA300" s="435"/>
      <c r="BB300" s="435"/>
      <c r="BC300" s="435"/>
      <c r="BD300" s="435"/>
      <c r="BE300" s="435"/>
      <c r="BF300" s="435"/>
      <c r="BG300" s="435"/>
      <c r="BH300" s="435"/>
      <c r="BI300" s="435"/>
      <c r="BJ300" s="435"/>
      <c r="BK300" s="435"/>
      <c r="BL300" s="435"/>
    </row>
    <row r="301" spans="1:64" s="433" customFormat="1" ht="20.25">
      <c r="A301" s="544" t="s">
        <v>273</v>
      </c>
      <c r="B301" s="588" t="s">
        <v>8</v>
      </c>
      <c r="C301" s="588"/>
      <c r="D301" s="588"/>
      <c r="E301" s="588"/>
      <c r="F301" s="588"/>
      <c r="G301" s="588"/>
      <c r="H301" s="588"/>
      <c r="I301" s="588"/>
      <c r="J301" s="588"/>
      <c r="K301" s="588"/>
      <c r="L301" s="539"/>
      <c r="M301" s="444"/>
      <c r="N301" s="443"/>
      <c r="O301" s="540"/>
      <c r="P301" s="444"/>
      <c r="Q301" s="444"/>
      <c r="R301" s="443"/>
      <c r="S301" s="443"/>
      <c r="T301" s="443"/>
      <c r="U301" s="435"/>
      <c r="V301" s="435"/>
      <c r="W301" s="435"/>
      <c r="X301" s="435"/>
      <c r="Y301" s="435"/>
      <c r="Z301" s="435"/>
      <c r="AA301" s="435"/>
      <c r="AB301" s="435"/>
      <c r="AC301" s="435"/>
      <c r="AD301" s="435"/>
      <c r="AE301" s="435"/>
      <c r="AF301" s="435"/>
      <c r="AG301" s="435"/>
      <c r="AH301" s="435"/>
      <c r="AI301" s="435"/>
      <c r="AJ301" s="435"/>
      <c r="AK301" s="435"/>
      <c r="AL301" s="435"/>
      <c r="AM301" s="435"/>
      <c r="AN301" s="435"/>
      <c r="AO301" s="435"/>
      <c r="AP301" s="435"/>
      <c r="AQ301" s="435"/>
      <c r="AR301" s="435"/>
      <c r="AS301" s="435"/>
      <c r="AT301" s="435"/>
      <c r="AU301" s="435"/>
      <c r="AV301" s="435"/>
      <c r="AW301" s="435"/>
      <c r="AX301" s="435"/>
      <c r="AY301" s="435"/>
      <c r="AZ301" s="435"/>
      <c r="BA301" s="435"/>
      <c r="BB301" s="435"/>
      <c r="BC301" s="435"/>
      <c r="BD301" s="435"/>
      <c r="BE301" s="435"/>
      <c r="BF301" s="435"/>
      <c r="BG301" s="435"/>
      <c r="BH301" s="435"/>
      <c r="BI301" s="435"/>
      <c r="BJ301" s="435"/>
      <c r="BK301" s="435"/>
      <c r="BL301" s="435"/>
    </row>
    <row r="302" spans="1:64" s="433" customFormat="1" ht="20.25">
      <c r="A302" s="544" t="s">
        <v>274</v>
      </c>
      <c r="B302" s="588" t="s">
        <v>275</v>
      </c>
      <c r="C302" s="588"/>
      <c r="D302" s="588"/>
      <c r="E302" s="588"/>
      <c r="F302" s="588"/>
      <c r="G302" s="588"/>
      <c r="H302" s="588"/>
      <c r="I302" s="588"/>
      <c r="J302" s="588"/>
      <c r="K302" s="588"/>
      <c r="L302" s="539"/>
      <c r="M302" s="444"/>
      <c r="N302" s="443"/>
      <c r="O302" s="540"/>
      <c r="P302" s="444"/>
      <c r="Q302" s="444"/>
      <c r="R302" s="443"/>
      <c r="S302" s="443"/>
      <c r="T302" s="443"/>
      <c r="U302" s="435"/>
      <c r="V302" s="435"/>
      <c r="W302" s="435"/>
      <c r="X302" s="435"/>
      <c r="Y302" s="435"/>
      <c r="Z302" s="435"/>
      <c r="AA302" s="435"/>
      <c r="AB302" s="435"/>
      <c r="AC302" s="435"/>
      <c r="AD302" s="435"/>
      <c r="AE302" s="435"/>
      <c r="AF302" s="435"/>
      <c r="AG302" s="435"/>
      <c r="AH302" s="435"/>
      <c r="AI302" s="435"/>
      <c r="AJ302" s="435"/>
      <c r="AK302" s="435"/>
      <c r="AL302" s="435"/>
      <c r="AM302" s="435"/>
      <c r="AN302" s="435"/>
      <c r="AO302" s="435"/>
      <c r="AP302" s="435"/>
      <c r="AQ302" s="435"/>
      <c r="AR302" s="435"/>
      <c r="AS302" s="435"/>
      <c r="AT302" s="435"/>
      <c r="AU302" s="435"/>
      <c r="AV302" s="435"/>
      <c r="AW302" s="435"/>
      <c r="AX302" s="435"/>
      <c r="AY302" s="435"/>
      <c r="AZ302" s="435"/>
      <c r="BA302" s="435"/>
      <c r="BB302" s="435"/>
      <c r="BC302" s="435"/>
      <c r="BD302" s="435"/>
      <c r="BE302" s="435"/>
      <c r="BF302" s="435"/>
      <c r="BG302" s="435"/>
      <c r="BH302" s="435"/>
      <c r="BI302" s="435"/>
      <c r="BJ302" s="435"/>
      <c r="BK302" s="435"/>
      <c r="BL302" s="435"/>
    </row>
    <row r="303" spans="1:64" s="433" customFormat="1" ht="41.25" customHeight="1">
      <c r="A303" s="544" t="s">
        <v>276</v>
      </c>
      <c r="B303" s="588" t="s">
        <v>753</v>
      </c>
      <c r="C303" s="588"/>
      <c r="D303" s="588"/>
      <c r="E303" s="588"/>
      <c r="F303" s="588"/>
      <c r="G303" s="588"/>
      <c r="H303" s="588"/>
      <c r="I303" s="588"/>
      <c r="J303" s="588"/>
      <c r="K303" s="588"/>
      <c r="L303" s="539"/>
      <c r="M303" s="444"/>
      <c r="N303" s="443"/>
      <c r="O303" s="540"/>
      <c r="P303" s="444"/>
      <c r="Q303" s="444"/>
      <c r="R303" s="443"/>
      <c r="S303" s="443"/>
      <c r="T303" s="443"/>
      <c r="U303" s="435"/>
      <c r="V303" s="435"/>
      <c r="W303" s="435"/>
      <c r="X303" s="435"/>
      <c r="Y303" s="435"/>
      <c r="Z303" s="435"/>
      <c r="AA303" s="435"/>
      <c r="AB303" s="435"/>
      <c r="AC303" s="435"/>
      <c r="AD303" s="435"/>
      <c r="AE303" s="435"/>
      <c r="AF303" s="435"/>
      <c r="AG303" s="435"/>
      <c r="AH303" s="435"/>
      <c r="AI303" s="435"/>
      <c r="AJ303" s="435"/>
      <c r="AK303" s="435"/>
      <c r="AL303" s="435"/>
      <c r="AM303" s="435"/>
      <c r="AN303" s="435"/>
      <c r="AO303" s="435"/>
      <c r="AP303" s="435"/>
      <c r="AQ303" s="435"/>
      <c r="AR303" s="435"/>
      <c r="AS303" s="435"/>
      <c r="AT303" s="435"/>
      <c r="AU303" s="435"/>
      <c r="AV303" s="435"/>
      <c r="AW303" s="435"/>
      <c r="AX303" s="435"/>
      <c r="AY303" s="435"/>
      <c r="AZ303" s="435"/>
      <c r="BA303" s="435"/>
      <c r="BB303" s="435"/>
      <c r="BC303" s="435"/>
      <c r="BD303" s="435"/>
      <c r="BE303" s="435"/>
      <c r="BF303" s="435"/>
      <c r="BG303" s="435"/>
      <c r="BH303" s="435"/>
      <c r="BI303" s="435"/>
      <c r="BJ303" s="435"/>
      <c r="BK303" s="435"/>
      <c r="BL303" s="435"/>
    </row>
    <row r="304" spans="1:64" s="433" customFormat="1" ht="60.75" customHeight="1">
      <c r="A304" s="551" t="s">
        <v>277</v>
      </c>
      <c r="B304" s="585" t="s">
        <v>9</v>
      </c>
      <c r="C304" s="585"/>
      <c r="D304" s="585"/>
      <c r="E304" s="585"/>
      <c r="F304" s="585"/>
      <c r="G304" s="585"/>
      <c r="H304" s="585"/>
      <c r="I304" s="585"/>
      <c r="J304" s="585"/>
      <c r="K304" s="585"/>
      <c r="L304" s="539"/>
      <c r="M304" s="444"/>
      <c r="N304" s="443"/>
      <c r="O304" s="540"/>
      <c r="P304" s="444"/>
      <c r="Q304" s="444"/>
      <c r="R304" s="443"/>
      <c r="S304" s="443"/>
      <c r="T304" s="443"/>
      <c r="U304" s="435"/>
      <c r="V304" s="435"/>
      <c r="W304" s="435"/>
      <c r="X304" s="435"/>
      <c r="Y304" s="435"/>
      <c r="Z304" s="435"/>
      <c r="AA304" s="435"/>
      <c r="AB304" s="435"/>
      <c r="AC304" s="435"/>
      <c r="AD304" s="435"/>
      <c r="AE304" s="435"/>
      <c r="AF304" s="435"/>
      <c r="AG304" s="435"/>
      <c r="AH304" s="435"/>
      <c r="AI304" s="435"/>
      <c r="AJ304" s="435"/>
      <c r="AK304" s="435"/>
      <c r="AL304" s="435"/>
      <c r="AM304" s="435"/>
      <c r="AN304" s="435"/>
      <c r="AO304" s="435"/>
      <c r="AP304" s="435"/>
      <c r="AQ304" s="435"/>
      <c r="AR304" s="435"/>
      <c r="AS304" s="435"/>
      <c r="AT304" s="435"/>
      <c r="AU304" s="435"/>
      <c r="AV304" s="435"/>
      <c r="AW304" s="435"/>
      <c r="AX304" s="435"/>
      <c r="AY304" s="435"/>
      <c r="AZ304" s="435"/>
      <c r="BA304" s="435"/>
      <c r="BB304" s="435"/>
      <c r="BC304" s="435"/>
      <c r="BD304" s="435"/>
      <c r="BE304" s="435"/>
      <c r="BF304" s="435"/>
      <c r="BG304" s="435"/>
      <c r="BH304" s="435"/>
      <c r="BI304" s="435"/>
      <c r="BJ304" s="435"/>
      <c r="BK304" s="435"/>
      <c r="BL304" s="435"/>
    </row>
    <row r="305" spans="1:64" s="433" customFormat="1" ht="20.25">
      <c r="A305" s="551" t="s">
        <v>278</v>
      </c>
      <c r="B305" s="585" t="s">
        <v>681</v>
      </c>
      <c r="C305" s="585"/>
      <c r="D305" s="585"/>
      <c r="E305" s="585"/>
      <c r="F305" s="585"/>
      <c r="G305" s="585"/>
      <c r="H305" s="585"/>
      <c r="I305" s="585"/>
      <c r="J305" s="585"/>
      <c r="K305" s="585"/>
      <c r="L305" s="539"/>
      <c r="M305" s="444"/>
      <c r="N305" s="443"/>
      <c r="O305" s="540"/>
      <c r="P305" s="444"/>
      <c r="Q305" s="444"/>
      <c r="R305" s="443"/>
      <c r="S305" s="443"/>
      <c r="T305" s="443"/>
      <c r="U305" s="435"/>
      <c r="V305" s="435"/>
      <c r="W305" s="435"/>
      <c r="X305" s="435"/>
      <c r="Y305" s="435"/>
      <c r="Z305" s="435"/>
      <c r="AA305" s="435"/>
      <c r="AB305" s="435"/>
      <c r="AC305" s="435"/>
      <c r="AD305" s="435"/>
      <c r="AE305" s="435"/>
      <c r="AF305" s="435"/>
      <c r="AG305" s="435"/>
      <c r="AH305" s="435"/>
      <c r="AI305" s="435"/>
      <c r="AJ305" s="435"/>
      <c r="AK305" s="435"/>
      <c r="AL305" s="435"/>
      <c r="AM305" s="435"/>
      <c r="AN305" s="435"/>
      <c r="AO305" s="435"/>
      <c r="AP305" s="435"/>
      <c r="AQ305" s="435"/>
      <c r="AR305" s="435"/>
      <c r="AS305" s="435"/>
      <c r="AT305" s="435"/>
      <c r="AU305" s="435"/>
      <c r="AV305" s="435"/>
      <c r="AW305" s="435"/>
      <c r="AX305" s="435"/>
      <c r="AY305" s="435"/>
      <c r="AZ305" s="435"/>
      <c r="BA305" s="435"/>
      <c r="BB305" s="435"/>
      <c r="BC305" s="435"/>
      <c r="BD305" s="435"/>
      <c r="BE305" s="435"/>
      <c r="BF305" s="435"/>
      <c r="BG305" s="435"/>
      <c r="BH305" s="435"/>
      <c r="BI305" s="435"/>
      <c r="BJ305" s="435"/>
      <c r="BK305" s="435"/>
      <c r="BL305" s="435"/>
    </row>
    <row r="306" spans="1:64" s="433" customFormat="1" ht="20.25">
      <c r="A306" s="552" t="s">
        <v>10</v>
      </c>
      <c r="B306" s="585" t="s">
        <v>682</v>
      </c>
      <c r="C306" s="585"/>
      <c r="D306" s="585"/>
      <c r="E306" s="585"/>
      <c r="F306" s="585"/>
      <c r="G306" s="585"/>
      <c r="H306" s="585"/>
      <c r="I306" s="585"/>
      <c r="J306" s="585"/>
      <c r="K306" s="585"/>
      <c r="L306" s="539"/>
      <c r="M306" s="442"/>
      <c r="N306" s="443"/>
      <c r="O306" s="540"/>
      <c r="P306" s="444"/>
      <c r="Q306" s="444"/>
      <c r="R306" s="443"/>
      <c r="S306" s="443"/>
      <c r="T306" s="443"/>
      <c r="U306" s="435"/>
      <c r="V306" s="435"/>
      <c r="W306" s="435"/>
      <c r="X306" s="435"/>
      <c r="Y306" s="435"/>
      <c r="Z306" s="435"/>
      <c r="AA306" s="435"/>
      <c r="AB306" s="435"/>
      <c r="AC306" s="435"/>
      <c r="AD306" s="435"/>
      <c r="AE306" s="435"/>
      <c r="AF306" s="435"/>
      <c r="AG306" s="435"/>
      <c r="AH306" s="435"/>
      <c r="AI306" s="435"/>
      <c r="AJ306" s="435"/>
      <c r="AK306" s="435"/>
      <c r="AL306" s="435"/>
      <c r="AM306" s="435"/>
      <c r="AN306" s="435"/>
      <c r="AO306" s="435"/>
      <c r="AP306" s="435"/>
      <c r="AQ306" s="435"/>
      <c r="AR306" s="435"/>
      <c r="AS306" s="435"/>
      <c r="AT306" s="435"/>
      <c r="AU306" s="435"/>
      <c r="AV306" s="435"/>
      <c r="AW306" s="435"/>
      <c r="AX306" s="435"/>
      <c r="AY306" s="435"/>
      <c r="AZ306" s="435"/>
      <c r="BA306" s="435"/>
      <c r="BB306" s="435"/>
      <c r="BC306" s="435"/>
      <c r="BD306" s="435"/>
      <c r="BE306" s="435"/>
      <c r="BF306" s="435"/>
      <c r="BG306" s="435"/>
      <c r="BH306" s="435"/>
      <c r="BI306" s="435"/>
      <c r="BJ306" s="435"/>
      <c r="BK306" s="435"/>
      <c r="BL306" s="435"/>
    </row>
    <row r="307" spans="1:64" s="433" customFormat="1" ht="20.25">
      <c r="A307" s="552" t="s">
        <v>11</v>
      </c>
      <c r="B307" s="585" t="s">
        <v>754</v>
      </c>
      <c r="C307" s="585"/>
      <c r="D307" s="585"/>
      <c r="E307" s="585"/>
      <c r="F307" s="585"/>
      <c r="G307" s="585"/>
      <c r="H307" s="585"/>
      <c r="I307" s="585"/>
      <c r="J307" s="585"/>
      <c r="K307" s="585"/>
      <c r="L307" s="539"/>
      <c r="M307" s="444"/>
      <c r="N307" s="443"/>
      <c r="O307" s="540"/>
      <c r="P307" s="444"/>
      <c r="Q307" s="444"/>
      <c r="R307" s="443"/>
      <c r="S307" s="443"/>
      <c r="T307" s="443"/>
      <c r="U307" s="435"/>
      <c r="V307" s="435"/>
      <c r="W307" s="435"/>
      <c r="X307" s="435"/>
      <c r="Y307" s="435"/>
      <c r="Z307" s="435"/>
      <c r="AA307" s="435"/>
      <c r="AB307" s="435"/>
      <c r="AC307" s="435"/>
      <c r="AD307" s="435"/>
      <c r="AE307" s="435"/>
      <c r="AF307" s="435"/>
      <c r="AG307" s="435"/>
      <c r="AH307" s="435"/>
      <c r="AI307" s="435"/>
      <c r="AJ307" s="435"/>
      <c r="AK307" s="435"/>
      <c r="AL307" s="435"/>
      <c r="AM307" s="435"/>
      <c r="AN307" s="435"/>
      <c r="AO307" s="435"/>
      <c r="AP307" s="435"/>
      <c r="AQ307" s="435"/>
      <c r="AR307" s="435"/>
      <c r="AS307" s="435"/>
      <c r="AT307" s="435"/>
      <c r="AU307" s="435"/>
      <c r="AV307" s="435"/>
      <c r="AW307" s="435"/>
      <c r="AX307" s="435"/>
      <c r="AY307" s="435"/>
      <c r="AZ307" s="435"/>
      <c r="BA307" s="435"/>
      <c r="BB307" s="435"/>
      <c r="BC307" s="435"/>
      <c r="BD307" s="435"/>
      <c r="BE307" s="435"/>
      <c r="BF307" s="435"/>
      <c r="BG307" s="435"/>
      <c r="BH307" s="435"/>
      <c r="BI307" s="435"/>
      <c r="BJ307" s="435"/>
      <c r="BK307" s="435"/>
      <c r="BL307" s="435"/>
    </row>
    <row r="308" spans="1:64" s="433" customFormat="1" ht="42" customHeight="1">
      <c r="A308" s="551" t="s">
        <v>201</v>
      </c>
      <c r="B308" s="585" t="s">
        <v>755</v>
      </c>
      <c r="C308" s="585"/>
      <c r="D308" s="585"/>
      <c r="E308" s="585"/>
      <c r="F308" s="585"/>
      <c r="G308" s="585"/>
      <c r="H308" s="585"/>
      <c r="I308" s="585"/>
      <c r="J308" s="585"/>
      <c r="K308" s="585"/>
      <c r="L308" s="539"/>
      <c r="M308" s="444"/>
      <c r="N308" s="443"/>
      <c r="O308" s="540"/>
      <c r="P308" s="444"/>
      <c r="Q308" s="444"/>
      <c r="R308" s="443"/>
      <c r="S308" s="443"/>
      <c r="T308" s="443"/>
      <c r="U308" s="435"/>
      <c r="V308" s="435"/>
      <c r="W308" s="435"/>
      <c r="X308" s="435"/>
      <c r="Y308" s="435"/>
      <c r="Z308" s="435"/>
      <c r="AA308" s="435"/>
      <c r="AB308" s="435"/>
      <c r="AC308" s="435"/>
      <c r="AD308" s="435"/>
      <c r="AE308" s="435"/>
      <c r="AF308" s="435"/>
      <c r="AG308" s="435"/>
      <c r="AH308" s="435"/>
      <c r="AI308" s="435"/>
      <c r="AJ308" s="435"/>
      <c r="AK308" s="435"/>
      <c r="AL308" s="435"/>
      <c r="AM308" s="435"/>
      <c r="AN308" s="435"/>
      <c r="AO308" s="435"/>
      <c r="AP308" s="435"/>
      <c r="AQ308" s="435"/>
      <c r="AR308" s="435"/>
      <c r="AS308" s="435"/>
      <c r="AT308" s="435"/>
      <c r="AU308" s="435"/>
      <c r="AV308" s="435"/>
      <c r="AW308" s="435"/>
      <c r="AX308" s="435"/>
      <c r="AY308" s="435"/>
      <c r="AZ308" s="435"/>
      <c r="BA308" s="435"/>
      <c r="BB308" s="435"/>
      <c r="BC308" s="435"/>
      <c r="BD308" s="435"/>
      <c r="BE308" s="435"/>
      <c r="BF308" s="435"/>
      <c r="BG308" s="435"/>
      <c r="BH308" s="435"/>
      <c r="BI308" s="435"/>
      <c r="BJ308" s="435"/>
      <c r="BK308" s="435"/>
      <c r="BL308" s="435"/>
    </row>
    <row r="309" spans="1:64" s="433" customFormat="1" ht="20.25">
      <c r="A309" s="552" t="s">
        <v>675</v>
      </c>
      <c r="B309" s="585" t="s">
        <v>756</v>
      </c>
      <c r="C309" s="585"/>
      <c r="D309" s="585"/>
      <c r="E309" s="585"/>
      <c r="F309" s="585"/>
      <c r="G309" s="585"/>
      <c r="H309" s="585"/>
      <c r="I309" s="585"/>
      <c r="J309" s="585"/>
      <c r="K309" s="585"/>
      <c r="L309" s="539"/>
      <c r="M309" s="553"/>
      <c r="N309" s="443"/>
      <c r="O309" s="540"/>
      <c r="P309" s="444"/>
      <c r="Q309" s="444"/>
      <c r="R309" s="443"/>
      <c r="S309" s="443"/>
      <c r="T309" s="443"/>
      <c r="U309" s="435"/>
      <c r="V309" s="435"/>
      <c r="W309" s="435"/>
      <c r="X309" s="435"/>
      <c r="Y309" s="435"/>
      <c r="Z309" s="435"/>
      <c r="AA309" s="435"/>
      <c r="AB309" s="435"/>
      <c r="AC309" s="435"/>
      <c r="AD309" s="435"/>
      <c r="AE309" s="435"/>
      <c r="AF309" s="435"/>
      <c r="AG309" s="435"/>
      <c r="AH309" s="435"/>
      <c r="AI309" s="435"/>
      <c r="AJ309" s="435"/>
      <c r="AK309" s="435"/>
      <c r="AL309" s="435"/>
      <c r="AM309" s="435"/>
      <c r="AN309" s="435"/>
      <c r="AO309" s="435"/>
      <c r="AP309" s="435"/>
      <c r="AQ309" s="435"/>
      <c r="AR309" s="435"/>
      <c r="AS309" s="435"/>
      <c r="AT309" s="435"/>
      <c r="AU309" s="435"/>
      <c r="AV309" s="435"/>
      <c r="AW309" s="435"/>
      <c r="AX309" s="435"/>
      <c r="AY309" s="435"/>
      <c r="AZ309" s="435"/>
      <c r="BA309" s="435"/>
      <c r="BB309" s="435"/>
      <c r="BC309" s="435"/>
      <c r="BD309" s="435"/>
      <c r="BE309" s="435"/>
      <c r="BF309" s="435"/>
      <c r="BG309" s="435"/>
      <c r="BH309" s="435"/>
      <c r="BI309" s="435"/>
      <c r="BJ309" s="435"/>
      <c r="BK309" s="435"/>
      <c r="BL309" s="435"/>
    </row>
    <row r="310" spans="1:64" s="433" customFormat="1" ht="39.75" customHeight="1">
      <c r="A310" s="551" t="s">
        <v>676</v>
      </c>
      <c r="B310" s="585" t="s">
        <v>757</v>
      </c>
      <c r="C310" s="585"/>
      <c r="D310" s="585"/>
      <c r="E310" s="585"/>
      <c r="F310" s="585"/>
      <c r="G310" s="585"/>
      <c r="H310" s="585"/>
      <c r="I310" s="585"/>
      <c r="J310" s="585"/>
      <c r="K310" s="585"/>
      <c r="L310" s="539"/>
      <c r="M310" s="444"/>
      <c r="N310" s="443"/>
      <c r="O310" s="540"/>
      <c r="P310" s="444"/>
      <c r="Q310" s="444"/>
      <c r="R310" s="443"/>
      <c r="S310" s="443"/>
      <c r="T310" s="443"/>
      <c r="U310" s="435"/>
      <c r="V310" s="435"/>
      <c r="W310" s="435"/>
      <c r="X310" s="435"/>
      <c r="Y310" s="435"/>
      <c r="Z310" s="435"/>
      <c r="AA310" s="435"/>
      <c r="AB310" s="435"/>
      <c r="AC310" s="435"/>
      <c r="AD310" s="435"/>
      <c r="AE310" s="435"/>
      <c r="AF310" s="435"/>
      <c r="AG310" s="435"/>
      <c r="AH310" s="435"/>
      <c r="AI310" s="435"/>
      <c r="AJ310" s="435"/>
      <c r="AK310" s="435"/>
      <c r="AL310" s="435"/>
      <c r="AM310" s="435"/>
      <c r="AN310" s="435"/>
      <c r="AO310" s="435"/>
      <c r="AP310" s="435"/>
      <c r="AQ310" s="435"/>
      <c r="AR310" s="435"/>
      <c r="AS310" s="435"/>
      <c r="AT310" s="435"/>
      <c r="AU310" s="435"/>
      <c r="AV310" s="435"/>
      <c r="AW310" s="435"/>
      <c r="AX310" s="435"/>
      <c r="AY310" s="435"/>
      <c r="AZ310" s="435"/>
      <c r="BA310" s="435"/>
      <c r="BB310" s="435"/>
      <c r="BC310" s="435"/>
      <c r="BD310" s="435"/>
      <c r="BE310" s="435"/>
      <c r="BF310" s="435"/>
      <c r="BG310" s="435"/>
      <c r="BH310" s="435"/>
      <c r="BI310" s="435"/>
      <c r="BJ310" s="435"/>
      <c r="BK310" s="435"/>
      <c r="BL310" s="435"/>
    </row>
    <row r="311" spans="1:64" s="433" customFormat="1" ht="18.75" customHeight="1">
      <c r="A311" s="551" t="s">
        <v>677</v>
      </c>
      <c r="B311" s="554" t="s">
        <v>678</v>
      </c>
      <c r="C311" s="555"/>
      <c r="D311" s="555"/>
      <c r="E311" s="555"/>
      <c r="F311" s="555"/>
      <c r="G311" s="555"/>
      <c r="H311" s="555"/>
      <c r="I311" s="555"/>
      <c r="J311" s="555"/>
      <c r="K311" s="555"/>
      <c r="L311" s="456"/>
      <c r="M311" s="506"/>
      <c r="N311" s="443"/>
      <c r="O311" s="540"/>
      <c r="P311" s="444"/>
      <c r="Q311" s="444"/>
      <c r="R311" s="443"/>
      <c r="S311" s="443"/>
      <c r="T311" s="443"/>
      <c r="U311" s="435"/>
      <c r="V311" s="435"/>
      <c r="W311" s="435"/>
      <c r="X311" s="435"/>
      <c r="Y311" s="435"/>
      <c r="Z311" s="435"/>
      <c r="AA311" s="435"/>
      <c r="AB311" s="435"/>
      <c r="AC311" s="435"/>
      <c r="AD311" s="435"/>
      <c r="AE311" s="435"/>
      <c r="AF311" s="435"/>
      <c r="AG311" s="435"/>
      <c r="AH311" s="435"/>
      <c r="AI311" s="435"/>
      <c r="AJ311" s="435"/>
      <c r="AK311" s="435"/>
      <c r="AL311" s="435"/>
      <c r="AM311" s="435"/>
      <c r="AN311" s="435"/>
      <c r="AO311" s="435"/>
      <c r="AP311" s="435"/>
      <c r="AQ311" s="435"/>
      <c r="AR311" s="435"/>
      <c r="AS311" s="435"/>
      <c r="AT311" s="435"/>
      <c r="AU311" s="435"/>
      <c r="AV311" s="435"/>
      <c r="AW311" s="435"/>
      <c r="AX311" s="435"/>
      <c r="AY311" s="435"/>
      <c r="AZ311" s="435"/>
      <c r="BA311" s="435"/>
      <c r="BB311" s="435"/>
      <c r="BC311" s="435"/>
      <c r="BD311" s="435"/>
      <c r="BE311" s="435"/>
      <c r="BF311" s="435"/>
      <c r="BG311" s="435"/>
      <c r="BH311" s="435"/>
      <c r="BI311" s="435"/>
      <c r="BJ311" s="435"/>
      <c r="BK311" s="435"/>
      <c r="BL311" s="435"/>
    </row>
    <row r="312" spans="1:64" s="433" customFormat="1" ht="21.75" customHeight="1">
      <c r="A312" s="551" t="s">
        <v>679</v>
      </c>
      <c r="B312" s="556" t="s">
        <v>680</v>
      </c>
      <c r="C312" s="555"/>
      <c r="D312" s="555"/>
      <c r="E312" s="555"/>
      <c r="F312" s="555"/>
      <c r="G312" s="555"/>
      <c r="H312" s="555"/>
      <c r="I312" s="555"/>
      <c r="J312" s="555"/>
      <c r="K312" s="555"/>
      <c r="L312" s="456"/>
      <c r="M312" s="506"/>
      <c r="N312" s="443"/>
      <c r="O312" s="540"/>
      <c r="P312" s="139"/>
      <c r="Q312" s="444"/>
      <c r="R312" s="443"/>
      <c r="S312" s="443"/>
      <c r="T312" s="443"/>
      <c r="U312" s="435"/>
      <c r="V312" s="435"/>
      <c r="W312" s="435"/>
      <c r="X312" s="435"/>
      <c r="Y312" s="435"/>
      <c r="Z312" s="435"/>
      <c r="AA312" s="435"/>
      <c r="AB312" s="435"/>
      <c r="AC312" s="435"/>
      <c r="AD312" s="435"/>
      <c r="AE312" s="435"/>
      <c r="AF312" s="435"/>
      <c r="AG312" s="435"/>
      <c r="AH312" s="435"/>
      <c r="AI312" s="435"/>
      <c r="AJ312" s="435"/>
      <c r="AK312" s="435"/>
      <c r="AL312" s="435"/>
      <c r="AM312" s="435"/>
      <c r="AN312" s="435"/>
      <c r="AO312" s="435"/>
      <c r="AP312" s="435"/>
      <c r="AQ312" s="435"/>
      <c r="AR312" s="435"/>
      <c r="AS312" s="435"/>
      <c r="AT312" s="435"/>
      <c r="AU312" s="435"/>
      <c r="AV312" s="435"/>
      <c r="AW312" s="435"/>
      <c r="AX312" s="435"/>
      <c r="AY312" s="435"/>
      <c r="AZ312" s="435"/>
      <c r="BA312" s="435"/>
      <c r="BB312" s="435"/>
      <c r="BC312" s="435"/>
      <c r="BD312" s="435"/>
      <c r="BE312" s="435"/>
      <c r="BF312" s="435"/>
      <c r="BG312" s="435"/>
      <c r="BH312" s="435"/>
      <c r="BI312" s="435"/>
      <c r="BJ312" s="435"/>
      <c r="BK312" s="435"/>
      <c r="BL312" s="435"/>
    </row>
    <row r="313" spans="1:64" s="433" customFormat="1" ht="20.25" customHeight="1">
      <c r="A313" s="557" t="s">
        <v>758</v>
      </c>
      <c r="B313" s="558" t="s">
        <v>759</v>
      </c>
      <c r="C313" s="456"/>
      <c r="D313" s="550"/>
      <c r="E313" s="550"/>
      <c r="F313" s="550"/>
      <c r="G313" s="550"/>
      <c r="H313" s="550"/>
      <c r="I313" s="550"/>
      <c r="J313" s="550"/>
      <c r="K313" s="550"/>
      <c r="L313" s="456"/>
      <c r="M313" s="506"/>
      <c r="N313" s="443"/>
      <c r="O313" s="540"/>
      <c r="P313" s="139"/>
      <c r="Q313" s="444"/>
      <c r="R313" s="443"/>
      <c r="S313" s="443"/>
      <c r="T313" s="443"/>
      <c r="U313" s="435"/>
      <c r="V313" s="435"/>
      <c r="W313" s="435"/>
      <c r="X313" s="435"/>
      <c r="Y313" s="435"/>
      <c r="Z313" s="435"/>
      <c r="AA313" s="435"/>
      <c r="AB313" s="435"/>
      <c r="AC313" s="435"/>
      <c r="AD313" s="435"/>
      <c r="AE313" s="435"/>
      <c r="AF313" s="435"/>
      <c r="AG313" s="435"/>
      <c r="AH313" s="435"/>
      <c r="AI313" s="435"/>
      <c r="AJ313" s="435"/>
      <c r="AK313" s="435"/>
      <c r="AL313" s="435"/>
      <c r="AM313" s="435"/>
      <c r="AN313" s="435"/>
      <c r="AO313" s="435"/>
      <c r="AP313" s="435"/>
      <c r="AQ313" s="435"/>
      <c r="AR313" s="435"/>
      <c r="AS313" s="435"/>
      <c r="AT313" s="435"/>
      <c r="AU313" s="435"/>
      <c r="AV313" s="435"/>
      <c r="AW313" s="435"/>
      <c r="AX313" s="435"/>
      <c r="AY313" s="435"/>
      <c r="AZ313" s="435"/>
      <c r="BA313" s="435"/>
      <c r="BB313" s="435"/>
      <c r="BC313" s="435"/>
      <c r="BD313" s="435"/>
      <c r="BE313" s="435"/>
      <c r="BF313" s="435"/>
      <c r="BG313" s="435"/>
      <c r="BH313" s="435"/>
      <c r="BI313" s="435"/>
      <c r="BJ313" s="435"/>
      <c r="BK313" s="435"/>
      <c r="BL313" s="435"/>
    </row>
    <row r="314" spans="1:64" s="433" customFormat="1" ht="18.75">
      <c r="A314" s="557"/>
      <c r="B314" s="558" t="s">
        <v>760</v>
      </c>
      <c r="C314" s="456"/>
      <c r="D314" s="550"/>
      <c r="E314" s="550"/>
      <c r="F314" s="550"/>
      <c r="G314" s="550"/>
      <c r="H314" s="550"/>
      <c r="I314" s="550"/>
      <c r="J314" s="550"/>
      <c r="K314" s="550"/>
      <c r="L314" s="456"/>
      <c r="M314" s="506"/>
      <c r="N314" s="443"/>
      <c r="O314" s="540"/>
      <c r="P314" s="139"/>
      <c r="Q314" s="444"/>
      <c r="R314" s="443"/>
      <c r="S314" s="443"/>
      <c r="T314" s="443"/>
      <c r="U314" s="435"/>
      <c r="V314" s="435"/>
      <c r="W314" s="435"/>
      <c r="X314" s="435"/>
      <c r="Y314" s="435"/>
      <c r="Z314" s="435"/>
      <c r="AA314" s="435"/>
      <c r="AB314" s="435"/>
      <c r="AC314" s="435"/>
      <c r="AD314" s="435"/>
      <c r="AE314" s="435"/>
      <c r="AF314" s="435"/>
      <c r="AG314" s="435"/>
      <c r="AH314" s="435"/>
      <c r="AI314" s="435"/>
      <c r="AJ314" s="435"/>
      <c r="AK314" s="435"/>
      <c r="AL314" s="435"/>
      <c r="AM314" s="435"/>
      <c r="AN314" s="435"/>
      <c r="AO314" s="435"/>
      <c r="AP314" s="435"/>
      <c r="AQ314" s="435"/>
      <c r="AR314" s="435"/>
      <c r="AS314" s="435"/>
      <c r="AT314" s="435"/>
      <c r="AU314" s="435"/>
      <c r="AV314" s="435"/>
      <c r="AW314" s="435"/>
      <c r="AX314" s="435"/>
      <c r="AY314" s="435"/>
      <c r="AZ314" s="435"/>
      <c r="BA314" s="435"/>
      <c r="BB314" s="435"/>
      <c r="BC314" s="435"/>
      <c r="BD314" s="435"/>
      <c r="BE314" s="435"/>
      <c r="BF314" s="435"/>
      <c r="BG314" s="435"/>
      <c r="BH314" s="435"/>
      <c r="BI314" s="435"/>
      <c r="BJ314" s="435"/>
      <c r="BK314" s="435"/>
      <c r="BL314" s="435"/>
    </row>
    <row r="315" spans="1:64" s="433" customFormat="1" ht="23.25" customHeight="1">
      <c r="A315" s="557" t="s">
        <v>761</v>
      </c>
      <c r="B315" s="558" t="s">
        <v>762</v>
      </c>
      <c r="C315" s="456"/>
      <c r="D315" s="529"/>
      <c r="E315" s="529"/>
      <c r="F315" s="529"/>
      <c r="G315" s="529"/>
      <c r="H315" s="529"/>
      <c r="I315" s="529"/>
      <c r="J315" s="529"/>
      <c r="K315" s="529"/>
      <c r="L315" s="456"/>
      <c r="M315" s="506"/>
      <c r="N315" s="443"/>
      <c r="O315" s="540"/>
      <c r="P315" s="139"/>
      <c r="Q315" s="444"/>
      <c r="R315" s="443"/>
      <c r="S315" s="443"/>
      <c r="T315" s="443"/>
      <c r="U315" s="435"/>
      <c r="V315" s="435"/>
      <c r="W315" s="435"/>
      <c r="X315" s="435"/>
      <c r="Y315" s="435"/>
      <c r="Z315" s="435"/>
      <c r="AA315" s="435"/>
      <c r="AB315" s="435"/>
      <c r="AC315" s="435"/>
      <c r="AD315" s="435"/>
      <c r="AE315" s="435"/>
      <c r="AF315" s="435"/>
      <c r="AG315" s="435"/>
      <c r="AH315" s="435"/>
      <c r="AI315" s="435"/>
      <c r="AJ315" s="435"/>
      <c r="AK315" s="435"/>
      <c r="AL315" s="435"/>
      <c r="AM315" s="435"/>
      <c r="AN315" s="435"/>
      <c r="AO315" s="435"/>
      <c r="AP315" s="435"/>
      <c r="AQ315" s="435"/>
      <c r="AR315" s="435"/>
      <c r="AS315" s="435"/>
      <c r="AT315" s="435"/>
      <c r="AU315" s="435"/>
      <c r="AV315" s="435"/>
      <c r="AW315" s="435"/>
      <c r="AX315" s="435"/>
      <c r="AY315" s="435"/>
      <c r="AZ315" s="435"/>
      <c r="BA315" s="435"/>
      <c r="BB315" s="435"/>
      <c r="BC315" s="435"/>
      <c r="BD315" s="435"/>
      <c r="BE315" s="435"/>
      <c r="BF315" s="435"/>
      <c r="BG315" s="435"/>
      <c r="BH315" s="435"/>
      <c r="BI315" s="435"/>
      <c r="BJ315" s="435"/>
      <c r="BK315" s="435"/>
      <c r="BL315" s="435"/>
    </row>
    <row r="316" spans="1:64" s="433" customFormat="1" ht="18.75" customHeight="1">
      <c r="A316" s="557"/>
      <c r="B316" s="558" t="s">
        <v>763</v>
      </c>
      <c r="C316" s="456"/>
      <c r="D316" s="529"/>
      <c r="E316" s="529"/>
      <c r="F316" s="529"/>
      <c r="G316" s="529"/>
      <c r="H316" s="529"/>
      <c r="I316" s="529"/>
      <c r="J316" s="529"/>
      <c r="K316" s="529"/>
      <c r="L316" s="456"/>
      <c r="M316" s="506"/>
      <c r="N316" s="443"/>
      <c r="O316" s="540"/>
      <c r="P316" s="444"/>
      <c r="Q316" s="444"/>
      <c r="R316" s="443"/>
      <c r="S316" s="443"/>
      <c r="T316" s="443"/>
      <c r="U316" s="435"/>
      <c r="V316" s="435"/>
      <c r="W316" s="435"/>
      <c r="X316" s="435"/>
      <c r="Y316" s="435"/>
      <c r="Z316" s="435"/>
      <c r="AA316" s="435"/>
      <c r="AB316" s="435"/>
      <c r="AC316" s="435"/>
      <c r="AD316" s="435"/>
      <c r="AE316" s="435"/>
      <c r="AF316" s="435"/>
      <c r="AG316" s="435"/>
      <c r="AH316" s="435"/>
      <c r="AI316" s="435"/>
      <c r="AJ316" s="435"/>
      <c r="AK316" s="435"/>
      <c r="AL316" s="435"/>
      <c r="AM316" s="435"/>
      <c r="AN316" s="435"/>
      <c r="AO316" s="435"/>
      <c r="AP316" s="435"/>
      <c r="AQ316" s="435"/>
      <c r="AR316" s="435"/>
      <c r="AS316" s="435"/>
      <c r="AT316" s="435"/>
      <c r="AU316" s="435"/>
      <c r="AV316" s="435"/>
      <c r="AW316" s="435"/>
      <c r="AX316" s="435"/>
      <c r="AY316" s="435"/>
      <c r="AZ316" s="435"/>
      <c r="BA316" s="435"/>
      <c r="BB316" s="435"/>
      <c r="BC316" s="435"/>
      <c r="BD316" s="435"/>
      <c r="BE316" s="435"/>
      <c r="BF316" s="435"/>
      <c r="BG316" s="435"/>
      <c r="BH316" s="435"/>
      <c r="BI316" s="435"/>
      <c r="BJ316" s="435"/>
      <c r="BK316" s="435"/>
      <c r="BL316" s="435"/>
    </row>
    <row r="317" spans="1:64" s="397" customFormat="1"/>
    <row r="318" spans="1:64" s="397" customFormat="1"/>
    <row r="319" spans="1:64" customFormat="1"/>
    <row r="320" spans="1:64" customFormat="1"/>
    <row r="321" customFormat="1" ht="37.5" customHeight="1"/>
    <row r="322" customFormat="1" ht="39.75" customHeight="1"/>
    <row r="323" customFormat="1"/>
    <row r="324" customFormat="1" ht="36.75" customHeight="1"/>
    <row r="325" customFormat="1" ht="37.5" customHeight="1"/>
    <row r="326" customFormat="1" ht="36.75" customHeight="1"/>
    <row r="327" customFormat="1" ht="33" customHeight="1"/>
    <row r="328" customFormat="1" ht="51" customHeight="1"/>
    <row r="329" customFormat="1"/>
    <row r="330" customFormat="1" ht="27.75" customHeight="1"/>
    <row r="331" customFormat="1" ht="36" customHeight="1"/>
    <row r="332" customFormat="1" ht="39" customHeigh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spans="2:20" customFormat="1"/>
    <row r="594" spans="2:20" customFormat="1"/>
    <row r="595" spans="2:20" customFormat="1"/>
    <row r="596" spans="2:20" customFormat="1"/>
    <row r="597" spans="2:20" customFormat="1"/>
    <row r="598" spans="2:20" customFormat="1"/>
    <row r="599" spans="2:20" customFormat="1"/>
    <row r="600" spans="2:20" customFormat="1"/>
    <row r="601" spans="2:20" customFormat="1"/>
    <row r="602" spans="2:20" customFormat="1"/>
    <row r="603" spans="2:20">
      <c r="B603" s="189"/>
      <c r="C603" s="189"/>
      <c r="D603" s="189"/>
      <c r="E603" s="189"/>
      <c r="F603" s="189"/>
      <c r="G603" s="189"/>
      <c r="H603" s="189"/>
      <c r="I603" s="189"/>
      <c r="J603" s="189"/>
      <c r="K603" s="189"/>
      <c r="L603" s="189"/>
      <c r="O603" s="189"/>
      <c r="P603" s="189"/>
      <c r="Q603" s="189"/>
      <c r="R603" s="189"/>
      <c r="S603" s="189"/>
      <c r="T603" s="189"/>
    </row>
    <row r="604" spans="2:20">
      <c r="B604" s="189"/>
      <c r="C604" s="189"/>
      <c r="D604" s="189"/>
      <c r="E604" s="189"/>
      <c r="F604" s="189"/>
      <c r="G604" s="189"/>
      <c r="H604" s="189"/>
      <c r="I604" s="189"/>
      <c r="J604" s="189"/>
      <c r="K604" s="189"/>
      <c r="L604" s="189"/>
      <c r="O604" s="189"/>
      <c r="P604" s="189"/>
      <c r="Q604" s="189"/>
      <c r="R604" s="189"/>
      <c r="S604" s="189"/>
      <c r="T604" s="189"/>
    </row>
  </sheetData>
  <mergeCells count="35">
    <mergeCell ref="H1:L1"/>
    <mergeCell ref="B296:K296"/>
    <mergeCell ref="C274:D274"/>
    <mergeCell ref="I274:K274"/>
    <mergeCell ref="B282:K282"/>
    <mergeCell ref="B283:K283"/>
    <mergeCell ref="B284:K284"/>
    <mergeCell ref="B285:K285"/>
    <mergeCell ref="E294:K294"/>
    <mergeCell ref="E295:K295"/>
    <mergeCell ref="B305:K305"/>
    <mergeCell ref="B304:K304"/>
    <mergeCell ref="B303:K303"/>
    <mergeCell ref="B302:K302"/>
    <mergeCell ref="B301:K301"/>
    <mergeCell ref="B300:K300"/>
    <mergeCell ref="K139:L139"/>
    <mergeCell ref="K206:L206"/>
    <mergeCell ref="K2:L2"/>
    <mergeCell ref="K73:L73"/>
    <mergeCell ref="B288:K288"/>
    <mergeCell ref="B292:K292"/>
    <mergeCell ref="B291:K291"/>
    <mergeCell ref="B287:K287"/>
    <mergeCell ref="B286:K286"/>
    <mergeCell ref="B290:K290"/>
    <mergeCell ref="B289:K289"/>
    <mergeCell ref="B297:K297"/>
    <mergeCell ref="B298:K298"/>
    <mergeCell ref="B299:K299"/>
    <mergeCell ref="B308:K308"/>
    <mergeCell ref="B307:K307"/>
    <mergeCell ref="B306:K306"/>
    <mergeCell ref="B310:K310"/>
    <mergeCell ref="B309:K309"/>
  </mergeCells>
  <phoneticPr fontId="14" type="noConversion"/>
  <pageMargins left="0.25" right="0.33" top="1" bottom="1" header="0.5" footer="0.5"/>
  <pageSetup scale="38"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F20"/>
  <sheetViews>
    <sheetView showGridLines="0" workbookViewId="0">
      <selection activeCell="D8" sqref="D8"/>
    </sheetView>
  </sheetViews>
  <sheetFormatPr defaultRowHeight="12.75"/>
  <cols>
    <col min="2" max="2" width="2.42578125" customWidth="1"/>
    <col min="3" max="3" width="32.42578125" customWidth="1"/>
    <col min="4" max="4" width="27.7109375" bestFit="1" customWidth="1"/>
    <col min="5" max="5" width="17.85546875" customWidth="1"/>
    <col min="6" max="6" width="13.42578125" customWidth="1"/>
    <col min="7" max="7" width="15.28515625" customWidth="1"/>
    <col min="8" max="9" width="1.7109375" customWidth="1"/>
  </cols>
  <sheetData>
    <row r="1" spans="3:6">
      <c r="D1" s="392" t="s">
        <v>733</v>
      </c>
    </row>
    <row r="6" spans="3:6">
      <c r="C6" s="71" t="s">
        <v>602</v>
      </c>
      <c r="D6" s="393" t="s">
        <v>646</v>
      </c>
      <c r="E6" s="393" t="s">
        <v>522</v>
      </c>
      <c r="F6" s="393" t="s">
        <v>647</v>
      </c>
    </row>
    <row r="7" spans="3:6">
      <c r="C7" t="s">
        <v>604</v>
      </c>
      <c r="D7" s="394">
        <f>'BES2_Debt Detail'!E38</f>
        <v>0</v>
      </c>
      <c r="E7" s="394">
        <v>0</v>
      </c>
      <c r="F7" s="394">
        <f>D7-E7</f>
        <v>0</v>
      </c>
    </row>
    <row r="8" spans="3:6">
      <c r="C8" s="459" t="s">
        <v>724</v>
      </c>
      <c r="D8" s="394">
        <f>'BES2_Debt Detail'!H38</f>
        <v>301933</v>
      </c>
      <c r="E8" s="394">
        <v>0</v>
      </c>
      <c r="F8" s="394">
        <f>D8-E8</f>
        <v>301933</v>
      </c>
    </row>
    <row r="9" spans="3:6">
      <c r="D9" s="395">
        <f>SUM(D7:D8)</f>
        <v>301933</v>
      </c>
      <c r="E9" s="395">
        <f>SUM(E7:E8)</f>
        <v>0</v>
      </c>
      <c r="F9" s="395">
        <f>SUM(F7:F8)</f>
        <v>301933</v>
      </c>
    </row>
    <row r="10" spans="3:6">
      <c r="D10" s="394"/>
      <c r="E10" s="394"/>
      <c r="F10" s="394"/>
    </row>
    <row r="11" spans="3:6">
      <c r="D11" s="394"/>
      <c r="E11" s="394"/>
      <c r="F11" s="394"/>
    </row>
    <row r="12" spans="3:6">
      <c r="C12" s="459" t="s">
        <v>54</v>
      </c>
      <c r="F12" s="394"/>
    </row>
    <row r="13" spans="3:6">
      <c r="F13" s="394"/>
    </row>
    <row r="14" spans="3:6">
      <c r="F14" s="394"/>
    </row>
    <row r="15" spans="3:6">
      <c r="F15" s="394"/>
    </row>
    <row r="16" spans="3:6">
      <c r="F16" s="394"/>
    </row>
    <row r="17" spans="6:6">
      <c r="F17" s="394"/>
    </row>
    <row r="18" spans="6:6">
      <c r="F18" s="394"/>
    </row>
    <row r="19" spans="6:6">
      <c r="F19" s="394"/>
    </row>
    <row r="20" spans="6:6">
      <c r="F20" s="394"/>
    </row>
  </sheetData>
  <phoneticPr fontId="0" type="noConversion"/>
  <pageMargins left="0.75" right="0.75" top="1" bottom="1" header="0.5" footer="0.5"/>
  <pageSetup orientation="portrait"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R100"/>
  <sheetViews>
    <sheetView showGridLines="0" topLeftCell="A7" workbookViewId="0">
      <selection activeCell="I28" sqref="I28"/>
    </sheetView>
  </sheetViews>
  <sheetFormatPr defaultRowHeight="12.75"/>
  <cols>
    <col min="2" max="3" width="1.7109375" customWidth="1"/>
    <col min="4" max="4" width="15.140625" style="6" customWidth="1"/>
    <col min="5" max="5" width="12.7109375" bestFit="1" customWidth="1"/>
    <col min="6" max="6" width="13.140625" customWidth="1"/>
    <col min="7" max="7" width="11.140625" customWidth="1"/>
    <col min="8" max="8" width="11.140625" style="482" customWidth="1"/>
    <col min="9" max="10" width="13.140625" customWidth="1"/>
    <col min="11" max="11" width="11" customWidth="1"/>
    <col min="12" max="12" width="11.28515625" bestFit="1" customWidth="1"/>
    <col min="13" max="13" width="1.7109375" customWidth="1"/>
    <col min="14" max="14" width="62" customWidth="1"/>
    <col min="15" max="15" width="34.7109375" customWidth="1"/>
    <col min="16" max="16" width="37" customWidth="1"/>
    <col min="17" max="17" width="11.140625" bestFit="1" customWidth="1"/>
    <col min="18" max="18" width="10.28515625" bestFit="1" customWidth="1"/>
    <col min="19" max="19" width="21.140625" customWidth="1"/>
    <col min="21" max="21" width="11.140625" bestFit="1" customWidth="1"/>
    <col min="22" max="22" width="10.140625" bestFit="1" customWidth="1"/>
    <col min="23" max="23" width="11.140625" bestFit="1" customWidth="1"/>
    <col min="24" max="24" width="12.7109375" bestFit="1" customWidth="1"/>
    <col min="25" max="25" width="11.85546875" bestFit="1" customWidth="1"/>
    <col min="26" max="26" width="12.7109375" bestFit="1" customWidth="1"/>
  </cols>
  <sheetData>
    <row r="3" spans="3:14" ht="4.5" customHeight="1" thickBot="1"/>
    <row r="4" spans="3:14" ht="15.75">
      <c r="C4" s="11"/>
      <c r="D4" s="23" t="s">
        <v>520</v>
      </c>
      <c r="E4" s="12"/>
      <c r="F4" s="12"/>
      <c r="G4" s="12"/>
      <c r="H4" s="12"/>
      <c r="I4" s="12"/>
      <c r="J4" s="12"/>
      <c r="K4" s="12"/>
      <c r="L4" s="13"/>
    </row>
    <row r="5" spans="3:14">
      <c r="C5" s="14"/>
      <c r="D5" s="603" t="s">
        <v>596</v>
      </c>
      <c r="E5" s="603"/>
      <c r="F5" s="603"/>
      <c r="G5" s="603"/>
      <c r="H5" s="603"/>
      <c r="I5" s="603"/>
      <c r="J5" s="603"/>
      <c r="K5" s="603"/>
      <c r="L5" s="17"/>
    </row>
    <row r="6" spans="3:14">
      <c r="C6" s="14"/>
      <c r="D6" s="4" t="s">
        <v>598</v>
      </c>
      <c r="E6" s="464" t="s">
        <v>599</v>
      </c>
      <c r="F6" s="464" t="s">
        <v>600</v>
      </c>
      <c r="G6" s="464" t="s">
        <v>605</v>
      </c>
      <c r="H6" s="491" t="s">
        <v>725</v>
      </c>
      <c r="I6" s="464" t="s">
        <v>601</v>
      </c>
      <c r="J6" s="465" t="s">
        <v>12</v>
      </c>
      <c r="K6" s="465" t="s">
        <v>610</v>
      </c>
      <c r="L6" s="17"/>
      <c r="N6" s="193"/>
    </row>
    <row r="7" spans="3:14">
      <c r="C7" s="14"/>
      <c r="D7" s="331">
        <v>2006</v>
      </c>
      <c r="E7" s="50">
        <v>50477.5</v>
      </c>
      <c r="F7" s="50">
        <v>31665.62</v>
      </c>
      <c r="G7" s="50">
        <v>479.87</v>
      </c>
      <c r="H7" s="50"/>
      <c r="I7" s="50">
        <f>E7+F7+G7</f>
        <v>82622.989999999991</v>
      </c>
      <c r="J7" s="50">
        <v>1119.01</v>
      </c>
      <c r="K7" s="50">
        <f>J7+I7</f>
        <v>83741.999999999985</v>
      </c>
      <c r="L7" s="17"/>
    </row>
    <row r="8" spans="3:14">
      <c r="C8" s="14"/>
      <c r="D8" s="338">
        <v>2007</v>
      </c>
      <c r="E8" s="5">
        <v>46365</v>
      </c>
      <c r="F8" s="5">
        <v>28000</v>
      </c>
      <c r="G8" s="8">
        <v>14893.1</v>
      </c>
      <c r="H8" s="8"/>
      <c r="I8" s="5">
        <f>E8+F8+G8</f>
        <v>89258.1</v>
      </c>
      <c r="J8" s="5">
        <v>213</v>
      </c>
      <c r="K8" s="5">
        <f>I8+J8</f>
        <v>89471.1</v>
      </c>
      <c r="L8" s="17"/>
    </row>
    <row r="9" spans="3:14">
      <c r="C9" s="14"/>
      <c r="D9" s="331">
        <v>2008</v>
      </c>
      <c r="E9" s="50">
        <v>41552.5</v>
      </c>
      <c r="F9" s="50">
        <v>23837.5</v>
      </c>
      <c r="G9" s="387">
        <v>11151</v>
      </c>
      <c r="H9" s="387"/>
      <c r="I9" s="50">
        <f t="shared" ref="I9:I13" si="0">E9+F9+G9</f>
        <v>76541</v>
      </c>
      <c r="J9" s="50">
        <f>K9-I9</f>
        <v>577</v>
      </c>
      <c r="K9" s="50">
        <v>77118</v>
      </c>
      <c r="L9" s="17"/>
    </row>
    <row r="10" spans="3:14">
      <c r="C10" s="14"/>
      <c r="D10" s="331">
        <v>2009</v>
      </c>
      <c r="E10" s="50">
        <v>36322.5</v>
      </c>
      <c r="F10" s="50">
        <v>19075</v>
      </c>
      <c r="G10" s="387">
        <v>5075.1000000000004</v>
      </c>
      <c r="H10" s="387"/>
      <c r="I10" s="50">
        <f t="shared" si="0"/>
        <v>60472.6</v>
      </c>
      <c r="J10" s="50">
        <f>K10-I10</f>
        <v>773.40000000000146</v>
      </c>
      <c r="K10" s="5">
        <v>61246</v>
      </c>
      <c r="L10" s="17"/>
    </row>
    <row r="11" spans="3:14">
      <c r="C11" s="14"/>
      <c r="D11" s="407">
        <v>2010</v>
      </c>
      <c r="E11" s="408">
        <v>30157.49</v>
      </c>
      <c r="F11" s="408">
        <v>13072.02</v>
      </c>
      <c r="G11" s="408"/>
      <c r="H11" s="408"/>
      <c r="I11" s="408">
        <f t="shared" si="0"/>
        <v>43229.51</v>
      </c>
      <c r="J11" s="408">
        <f>K11-I11</f>
        <v>65.489999999997963</v>
      </c>
      <c r="K11" s="408">
        <v>43295</v>
      </c>
      <c r="L11" s="17"/>
    </row>
    <row r="12" spans="3:14">
      <c r="C12" s="14"/>
      <c r="D12" s="331">
        <v>2011</v>
      </c>
      <c r="E12" s="50">
        <v>24605</v>
      </c>
      <c r="F12" s="50">
        <v>6480</v>
      </c>
      <c r="G12" s="389"/>
      <c r="H12" s="389"/>
      <c r="I12" s="50">
        <f t="shared" si="0"/>
        <v>31085</v>
      </c>
      <c r="J12" s="50"/>
      <c r="K12" s="50">
        <v>31085</v>
      </c>
      <c r="L12" s="17"/>
    </row>
    <row r="13" spans="3:14">
      <c r="C13" s="14"/>
      <c r="D13" s="331">
        <v>2012</v>
      </c>
      <c r="E13" s="50">
        <v>18305</v>
      </c>
      <c r="F13" s="50">
        <f>19659-E13</f>
        <v>1354</v>
      </c>
      <c r="G13" s="50"/>
      <c r="H13" s="50"/>
      <c r="I13" s="50">
        <f t="shared" si="0"/>
        <v>19659</v>
      </c>
      <c r="J13" s="50"/>
      <c r="K13" s="50">
        <v>19659</v>
      </c>
      <c r="L13" s="17"/>
    </row>
    <row r="14" spans="3:14">
      <c r="C14" s="14"/>
      <c r="D14" s="331">
        <v>2013</v>
      </c>
      <c r="E14" s="50">
        <f>13736-H14</f>
        <v>10300.897014217353</v>
      </c>
      <c r="F14" s="50">
        <v>0</v>
      </c>
      <c r="G14" s="50"/>
      <c r="H14" s="50">
        <f>R46</f>
        <v>3435.1029857826479</v>
      </c>
      <c r="I14" s="50">
        <f>E14+F14+G14+H14</f>
        <v>13736</v>
      </c>
      <c r="J14" s="389"/>
      <c r="K14" s="50">
        <f>I14+J14</f>
        <v>13736</v>
      </c>
      <c r="L14" s="17"/>
    </row>
    <row r="15" spans="3:14">
      <c r="C15" s="14"/>
      <c r="D15" s="388">
        <v>2014</v>
      </c>
      <c r="E15" s="389">
        <v>3840</v>
      </c>
      <c r="F15" s="389">
        <v>0</v>
      </c>
      <c r="G15" s="389"/>
      <c r="H15" s="389">
        <v>5807</v>
      </c>
      <c r="I15" s="389">
        <f>E15+F15+G15+H15</f>
        <v>9647</v>
      </c>
      <c r="J15" s="5"/>
      <c r="K15" s="389">
        <f>I15+J15</f>
        <v>9647</v>
      </c>
      <c r="L15" s="504" t="s">
        <v>54</v>
      </c>
    </row>
    <row r="16" spans="3:14">
      <c r="C16" s="14"/>
      <c r="D16" s="7">
        <v>2015</v>
      </c>
      <c r="E16" s="5" t="s">
        <v>595</v>
      </c>
      <c r="F16" s="5" t="s">
        <v>595</v>
      </c>
      <c r="G16" s="5"/>
      <c r="H16" s="5"/>
      <c r="I16" s="5"/>
      <c r="J16" s="5"/>
      <c r="K16" s="5"/>
      <c r="L16" s="17"/>
    </row>
    <row r="17" spans="3:12">
      <c r="C17" s="14"/>
      <c r="D17" s="24" t="s">
        <v>610</v>
      </c>
      <c r="E17" s="25">
        <f>SUM(E10:E16)</f>
        <v>123530.88701421735</v>
      </c>
      <c r="F17" s="25">
        <f>SUM(F10:F16)</f>
        <v>39981.020000000004</v>
      </c>
      <c r="G17" s="25">
        <f>SUM(G10:G16)</f>
        <v>5075.1000000000004</v>
      </c>
      <c r="H17" s="25">
        <f>SUM(H10:H16)</f>
        <v>9242.102985782647</v>
      </c>
      <c r="I17" s="25">
        <f>SUM(I10:I16)</f>
        <v>177829.11</v>
      </c>
      <c r="J17" s="25"/>
      <c r="K17" s="25"/>
      <c r="L17" s="17"/>
    </row>
    <row r="18" spans="3:12">
      <c r="C18" s="14"/>
      <c r="D18" s="603" t="s">
        <v>597</v>
      </c>
      <c r="E18" s="603"/>
      <c r="F18" s="603"/>
      <c r="G18" s="603"/>
      <c r="H18" s="603"/>
      <c r="I18" s="603"/>
      <c r="J18" s="603"/>
      <c r="K18" s="603"/>
      <c r="L18" s="17"/>
    </row>
    <row r="19" spans="3:12">
      <c r="C19" s="14"/>
      <c r="D19" s="4" t="s">
        <v>598</v>
      </c>
      <c r="E19" s="464" t="s">
        <v>599</v>
      </c>
      <c r="F19" s="464" t="s">
        <v>600</v>
      </c>
      <c r="G19" s="464" t="s">
        <v>605</v>
      </c>
      <c r="H19" s="492" t="s">
        <v>725</v>
      </c>
      <c r="I19" s="466" t="s">
        <v>601</v>
      </c>
      <c r="J19" s="52"/>
      <c r="K19" s="53"/>
      <c r="L19" s="17"/>
    </row>
    <row r="20" spans="3:12">
      <c r="C20" s="14"/>
      <c r="D20" s="331">
        <v>2006</v>
      </c>
      <c r="E20" s="50">
        <v>120000</v>
      </c>
      <c r="F20" s="50">
        <v>175000</v>
      </c>
      <c r="G20" s="50"/>
      <c r="H20" s="485"/>
      <c r="I20" s="332">
        <f>E20+F20+G20</f>
        <v>295000</v>
      </c>
      <c r="J20" s="53"/>
      <c r="K20" s="53"/>
      <c r="L20" s="17"/>
    </row>
    <row r="21" spans="3:12">
      <c r="C21" s="14"/>
      <c r="D21" s="338">
        <v>2007</v>
      </c>
      <c r="E21" s="339">
        <v>125000</v>
      </c>
      <c r="F21" s="339">
        <v>180000</v>
      </c>
      <c r="G21" s="340">
        <v>130000</v>
      </c>
      <c r="H21" s="486"/>
      <c r="I21" s="341">
        <f>E21+F21+G21</f>
        <v>435000</v>
      </c>
      <c r="J21" s="10"/>
      <c r="K21" s="10"/>
      <c r="L21" s="17"/>
    </row>
    <row r="22" spans="3:12">
      <c r="C22" s="14"/>
      <c r="D22" s="331">
        <v>2008</v>
      </c>
      <c r="E22" s="50">
        <v>125000</v>
      </c>
      <c r="F22" s="50">
        <v>190000</v>
      </c>
      <c r="G22" s="387">
        <v>135000</v>
      </c>
      <c r="H22" s="487"/>
      <c r="I22" s="332">
        <f t="shared" ref="I22:I26" si="1">E22+F22+G22</f>
        <v>450000</v>
      </c>
      <c r="J22" s="10"/>
      <c r="K22" s="10"/>
      <c r="L22" s="17"/>
    </row>
    <row r="23" spans="3:12">
      <c r="C23" s="14"/>
      <c r="D23" s="331">
        <v>2009</v>
      </c>
      <c r="E23" s="50">
        <v>130000</v>
      </c>
      <c r="F23" s="50">
        <v>210000</v>
      </c>
      <c r="G23" s="387">
        <v>145000</v>
      </c>
      <c r="H23" s="487"/>
      <c r="I23" s="332">
        <f t="shared" si="1"/>
        <v>485000</v>
      </c>
      <c r="J23" s="10"/>
      <c r="K23" s="10"/>
      <c r="L23" s="17"/>
    </row>
    <row r="24" spans="3:12">
      <c r="C24" s="14"/>
      <c r="D24" s="407">
        <v>2010</v>
      </c>
      <c r="E24" s="408">
        <v>135000</v>
      </c>
      <c r="F24" s="408">
        <v>210000</v>
      </c>
      <c r="G24" s="408"/>
      <c r="H24" s="488"/>
      <c r="I24" s="409">
        <f t="shared" si="1"/>
        <v>345000</v>
      </c>
      <c r="J24" s="10"/>
      <c r="K24" s="10"/>
      <c r="L24" s="17"/>
    </row>
    <row r="25" spans="3:12">
      <c r="C25" s="14"/>
      <c r="D25" s="331">
        <v>2011</v>
      </c>
      <c r="E25" s="50">
        <v>140000</v>
      </c>
      <c r="F25" s="50">
        <v>215000</v>
      </c>
      <c r="G25" s="50"/>
      <c r="H25" s="485"/>
      <c r="I25" s="332">
        <f t="shared" si="1"/>
        <v>355000</v>
      </c>
      <c r="J25" s="10"/>
      <c r="K25" s="10"/>
      <c r="L25" s="17"/>
    </row>
    <row r="26" spans="3:12">
      <c r="C26" s="14"/>
      <c r="D26" s="331">
        <v>2012</v>
      </c>
      <c r="E26" s="50">
        <v>140000</v>
      </c>
      <c r="F26" s="50">
        <v>130000</v>
      </c>
      <c r="G26" s="50"/>
      <c r="H26" s="485"/>
      <c r="I26" s="332">
        <f t="shared" si="1"/>
        <v>270000</v>
      </c>
      <c r="J26" s="10"/>
      <c r="K26" s="10"/>
      <c r="L26" s="17"/>
    </row>
    <row r="27" spans="3:12">
      <c r="C27" s="14"/>
      <c r="D27" s="331">
        <v>2013</v>
      </c>
      <c r="E27" s="408">
        <v>160000</v>
      </c>
      <c r="F27" s="408">
        <v>0</v>
      </c>
      <c r="G27" s="408"/>
      <c r="H27" s="488">
        <f>426000-384991</f>
        <v>41009</v>
      </c>
      <c r="I27" s="409">
        <f>E27+F27+G27+H27</f>
        <v>201009</v>
      </c>
      <c r="J27" s="10"/>
      <c r="K27" s="10"/>
      <c r="L27" s="17"/>
    </row>
    <row r="28" spans="3:12">
      <c r="C28" s="14"/>
      <c r="D28" s="388">
        <v>2014</v>
      </c>
      <c r="E28" s="389">
        <v>160000</v>
      </c>
      <c r="F28" s="389">
        <v>0</v>
      </c>
      <c r="G28" s="389"/>
      <c r="H28" s="489">
        <f>236083-E28</f>
        <v>76083</v>
      </c>
      <c r="I28" s="390">
        <f>E28+F28+G28+H28</f>
        <v>236083</v>
      </c>
      <c r="J28" s="10"/>
      <c r="K28" s="10"/>
      <c r="L28" s="17"/>
    </row>
    <row r="29" spans="3:12" s="482" customFormat="1">
      <c r="C29" s="14"/>
      <c r="D29" s="7">
        <v>2015</v>
      </c>
      <c r="E29" s="5"/>
      <c r="F29" s="5"/>
      <c r="G29" s="5"/>
      <c r="H29" s="490">
        <v>77371</v>
      </c>
      <c r="I29" s="332">
        <f t="shared" ref="I29:I32" si="2">E29+F29+G29+H29</f>
        <v>77371</v>
      </c>
      <c r="J29" s="10"/>
      <c r="K29" s="10"/>
      <c r="L29" s="17"/>
    </row>
    <row r="30" spans="3:12" s="482" customFormat="1">
      <c r="C30" s="14"/>
      <c r="D30" s="7">
        <v>2016</v>
      </c>
      <c r="E30" s="5"/>
      <c r="F30" s="5"/>
      <c r="G30" s="5"/>
      <c r="H30" s="490">
        <v>85774</v>
      </c>
      <c r="I30" s="332">
        <f t="shared" si="2"/>
        <v>85774</v>
      </c>
      <c r="J30" s="10"/>
      <c r="K30" s="10"/>
      <c r="L30" s="17"/>
    </row>
    <row r="31" spans="3:12" s="482" customFormat="1">
      <c r="C31" s="14"/>
      <c r="D31" s="7">
        <v>2017</v>
      </c>
      <c r="E31" s="5"/>
      <c r="F31" s="5"/>
      <c r="G31" s="5"/>
      <c r="H31" s="490">
        <v>87226</v>
      </c>
      <c r="I31" s="332">
        <f t="shared" si="2"/>
        <v>87226</v>
      </c>
      <c r="J31" s="10"/>
      <c r="K31" s="10"/>
      <c r="L31" s="17"/>
    </row>
    <row r="32" spans="3:12" s="482" customFormat="1">
      <c r="C32" s="14"/>
      <c r="D32" s="7">
        <v>2018</v>
      </c>
      <c r="E32" s="5"/>
      <c r="F32" s="5"/>
      <c r="G32" s="5"/>
      <c r="H32" s="490">
        <v>51562</v>
      </c>
      <c r="I32" s="332">
        <f t="shared" si="2"/>
        <v>51562</v>
      </c>
      <c r="J32" s="10"/>
      <c r="K32" s="10"/>
      <c r="L32" s="17"/>
    </row>
    <row r="33" spans="3:18" s="482" customFormat="1">
      <c r="C33" s="14"/>
      <c r="D33" s="7">
        <v>2019</v>
      </c>
      <c r="E33" s="5"/>
      <c r="F33" s="5"/>
      <c r="G33" s="5"/>
      <c r="H33" s="490"/>
      <c r="I33" s="54"/>
      <c r="J33" s="10"/>
      <c r="K33" s="10"/>
      <c r="L33" s="17"/>
    </row>
    <row r="34" spans="3:18" s="482" customFormat="1">
      <c r="C34" s="14"/>
      <c r="D34" s="7">
        <v>2020</v>
      </c>
      <c r="E34" s="5"/>
      <c r="F34" s="5"/>
      <c r="G34" s="5"/>
      <c r="H34" s="490"/>
      <c r="I34" s="54"/>
      <c r="J34" s="10"/>
      <c r="K34" s="10"/>
      <c r="L34" s="17"/>
    </row>
    <row r="35" spans="3:18" s="482" customFormat="1">
      <c r="C35" s="14"/>
      <c r="D35" s="7">
        <v>2021</v>
      </c>
      <c r="E35" s="5"/>
      <c r="F35" s="5"/>
      <c r="G35" s="5"/>
      <c r="H35" s="490"/>
      <c r="I35" s="54"/>
      <c r="J35" s="10"/>
      <c r="K35" s="10"/>
      <c r="L35" s="17"/>
    </row>
    <row r="36" spans="3:18">
      <c r="C36" s="14"/>
      <c r="D36" s="7">
        <v>2022</v>
      </c>
      <c r="E36" s="5" t="s">
        <v>595</v>
      </c>
      <c r="F36" s="5" t="s">
        <v>595</v>
      </c>
      <c r="G36" s="5"/>
      <c r="H36" s="490"/>
      <c r="I36" s="54"/>
      <c r="J36" s="10"/>
      <c r="K36" s="10"/>
      <c r="L36" s="17"/>
    </row>
    <row r="37" spans="3:18">
      <c r="C37" s="14"/>
      <c r="D37" s="9" t="s">
        <v>611</v>
      </c>
      <c r="E37" s="10"/>
      <c r="F37" s="10"/>
      <c r="G37" s="10"/>
      <c r="H37" s="10"/>
      <c r="I37" s="10"/>
      <c r="J37" s="10"/>
      <c r="K37" s="10"/>
      <c r="L37" s="17"/>
    </row>
    <row r="38" spans="3:18" ht="16.5" customHeight="1" thickBot="1">
      <c r="C38" s="18"/>
      <c r="D38" s="27" t="s">
        <v>609</v>
      </c>
      <c r="E38" s="26">
        <f>SUM(E29:E37)</f>
        <v>0</v>
      </c>
      <c r="F38" s="26">
        <f>SUM(F29:F37)</f>
        <v>0</v>
      </c>
      <c r="G38" s="26">
        <f>SUM(G28:G37)</f>
        <v>0</v>
      </c>
      <c r="H38" s="26">
        <f>SUM(H29:H37)</f>
        <v>301933</v>
      </c>
      <c r="I38" s="26">
        <f>SUM(I29:I37)</f>
        <v>301933</v>
      </c>
      <c r="J38" s="26"/>
      <c r="K38" s="26"/>
      <c r="L38" s="20"/>
      <c r="N38">
        <v>60</v>
      </c>
    </row>
    <row r="39" spans="3:18" ht="15.75" customHeight="1">
      <c r="N39">
        <v>1.6799999999999999E-2</v>
      </c>
    </row>
    <row r="40" spans="3:18">
      <c r="N40">
        <v>426000</v>
      </c>
      <c r="P40" s="495" t="s">
        <v>726</v>
      </c>
    </row>
    <row r="41" spans="3:18" ht="14.25">
      <c r="D41" s="333" t="s">
        <v>54</v>
      </c>
      <c r="E41" s="334"/>
      <c r="F41" s="334"/>
      <c r="G41" s="334"/>
      <c r="H41" s="334"/>
      <c r="I41" s="334"/>
      <c r="J41" s="334"/>
      <c r="K41" s="334"/>
      <c r="L41" s="334"/>
      <c r="M41" s="334"/>
      <c r="N41" s="493">
        <f>-PMT(N39/12,N38,N40)</f>
        <v>7407.3402316640804</v>
      </c>
      <c r="O41" s="460">
        <f>N39/12*N40</f>
        <v>596.4</v>
      </c>
      <c r="P41" s="494">
        <f>N40-N41+O41</f>
        <v>419189.05976833595</v>
      </c>
    </row>
    <row r="42" spans="3:18">
      <c r="D42" s="334" t="s">
        <v>54</v>
      </c>
      <c r="E42" s="334"/>
      <c r="F42" s="334"/>
      <c r="G42" s="334"/>
      <c r="H42" s="334"/>
      <c r="I42" s="334"/>
      <c r="J42" s="334"/>
      <c r="K42" s="334"/>
      <c r="L42" s="334"/>
      <c r="M42" s="334"/>
      <c r="N42" s="334"/>
      <c r="O42" s="460">
        <f>N$39/12*P41</f>
        <v>586.86468367567034</v>
      </c>
      <c r="P42" s="494">
        <f>P41*N$39/12+P41-N$41</f>
        <v>412368.58422034758</v>
      </c>
    </row>
    <row r="43" spans="3:18">
      <c r="O43" s="460">
        <f t="shared" ref="O43:O100" si="3">N$39/12*P42</f>
        <v>577.31601790848663</v>
      </c>
      <c r="P43" s="494">
        <f t="shared" ref="P43:P100" si="4">P42*N$39/12+P42-N$41</f>
        <v>405538.56000659202</v>
      </c>
    </row>
    <row r="44" spans="3:18">
      <c r="O44" s="460">
        <f t="shared" si="3"/>
        <v>567.75398400922882</v>
      </c>
      <c r="P44" s="494">
        <f t="shared" si="4"/>
        <v>398698.97375893715</v>
      </c>
    </row>
    <row r="45" spans="3:18">
      <c r="D45" s="391" t="s">
        <v>54</v>
      </c>
      <c r="O45" s="460">
        <f t="shared" si="3"/>
        <v>558.17856326251206</v>
      </c>
      <c r="P45" s="494">
        <f t="shared" si="4"/>
        <v>391849.81209053559</v>
      </c>
    </row>
    <row r="46" spans="3:18">
      <c r="D46" s="391" t="s">
        <v>54</v>
      </c>
      <c r="G46" s="410" t="s">
        <v>54</v>
      </c>
      <c r="H46" s="410"/>
      <c r="O46" s="460">
        <f t="shared" si="3"/>
        <v>548.58973692674977</v>
      </c>
      <c r="P46" s="494">
        <f t="shared" si="4"/>
        <v>384991.0615957983</v>
      </c>
      <c r="Q46" s="496">
        <v>41639</v>
      </c>
      <c r="R46" s="421">
        <f>SUM(O41:O46)</f>
        <v>3435.1029857826479</v>
      </c>
    </row>
    <row r="47" spans="3:18">
      <c r="D47" s="391" t="s">
        <v>54</v>
      </c>
      <c r="G47" s="410" t="s">
        <v>54</v>
      </c>
      <c r="H47" s="410"/>
      <c r="O47" s="460">
        <f t="shared" si="3"/>
        <v>538.98748623411757</v>
      </c>
      <c r="P47" s="494">
        <f t="shared" si="4"/>
        <v>378122.70885036833</v>
      </c>
    </row>
    <row r="48" spans="3:18">
      <c r="D48" s="391" t="s">
        <v>54</v>
      </c>
      <c r="G48" s="411" t="s">
        <v>54</v>
      </c>
      <c r="H48" s="411"/>
      <c r="O48" s="460">
        <f t="shared" si="3"/>
        <v>529.37179239051568</v>
      </c>
      <c r="P48" s="494">
        <f t="shared" si="4"/>
        <v>371244.7404110948</v>
      </c>
    </row>
    <row r="49" spans="4:16">
      <c r="O49" s="460">
        <f t="shared" si="3"/>
        <v>519.74263657553274</v>
      </c>
      <c r="P49" s="494">
        <f t="shared" si="4"/>
        <v>364357.14281600626</v>
      </c>
    </row>
    <row r="50" spans="4:16">
      <c r="O50" s="460">
        <f t="shared" si="3"/>
        <v>510.09999994240877</v>
      </c>
      <c r="P50" s="494">
        <f t="shared" si="4"/>
        <v>357459.9025842846</v>
      </c>
    </row>
    <row r="51" spans="4:16">
      <c r="D51"/>
      <c r="O51" s="460">
        <f t="shared" si="3"/>
        <v>500.44386361799843</v>
      </c>
      <c r="P51" s="494">
        <f t="shared" si="4"/>
        <v>350553.00621623854</v>
      </c>
    </row>
    <row r="52" spans="4:16">
      <c r="D52"/>
      <c r="O52" s="460">
        <f t="shared" si="3"/>
        <v>490.77420870273397</v>
      </c>
      <c r="P52" s="494">
        <f t="shared" si="4"/>
        <v>343636.4401932772</v>
      </c>
    </row>
    <row r="53" spans="4:16">
      <c r="D53"/>
      <c r="O53" s="460">
        <f t="shared" si="3"/>
        <v>481.09101627058806</v>
      </c>
      <c r="P53" s="494">
        <f t="shared" si="4"/>
        <v>336710.1909778837</v>
      </c>
    </row>
    <row r="54" spans="4:16">
      <c r="D54"/>
      <c r="O54" s="460">
        <f t="shared" si="3"/>
        <v>471.39426736903715</v>
      </c>
      <c r="P54" s="494">
        <f t="shared" si="4"/>
        <v>329774.24501358869</v>
      </c>
    </row>
    <row r="55" spans="4:16">
      <c r="D55"/>
      <c r="O55" s="460">
        <f t="shared" si="3"/>
        <v>461.68394301902418</v>
      </c>
      <c r="P55" s="494">
        <f t="shared" si="4"/>
        <v>322828.58872494363</v>
      </c>
    </row>
    <row r="56" spans="4:16">
      <c r="D56"/>
      <c r="O56" s="460">
        <f t="shared" si="3"/>
        <v>451.96002421492108</v>
      </c>
      <c r="P56" s="494">
        <f t="shared" si="4"/>
        <v>315873.2085174945</v>
      </c>
    </row>
    <row r="57" spans="4:16">
      <c r="D57"/>
      <c r="O57" s="460">
        <f t="shared" si="3"/>
        <v>442.22249192449226</v>
      </c>
      <c r="P57" s="494">
        <f t="shared" si="4"/>
        <v>308908.0907777549</v>
      </c>
    </row>
    <row r="58" spans="4:16">
      <c r="D58"/>
      <c r="O58" s="460">
        <f t="shared" si="3"/>
        <v>432.47132708885687</v>
      </c>
      <c r="P58" s="494">
        <f t="shared" si="4"/>
        <v>301933.22187317966</v>
      </c>
    </row>
    <row r="59" spans="4:16">
      <c r="D59"/>
      <c r="O59" s="460">
        <f t="shared" si="3"/>
        <v>422.7065106224515</v>
      </c>
      <c r="P59" s="494">
        <f t="shared" si="4"/>
        <v>294948.58815213805</v>
      </c>
    </row>
    <row r="60" spans="4:16">
      <c r="D60"/>
      <c r="O60" s="460">
        <f t="shared" si="3"/>
        <v>412.92802341299324</v>
      </c>
      <c r="P60" s="494">
        <f t="shared" si="4"/>
        <v>287954.17594388698</v>
      </c>
    </row>
    <row r="61" spans="4:16">
      <c r="D61"/>
      <c r="O61" s="460">
        <f t="shared" si="3"/>
        <v>403.13584632144176</v>
      </c>
      <c r="P61" s="494">
        <f t="shared" si="4"/>
        <v>280949.97155854432</v>
      </c>
    </row>
    <row r="62" spans="4:16">
      <c r="D62"/>
      <c r="O62" s="460">
        <f t="shared" si="3"/>
        <v>393.32996018196206</v>
      </c>
      <c r="P62" s="494">
        <f t="shared" si="4"/>
        <v>273935.96128706221</v>
      </c>
    </row>
    <row r="63" spans="4:16">
      <c r="D63" s="76"/>
      <c r="O63" s="460">
        <f t="shared" si="3"/>
        <v>383.51034580188707</v>
      </c>
      <c r="P63" s="494">
        <f t="shared" si="4"/>
        <v>266912.13140120002</v>
      </c>
    </row>
    <row r="64" spans="4:16">
      <c r="D64" s="76"/>
      <c r="O64" s="460">
        <f t="shared" si="3"/>
        <v>373.67698396168004</v>
      </c>
      <c r="P64" s="494">
        <f t="shared" si="4"/>
        <v>259878.46815349761</v>
      </c>
    </row>
    <row r="65" spans="15:16">
      <c r="O65" s="460">
        <f t="shared" si="3"/>
        <v>363.82985541489666</v>
      </c>
      <c r="P65" s="494">
        <f t="shared" si="4"/>
        <v>252834.95777724843</v>
      </c>
    </row>
    <row r="66" spans="15:16">
      <c r="O66" s="460">
        <f t="shared" si="3"/>
        <v>353.96894088814781</v>
      </c>
      <c r="P66" s="494">
        <f t="shared" si="4"/>
        <v>245781.58648647252</v>
      </c>
    </row>
    <row r="67" spans="15:16">
      <c r="O67" s="460">
        <f t="shared" si="3"/>
        <v>344.09422108106151</v>
      </c>
      <c r="P67" s="494">
        <f t="shared" si="4"/>
        <v>238718.3404758895</v>
      </c>
    </row>
    <row r="68" spans="15:16">
      <c r="O68" s="460">
        <f t="shared" si="3"/>
        <v>334.20567666624532</v>
      </c>
      <c r="P68" s="494">
        <f t="shared" si="4"/>
        <v>231645.20592089169</v>
      </c>
    </row>
    <row r="69" spans="15:16">
      <c r="O69" s="460">
        <f t="shared" si="3"/>
        <v>324.30328828924837</v>
      </c>
      <c r="P69" s="494">
        <f t="shared" si="4"/>
        <v>224562.16897751688</v>
      </c>
    </row>
    <row r="70" spans="15:16">
      <c r="O70" s="460">
        <f t="shared" si="3"/>
        <v>314.38703656852363</v>
      </c>
      <c r="P70" s="494">
        <f t="shared" si="4"/>
        <v>217469.21578242132</v>
      </c>
    </row>
    <row r="71" spans="15:16">
      <c r="O71" s="460">
        <f t="shared" si="3"/>
        <v>304.45690209538986</v>
      </c>
      <c r="P71" s="494">
        <f t="shared" si="4"/>
        <v>210366.33245285263</v>
      </c>
    </row>
    <row r="72" spans="15:16">
      <c r="O72" s="460">
        <f t="shared" si="3"/>
        <v>294.51286543399368</v>
      </c>
      <c r="P72" s="494">
        <f t="shared" si="4"/>
        <v>203253.50508662255</v>
      </c>
    </row>
    <row r="73" spans="15:16">
      <c r="O73" s="460">
        <f t="shared" si="3"/>
        <v>284.55490712127158</v>
      </c>
      <c r="P73" s="494">
        <f t="shared" si="4"/>
        <v>196130.71976207974</v>
      </c>
    </row>
    <row r="74" spans="15:16">
      <c r="O74" s="460">
        <f t="shared" si="3"/>
        <v>274.58300766691161</v>
      </c>
      <c r="P74" s="494">
        <f t="shared" si="4"/>
        <v>188997.96253808259</v>
      </c>
    </row>
    <row r="75" spans="15:16">
      <c r="O75" s="460">
        <f t="shared" si="3"/>
        <v>264.59714755331561</v>
      </c>
      <c r="P75" s="494">
        <f t="shared" si="4"/>
        <v>181855.21945397183</v>
      </c>
    </row>
    <row r="76" spans="15:16">
      <c r="O76" s="460">
        <f t="shared" si="3"/>
        <v>254.59730723556055</v>
      </c>
      <c r="P76" s="494">
        <f t="shared" si="4"/>
        <v>174702.47652954332</v>
      </c>
    </row>
    <row r="77" spans="15:16">
      <c r="O77" s="460">
        <f t="shared" si="3"/>
        <v>244.58346714136064</v>
      </c>
      <c r="P77" s="494">
        <f t="shared" si="4"/>
        <v>167539.71976502059</v>
      </c>
    </row>
    <row r="78" spans="15:16">
      <c r="O78" s="460">
        <f t="shared" si="3"/>
        <v>234.55560767102884</v>
      </c>
      <c r="P78" s="494">
        <f t="shared" si="4"/>
        <v>160366.93514102756</v>
      </c>
    </row>
    <row r="79" spans="15:16">
      <c r="O79" s="460">
        <f t="shared" si="3"/>
        <v>224.51370919743857</v>
      </c>
      <c r="P79" s="494">
        <f t="shared" si="4"/>
        <v>153184.10861856092</v>
      </c>
    </row>
    <row r="80" spans="15:16">
      <c r="O80" s="460">
        <f t="shared" si="3"/>
        <v>214.45775206598529</v>
      </c>
      <c r="P80" s="494">
        <f t="shared" si="4"/>
        <v>145991.22613896284</v>
      </c>
    </row>
    <row r="81" spans="15:16">
      <c r="O81" s="460">
        <f t="shared" si="3"/>
        <v>204.38771659454798</v>
      </c>
      <c r="P81" s="494">
        <f t="shared" si="4"/>
        <v>138788.27362389333</v>
      </c>
    </row>
    <row r="82" spans="15:16">
      <c r="O82" s="460">
        <f t="shared" si="3"/>
        <v>194.30358307345065</v>
      </c>
      <c r="P82" s="494">
        <f t="shared" si="4"/>
        <v>131575.23697530272</v>
      </c>
    </row>
    <row r="83" spans="15:16">
      <c r="O83" s="460">
        <f t="shared" si="3"/>
        <v>184.20533176542381</v>
      </c>
      <c r="P83" s="494">
        <f t="shared" si="4"/>
        <v>124352.10207540407</v>
      </c>
    </row>
    <row r="84" spans="15:16">
      <c r="O84" s="460">
        <f t="shared" si="3"/>
        <v>174.09294290556568</v>
      </c>
      <c r="P84" s="494">
        <f t="shared" si="4"/>
        <v>117118.85478664555</v>
      </c>
    </row>
    <row r="85" spans="15:16">
      <c r="O85" s="460">
        <f t="shared" si="3"/>
        <v>163.96639670130378</v>
      </c>
      <c r="P85" s="494">
        <f t="shared" si="4"/>
        <v>109875.48095168277</v>
      </c>
    </row>
    <row r="86" spans="15:16">
      <c r="O86" s="460">
        <f t="shared" si="3"/>
        <v>153.82567333235588</v>
      </c>
      <c r="P86" s="494">
        <f t="shared" si="4"/>
        <v>102621.96639335103</v>
      </c>
    </row>
    <row r="87" spans="15:16">
      <c r="O87" s="460">
        <f t="shared" si="3"/>
        <v>143.67075295069145</v>
      </c>
      <c r="P87" s="494">
        <f t="shared" si="4"/>
        <v>95358.296914637642</v>
      </c>
    </row>
    <row r="88" spans="15:16">
      <c r="O88" s="460">
        <f t="shared" si="3"/>
        <v>133.5016156804927</v>
      </c>
      <c r="P88" s="494">
        <f t="shared" si="4"/>
        <v>88084.458298654048</v>
      </c>
    </row>
    <row r="89" spans="15:16">
      <c r="O89" s="460">
        <f t="shared" si="3"/>
        <v>123.31824161811566</v>
      </c>
      <c r="P89" s="494">
        <f t="shared" si="4"/>
        <v>80800.436308608085</v>
      </c>
    </row>
    <row r="90" spans="15:16">
      <c r="O90" s="460">
        <f t="shared" si="3"/>
        <v>113.12061083205131</v>
      </c>
      <c r="P90" s="494">
        <f t="shared" si="4"/>
        <v>73506.216687776046</v>
      </c>
    </row>
    <row r="91" spans="15:16">
      <c r="O91" s="460">
        <f t="shared" si="3"/>
        <v>102.90870336288647</v>
      </c>
      <c r="P91" s="494">
        <f t="shared" si="4"/>
        <v>66201.78515947485</v>
      </c>
    </row>
    <row r="92" spans="15:16">
      <c r="O92" s="460">
        <f t="shared" si="3"/>
        <v>92.682499223264784</v>
      </c>
      <c r="P92" s="494">
        <f t="shared" si="4"/>
        <v>58887.127427034029</v>
      </c>
    </row>
    <row r="93" spans="15:16">
      <c r="O93" s="460">
        <f t="shared" si="3"/>
        <v>82.441978397847635</v>
      </c>
      <c r="P93" s="494">
        <f t="shared" si="4"/>
        <v>51562.229173767795</v>
      </c>
    </row>
    <row r="94" spans="15:16">
      <c r="O94" s="460">
        <f t="shared" si="3"/>
        <v>72.187120843274911</v>
      </c>
      <c r="P94" s="494">
        <f t="shared" si="4"/>
        <v>44227.076062946995</v>
      </c>
    </row>
    <row r="95" spans="15:16">
      <c r="O95" s="460">
        <f t="shared" si="3"/>
        <v>61.917906488125794</v>
      </c>
      <c r="P95" s="494">
        <f t="shared" si="4"/>
        <v>36881.653737771041</v>
      </c>
    </row>
    <row r="96" spans="15:16">
      <c r="O96" s="460">
        <f t="shared" si="3"/>
        <v>51.634315232879459</v>
      </c>
      <c r="P96" s="494">
        <f t="shared" si="4"/>
        <v>29525.94782133984</v>
      </c>
    </row>
    <row r="97" spans="15:16">
      <c r="O97" s="460">
        <f t="shared" si="3"/>
        <v>41.336326949875776</v>
      </c>
      <c r="P97" s="494">
        <f t="shared" si="4"/>
        <v>22159.943916625634</v>
      </c>
    </row>
    <row r="98" spans="15:16">
      <c r="O98" s="460">
        <f t="shared" si="3"/>
        <v>31.023921483275888</v>
      </c>
      <c r="P98" s="494">
        <f t="shared" si="4"/>
        <v>14783.62760644483</v>
      </c>
    </row>
    <row r="99" spans="15:16">
      <c r="O99" s="460">
        <f t="shared" si="3"/>
        <v>20.697078649022764</v>
      </c>
      <c r="P99" s="494">
        <f t="shared" si="4"/>
        <v>7396.9844534297717</v>
      </c>
    </row>
    <row r="100" spans="15:16">
      <c r="O100" s="460">
        <f t="shared" si="3"/>
        <v>10.355778234801681</v>
      </c>
      <c r="P100" s="494">
        <f t="shared" si="4"/>
        <v>4.929461283609271E-10</v>
      </c>
    </row>
  </sheetData>
  <mergeCells count="2">
    <mergeCell ref="D5:K5"/>
    <mergeCell ref="D18:K18"/>
  </mergeCells>
  <phoneticPr fontId="0" type="noConversion"/>
  <pageMargins left="0.75" right="0.75" top="1" bottom="1" header="0.5" footer="0.5"/>
  <pageSetup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topLeftCell="A22" workbookViewId="0">
      <selection activeCell="R17" sqref="R17"/>
    </sheetView>
  </sheetViews>
  <sheetFormatPr defaultRowHeight="14.1" customHeight="1"/>
  <cols>
    <col min="2" max="2" width="26.28515625" customWidth="1"/>
    <col min="3" max="3" width="8.140625" customWidth="1"/>
    <col min="4" max="4" width="11.7109375" customWidth="1"/>
    <col min="5" max="5" width="11.7109375" hidden="1" customWidth="1"/>
    <col min="6" max="6" width="12.42578125" hidden="1" customWidth="1"/>
    <col min="7" max="7" width="11.7109375" hidden="1" customWidth="1"/>
    <col min="8" max="8" width="10.5703125" hidden="1" customWidth="1"/>
    <col min="9" max="9" width="11.28515625" hidden="1" customWidth="1"/>
    <col min="10" max="11" width="9.140625" hidden="1" customWidth="1"/>
    <col min="12" max="12" width="11.28515625" hidden="1" customWidth="1"/>
    <col min="13" max="13" width="9.140625" customWidth="1"/>
    <col min="14" max="14" width="10.28515625" bestFit="1" customWidth="1"/>
    <col min="15" max="15" width="15" bestFit="1" customWidth="1"/>
  </cols>
  <sheetData>
    <row r="1" spans="1:15" ht="24.75" customHeight="1">
      <c r="A1" s="420" t="s">
        <v>645</v>
      </c>
    </row>
    <row r="2" spans="1:15" ht="14.1" customHeight="1">
      <c r="E2" s="432">
        <v>2011</v>
      </c>
      <c r="F2" s="432">
        <v>2011</v>
      </c>
      <c r="H2" s="190">
        <v>2012</v>
      </c>
      <c r="I2" s="190">
        <v>2012</v>
      </c>
      <c r="K2" s="432">
        <v>2013</v>
      </c>
      <c r="L2" s="432">
        <v>2013</v>
      </c>
      <c r="N2" s="432">
        <v>2014</v>
      </c>
      <c r="O2" s="432">
        <v>2014</v>
      </c>
    </row>
    <row r="3" spans="1:15" ht="14.1" customHeight="1">
      <c r="A3" s="415" t="s">
        <v>524</v>
      </c>
      <c r="B3" s="415" t="s">
        <v>525</v>
      </c>
      <c r="C3" s="415" t="s">
        <v>526</v>
      </c>
      <c r="E3" s="415" t="s">
        <v>225</v>
      </c>
      <c r="F3" s="415" t="s">
        <v>612</v>
      </c>
      <c r="H3" s="415" t="s">
        <v>225</v>
      </c>
      <c r="I3" s="415" t="s">
        <v>612</v>
      </c>
      <c r="K3" s="415" t="s">
        <v>225</v>
      </c>
      <c r="L3" s="415" t="s">
        <v>612</v>
      </c>
      <c r="N3" s="415" t="s">
        <v>225</v>
      </c>
      <c r="O3" s="415" t="s">
        <v>612</v>
      </c>
    </row>
    <row r="4" spans="1:15" ht="14.1" customHeight="1">
      <c r="A4" s="416" t="s">
        <v>528</v>
      </c>
      <c r="B4" s="416" t="s">
        <v>529</v>
      </c>
      <c r="C4" s="418">
        <v>0</v>
      </c>
      <c r="E4" s="414">
        <v>0</v>
      </c>
      <c r="F4" s="414">
        <v>0</v>
      </c>
      <c r="H4" s="414">
        <v>0</v>
      </c>
      <c r="I4" s="414">
        <f>H4*C4</f>
        <v>0</v>
      </c>
      <c r="K4" s="414">
        <v>0</v>
      </c>
      <c r="L4" s="414">
        <f>K4*C4</f>
        <v>0</v>
      </c>
      <c r="N4" s="414">
        <v>0</v>
      </c>
      <c r="O4" s="414">
        <f>N4*F4</f>
        <v>0</v>
      </c>
    </row>
    <row r="5" spans="1:15" ht="14.1" customHeight="1">
      <c r="A5" s="416" t="s">
        <v>530</v>
      </c>
      <c r="B5" s="416" t="s">
        <v>531</v>
      </c>
      <c r="C5" s="418">
        <v>0</v>
      </c>
      <c r="E5" s="414">
        <v>0</v>
      </c>
      <c r="F5" s="414">
        <v>0</v>
      </c>
      <c r="H5" s="414">
        <v>0</v>
      </c>
      <c r="I5" s="414">
        <f t="shared" ref="I5:I35" si="0">H5*C5</f>
        <v>0</v>
      </c>
      <c r="K5" s="414">
        <v>0</v>
      </c>
      <c r="L5" s="414">
        <f t="shared" ref="L5:L35" si="1">K5*C5</f>
        <v>0</v>
      </c>
      <c r="N5" s="414">
        <v>0</v>
      </c>
      <c r="O5" s="414">
        <f t="shared" ref="O5:O6" si="2">N5*F5</f>
        <v>0</v>
      </c>
    </row>
    <row r="6" spans="1:15" ht="14.1" customHeight="1">
      <c r="A6" s="416" t="s">
        <v>532</v>
      </c>
      <c r="B6" s="416" t="s">
        <v>533</v>
      </c>
      <c r="C6" s="418">
        <v>0</v>
      </c>
      <c r="E6" s="414">
        <v>0</v>
      </c>
      <c r="F6" s="414">
        <v>0</v>
      </c>
      <c r="H6" s="414">
        <v>0</v>
      </c>
      <c r="I6" s="414">
        <f t="shared" si="0"/>
        <v>0</v>
      </c>
      <c r="K6" s="414">
        <v>0</v>
      </c>
      <c r="L6" s="414">
        <f t="shared" si="1"/>
        <v>0</v>
      </c>
      <c r="N6" s="414">
        <v>0</v>
      </c>
      <c r="O6" s="414">
        <f t="shared" si="2"/>
        <v>0</v>
      </c>
    </row>
    <row r="7" spans="1:15" ht="14.1" customHeight="1">
      <c r="A7" s="416" t="s">
        <v>534</v>
      </c>
      <c r="B7" s="416" t="s">
        <v>535</v>
      </c>
      <c r="C7" s="418">
        <v>0.05</v>
      </c>
      <c r="E7" s="414">
        <v>822.54</v>
      </c>
      <c r="F7" s="414">
        <v>41.127000000000002</v>
      </c>
      <c r="H7" s="414">
        <v>0</v>
      </c>
      <c r="I7" s="414">
        <f t="shared" si="0"/>
        <v>0</v>
      </c>
      <c r="K7" s="505">
        <v>1626.72</v>
      </c>
      <c r="L7" s="414">
        <f t="shared" si="1"/>
        <v>81.336000000000013</v>
      </c>
      <c r="N7" s="505">
        <v>0</v>
      </c>
      <c r="O7" s="414">
        <f t="shared" ref="O7:O35" si="3">N7*C7</f>
        <v>0</v>
      </c>
    </row>
    <row r="8" spans="1:15" ht="14.1" customHeight="1">
      <c r="A8" s="416" t="s">
        <v>536</v>
      </c>
      <c r="B8" s="416" t="s">
        <v>537</v>
      </c>
      <c r="C8" s="418">
        <v>0.05</v>
      </c>
      <c r="E8" s="414">
        <v>10905.02</v>
      </c>
      <c r="F8" s="414">
        <v>545.25100000000009</v>
      </c>
      <c r="H8" s="414">
        <v>12577.57</v>
      </c>
      <c r="I8" s="414">
        <f t="shared" si="0"/>
        <v>628.87850000000003</v>
      </c>
      <c r="K8" s="505">
        <v>9001.5</v>
      </c>
      <c r="L8" s="414">
        <f t="shared" si="1"/>
        <v>450.07500000000005</v>
      </c>
      <c r="N8" s="505">
        <v>26931.31</v>
      </c>
      <c r="O8" s="414">
        <f t="shared" si="3"/>
        <v>1346.5655000000002</v>
      </c>
    </row>
    <row r="9" spans="1:15" ht="14.1" customHeight="1">
      <c r="A9" s="416" t="s">
        <v>538</v>
      </c>
      <c r="B9" s="416" t="s">
        <v>539</v>
      </c>
      <c r="C9" s="418">
        <v>0</v>
      </c>
      <c r="E9" s="414">
        <v>0</v>
      </c>
      <c r="F9" s="414">
        <v>0</v>
      </c>
      <c r="H9" s="414">
        <v>0</v>
      </c>
      <c r="I9" s="414">
        <f t="shared" si="0"/>
        <v>0</v>
      </c>
      <c r="K9" s="505">
        <v>0</v>
      </c>
      <c r="L9" s="414">
        <f t="shared" si="1"/>
        <v>0</v>
      </c>
      <c r="N9" s="505">
        <v>0</v>
      </c>
      <c r="O9" s="414">
        <f t="shared" si="3"/>
        <v>0</v>
      </c>
    </row>
    <row r="10" spans="1:15" ht="14.1" customHeight="1">
      <c r="A10" s="416" t="s">
        <v>540</v>
      </c>
      <c r="B10" s="416" t="s">
        <v>541</v>
      </c>
      <c r="C10" s="418">
        <v>0.05</v>
      </c>
      <c r="E10" s="414">
        <v>9071.7999999999993</v>
      </c>
      <c r="F10" s="414">
        <v>453.59</v>
      </c>
      <c r="H10" s="414">
        <v>10344.76</v>
      </c>
      <c r="I10" s="414">
        <f t="shared" si="0"/>
        <v>517.23800000000006</v>
      </c>
      <c r="K10" s="505">
        <v>6655.76</v>
      </c>
      <c r="L10" s="414">
        <f t="shared" si="1"/>
        <v>332.78800000000001</v>
      </c>
      <c r="N10" s="505">
        <v>5410.9</v>
      </c>
      <c r="O10" s="414">
        <f t="shared" si="3"/>
        <v>270.54500000000002</v>
      </c>
    </row>
    <row r="11" spans="1:15" ht="14.1" customHeight="1">
      <c r="A11" s="416" t="s">
        <v>542</v>
      </c>
      <c r="B11" s="416" t="s">
        <v>543</v>
      </c>
      <c r="C11" s="418">
        <v>0.05</v>
      </c>
      <c r="E11" s="414">
        <v>17041.009999999998</v>
      </c>
      <c r="F11" s="414">
        <v>852.05049999999994</v>
      </c>
      <c r="H11" s="414">
        <v>10558.28</v>
      </c>
      <c r="I11" s="414">
        <f t="shared" si="0"/>
        <v>527.9140000000001</v>
      </c>
      <c r="K11" s="505">
        <v>12168.6</v>
      </c>
      <c r="L11" s="414">
        <f t="shared" si="1"/>
        <v>608.43000000000006</v>
      </c>
      <c r="N11" s="505">
        <v>32741.65</v>
      </c>
      <c r="O11" s="414">
        <f t="shared" si="3"/>
        <v>1637.0825000000002</v>
      </c>
    </row>
    <row r="12" spans="1:15" ht="14.1" customHeight="1">
      <c r="A12" s="416" t="s">
        <v>544</v>
      </c>
      <c r="B12" s="416" t="s">
        <v>545</v>
      </c>
      <c r="C12" s="418">
        <v>0</v>
      </c>
      <c r="E12" s="414">
        <v>0</v>
      </c>
      <c r="F12" s="414">
        <v>0</v>
      </c>
      <c r="H12" s="414">
        <v>0</v>
      </c>
      <c r="I12" s="414">
        <f t="shared" si="0"/>
        <v>0</v>
      </c>
      <c r="K12" s="505">
        <v>0</v>
      </c>
      <c r="L12" s="414">
        <f t="shared" si="1"/>
        <v>0</v>
      </c>
      <c r="N12" s="505">
        <v>0</v>
      </c>
      <c r="O12" s="414">
        <f t="shared" si="3"/>
        <v>0</v>
      </c>
    </row>
    <row r="13" spans="1:15" ht="14.1" customHeight="1">
      <c r="A13" s="416" t="s">
        <v>546</v>
      </c>
      <c r="B13" s="416" t="s">
        <v>547</v>
      </c>
      <c r="C13" s="418">
        <v>0</v>
      </c>
      <c r="E13" s="414">
        <v>0</v>
      </c>
      <c r="F13" s="414">
        <v>0</v>
      </c>
      <c r="H13" s="414">
        <v>0</v>
      </c>
      <c r="I13" s="414">
        <f t="shared" si="0"/>
        <v>0</v>
      </c>
      <c r="K13" s="505">
        <v>0</v>
      </c>
      <c r="L13" s="414">
        <f t="shared" si="1"/>
        <v>0</v>
      </c>
      <c r="N13" s="505">
        <v>0</v>
      </c>
      <c r="O13" s="414">
        <f t="shared" si="3"/>
        <v>0</v>
      </c>
    </row>
    <row r="14" spans="1:15" ht="14.1" customHeight="1">
      <c r="A14" s="416" t="s">
        <v>548</v>
      </c>
      <c r="B14" s="416" t="s">
        <v>549</v>
      </c>
      <c r="C14" s="418">
        <v>0</v>
      </c>
      <c r="E14" s="414">
        <v>0</v>
      </c>
      <c r="F14" s="414">
        <v>0</v>
      </c>
      <c r="H14" s="414">
        <v>0</v>
      </c>
      <c r="I14" s="414">
        <f t="shared" si="0"/>
        <v>0</v>
      </c>
      <c r="K14" s="505">
        <v>0</v>
      </c>
      <c r="L14" s="414">
        <f t="shared" si="1"/>
        <v>0</v>
      </c>
      <c r="N14" s="505">
        <v>0</v>
      </c>
      <c r="O14" s="414">
        <f t="shared" si="3"/>
        <v>0</v>
      </c>
    </row>
    <row r="15" spans="1:15" ht="14.1" customHeight="1">
      <c r="A15" s="416" t="s">
        <v>550</v>
      </c>
      <c r="B15" s="416" t="s">
        <v>551</v>
      </c>
      <c r="C15" s="418">
        <v>0.25</v>
      </c>
      <c r="E15" s="414">
        <v>7570.89</v>
      </c>
      <c r="F15" s="414">
        <v>1892.7225000000001</v>
      </c>
      <c r="H15" s="414">
        <v>8472.7999999999993</v>
      </c>
      <c r="I15" s="414">
        <f t="shared" si="0"/>
        <v>2118.1999999999998</v>
      </c>
      <c r="K15" s="505">
        <v>6651.27</v>
      </c>
      <c r="L15" s="414">
        <f t="shared" si="1"/>
        <v>1662.8175000000001</v>
      </c>
      <c r="N15" s="505">
        <v>20350.7</v>
      </c>
      <c r="O15" s="414">
        <f t="shared" si="3"/>
        <v>5087.6750000000002</v>
      </c>
    </row>
    <row r="16" spans="1:15" ht="14.1" customHeight="1">
      <c r="A16" s="416" t="s">
        <v>552</v>
      </c>
      <c r="B16" s="416" t="s">
        <v>553</v>
      </c>
      <c r="C16" s="418">
        <v>0</v>
      </c>
      <c r="E16" s="414">
        <v>0</v>
      </c>
      <c r="F16" s="414">
        <v>0</v>
      </c>
      <c r="H16" s="414">
        <v>0</v>
      </c>
      <c r="I16" s="414">
        <f t="shared" si="0"/>
        <v>0</v>
      </c>
      <c r="K16" s="505">
        <v>0</v>
      </c>
      <c r="L16" s="414">
        <f t="shared" si="1"/>
        <v>0</v>
      </c>
      <c r="N16" s="505">
        <v>0</v>
      </c>
      <c r="O16" s="414">
        <f t="shared" si="3"/>
        <v>0</v>
      </c>
    </row>
    <row r="17" spans="1:15" ht="14.1" customHeight="1">
      <c r="A17" s="416" t="s">
        <v>554</v>
      </c>
      <c r="B17" s="416" t="s">
        <v>555</v>
      </c>
      <c r="C17" s="418">
        <v>0.25</v>
      </c>
      <c r="E17" s="414">
        <v>29.52</v>
      </c>
      <c r="F17" s="414">
        <v>7.38</v>
      </c>
      <c r="H17" s="414">
        <v>618.44000000000005</v>
      </c>
      <c r="I17" s="414">
        <f t="shared" si="0"/>
        <v>154.61000000000001</v>
      </c>
      <c r="K17" s="505">
        <v>544.83000000000004</v>
      </c>
      <c r="L17" s="414">
        <f t="shared" si="1"/>
        <v>136.20750000000001</v>
      </c>
      <c r="N17" s="505">
        <v>499.1</v>
      </c>
      <c r="O17" s="414">
        <f t="shared" si="3"/>
        <v>124.77500000000001</v>
      </c>
    </row>
    <row r="18" spans="1:15" ht="14.1" customHeight="1">
      <c r="A18" s="416" t="s">
        <v>556</v>
      </c>
      <c r="B18" s="416" t="s">
        <v>557</v>
      </c>
      <c r="C18" s="418">
        <v>0.05</v>
      </c>
      <c r="E18" s="414">
        <v>4468.83</v>
      </c>
      <c r="F18" s="414">
        <v>223.44150000000002</v>
      </c>
      <c r="H18" s="414">
        <v>2429.84</v>
      </c>
      <c r="I18" s="414">
        <f t="shared" si="0"/>
        <v>121.49200000000002</v>
      </c>
      <c r="K18" s="505">
        <v>7567.42</v>
      </c>
      <c r="L18" s="414">
        <f t="shared" si="1"/>
        <v>378.37100000000004</v>
      </c>
      <c r="N18" s="505">
        <v>11096.7</v>
      </c>
      <c r="O18" s="414">
        <f t="shared" si="3"/>
        <v>554.83500000000004</v>
      </c>
    </row>
    <row r="19" spans="1:15" ht="14.1" customHeight="1">
      <c r="A19" s="416" t="s">
        <v>558</v>
      </c>
      <c r="B19" s="416" t="s">
        <v>559</v>
      </c>
      <c r="C19" s="418">
        <v>0.05</v>
      </c>
      <c r="E19" s="414">
        <v>4570.5600000000004</v>
      </c>
      <c r="F19" s="414">
        <v>228.52800000000002</v>
      </c>
      <c r="H19" s="414">
        <v>0</v>
      </c>
      <c r="I19" s="414">
        <f t="shared" si="0"/>
        <v>0</v>
      </c>
      <c r="K19" s="505">
        <v>1158.52</v>
      </c>
      <c r="L19" s="414">
        <f t="shared" si="1"/>
        <v>57.926000000000002</v>
      </c>
      <c r="N19" s="505">
        <v>1749.48</v>
      </c>
      <c r="O19" s="414">
        <f t="shared" si="3"/>
        <v>87.474000000000004</v>
      </c>
    </row>
    <row r="20" spans="1:15" ht="14.1" customHeight="1">
      <c r="A20" s="416">
        <v>800.11199999999997</v>
      </c>
      <c r="B20" s="416" t="s">
        <v>3</v>
      </c>
      <c r="C20" s="418">
        <v>1</v>
      </c>
      <c r="E20" s="414">
        <v>400.25</v>
      </c>
      <c r="F20" s="414">
        <v>400.25</v>
      </c>
      <c r="H20" s="414">
        <v>2153.7399999999998</v>
      </c>
      <c r="I20" s="414">
        <f t="shared" si="0"/>
        <v>2153.7399999999998</v>
      </c>
      <c r="K20" s="505">
        <v>2434.6799999999998</v>
      </c>
      <c r="L20" s="414">
        <f t="shared" si="1"/>
        <v>2434.6799999999998</v>
      </c>
      <c r="N20" s="505">
        <v>85841.82</v>
      </c>
      <c r="O20" s="414">
        <f t="shared" si="3"/>
        <v>85841.82</v>
      </c>
    </row>
    <row r="21" spans="1:15" ht="14.1" customHeight="1">
      <c r="A21" s="416" t="s">
        <v>560</v>
      </c>
      <c r="B21" s="416" t="s">
        <v>561</v>
      </c>
      <c r="C21" s="418">
        <v>0</v>
      </c>
      <c r="E21" s="414">
        <v>0</v>
      </c>
      <c r="F21" s="414">
        <v>0</v>
      </c>
      <c r="H21" s="414">
        <v>0</v>
      </c>
      <c r="I21" s="414">
        <f t="shared" si="0"/>
        <v>0</v>
      </c>
      <c r="K21" s="505">
        <v>0</v>
      </c>
      <c r="L21" s="414">
        <f t="shared" si="1"/>
        <v>0</v>
      </c>
      <c r="N21" s="505">
        <v>0</v>
      </c>
      <c r="O21" s="414">
        <f t="shared" si="3"/>
        <v>0</v>
      </c>
    </row>
    <row r="22" spans="1:15" ht="14.1" customHeight="1">
      <c r="A22" s="416" t="s">
        <v>562</v>
      </c>
      <c r="B22" s="416" t="s">
        <v>563</v>
      </c>
      <c r="C22" s="418">
        <v>0.05</v>
      </c>
      <c r="E22" s="414">
        <v>3408.89</v>
      </c>
      <c r="F22" s="414">
        <v>170.44450000000001</v>
      </c>
      <c r="H22" s="414">
        <v>1545.87</v>
      </c>
      <c r="I22" s="414">
        <f t="shared" si="0"/>
        <v>77.293499999999995</v>
      </c>
      <c r="K22" s="505">
        <v>2896.36</v>
      </c>
      <c r="L22" s="414">
        <f t="shared" si="1"/>
        <v>144.81800000000001</v>
      </c>
      <c r="N22" s="505">
        <v>5896.04</v>
      </c>
      <c r="O22" s="414">
        <f t="shared" si="3"/>
        <v>294.80200000000002</v>
      </c>
    </row>
    <row r="23" spans="1:15" ht="14.1" customHeight="1">
      <c r="A23" s="416" t="s">
        <v>564</v>
      </c>
      <c r="B23" s="416" t="s">
        <v>565</v>
      </c>
      <c r="C23" s="418">
        <v>0.05</v>
      </c>
      <c r="E23" s="414">
        <v>1103.83</v>
      </c>
      <c r="F23" s="414">
        <v>55.191499999999998</v>
      </c>
      <c r="H23" s="414">
        <v>1519.1</v>
      </c>
      <c r="I23" s="414">
        <f t="shared" si="0"/>
        <v>75.954999999999998</v>
      </c>
      <c r="K23" s="505">
        <v>2703.04</v>
      </c>
      <c r="L23" s="414">
        <f t="shared" si="1"/>
        <v>135.15200000000002</v>
      </c>
      <c r="N23" s="505">
        <v>1764.78</v>
      </c>
      <c r="O23" s="414">
        <f t="shared" si="3"/>
        <v>88.239000000000004</v>
      </c>
    </row>
    <row r="24" spans="1:15" ht="14.1" customHeight="1">
      <c r="A24" s="416" t="s">
        <v>582</v>
      </c>
      <c r="B24" s="416" t="s">
        <v>583</v>
      </c>
      <c r="C24" s="418">
        <v>0.05</v>
      </c>
      <c r="E24" s="414">
        <v>1028.51</v>
      </c>
      <c r="F24" s="414">
        <v>51.4255</v>
      </c>
      <c r="H24" s="414">
        <v>343.65</v>
      </c>
      <c r="I24" s="414">
        <f t="shared" si="0"/>
        <v>17.182500000000001</v>
      </c>
      <c r="K24" s="505">
        <v>721.49</v>
      </c>
      <c r="L24" s="414">
        <f t="shared" si="1"/>
        <v>36.0745</v>
      </c>
      <c r="N24" s="505">
        <v>285.98</v>
      </c>
      <c r="O24" s="414">
        <f t="shared" si="3"/>
        <v>14.299000000000001</v>
      </c>
    </row>
    <row r="25" spans="1:15" ht="14.1" customHeight="1">
      <c r="A25" s="416" t="s">
        <v>566</v>
      </c>
      <c r="B25" s="416" t="s">
        <v>567</v>
      </c>
      <c r="C25" s="418">
        <v>0.05</v>
      </c>
      <c r="E25" s="414">
        <v>13595.57</v>
      </c>
      <c r="F25" s="414">
        <v>679.77850000000001</v>
      </c>
      <c r="H25" s="414">
        <v>12359.99</v>
      </c>
      <c r="I25" s="414">
        <f t="shared" si="0"/>
        <v>617.99950000000001</v>
      </c>
      <c r="K25" s="505">
        <v>15380.74</v>
      </c>
      <c r="L25" s="414">
        <f t="shared" si="1"/>
        <v>769.03700000000003</v>
      </c>
      <c r="N25" s="505">
        <v>23961.71</v>
      </c>
      <c r="O25" s="414">
        <f t="shared" si="3"/>
        <v>1198.0854999999999</v>
      </c>
    </row>
    <row r="26" spans="1:15" ht="14.1" customHeight="1">
      <c r="A26" s="416" t="s">
        <v>568</v>
      </c>
      <c r="B26" s="416" t="s">
        <v>569</v>
      </c>
      <c r="C26" s="418">
        <v>0.05</v>
      </c>
      <c r="E26" s="414">
        <v>16712.240000000002</v>
      </c>
      <c r="F26" s="414">
        <v>835.61200000000008</v>
      </c>
      <c r="H26" s="414">
        <v>17879.580000000002</v>
      </c>
      <c r="I26" s="414">
        <f t="shared" si="0"/>
        <v>893.97900000000016</v>
      </c>
      <c r="K26" s="505">
        <v>15688.49</v>
      </c>
      <c r="L26" s="414">
        <f t="shared" si="1"/>
        <v>784.42450000000008</v>
      </c>
      <c r="N26" s="505">
        <v>16273.98</v>
      </c>
      <c r="O26" s="414">
        <f t="shared" si="3"/>
        <v>813.69900000000007</v>
      </c>
    </row>
    <row r="27" spans="1:15" ht="14.1" customHeight="1">
      <c r="A27" s="416" t="s">
        <v>584</v>
      </c>
      <c r="B27" s="416" t="s">
        <v>585</v>
      </c>
      <c r="C27" s="418">
        <v>0</v>
      </c>
      <c r="E27" s="414">
        <v>0</v>
      </c>
      <c r="F27" s="414">
        <v>0</v>
      </c>
      <c r="H27" s="414">
        <v>0</v>
      </c>
      <c r="I27" s="414">
        <f t="shared" si="0"/>
        <v>0</v>
      </c>
      <c r="K27" s="505">
        <v>0</v>
      </c>
      <c r="L27" s="414">
        <f t="shared" si="1"/>
        <v>0</v>
      </c>
      <c r="N27" s="505">
        <v>0</v>
      </c>
      <c r="O27" s="414">
        <f t="shared" si="3"/>
        <v>0</v>
      </c>
    </row>
    <row r="28" spans="1:15" ht="14.1" customHeight="1">
      <c r="A28" s="416" t="s">
        <v>586</v>
      </c>
      <c r="B28" s="416" t="s">
        <v>587</v>
      </c>
      <c r="C28" s="418">
        <v>0.05</v>
      </c>
      <c r="E28" s="414">
        <v>14066.96</v>
      </c>
      <c r="F28" s="414">
        <v>703.34799999999996</v>
      </c>
      <c r="H28" s="414">
        <v>11421.72</v>
      </c>
      <c r="I28" s="414">
        <f t="shared" si="0"/>
        <v>571.08600000000001</v>
      </c>
      <c r="K28" s="505">
        <v>16464.57</v>
      </c>
      <c r="L28" s="414">
        <f t="shared" si="1"/>
        <v>823.22850000000005</v>
      </c>
      <c r="N28" s="505">
        <v>20111.18</v>
      </c>
      <c r="O28" s="414">
        <f t="shared" si="3"/>
        <v>1005.5590000000001</v>
      </c>
    </row>
    <row r="29" spans="1:15" ht="14.1" customHeight="1">
      <c r="A29" s="416" t="s">
        <v>588</v>
      </c>
      <c r="B29" s="416" t="s">
        <v>589</v>
      </c>
      <c r="C29" s="418">
        <v>0.05</v>
      </c>
      <c r="E29" s="414">
        <v>9123.14</v>
      </c>
      <c r="F29" s="414">
        <v>456.15699999999998</v>
      </c>
      <c r="H29" s="414">
        <v>6001.61</v>
      </c>
      <c r="I29" s="414">
        <f t="shared" si="0"/>
        <v>300.08049999999997</v>
      </c>
      <c r="K29" s="505">
        <v>8520.33</v>
      </c>
      <c r="L29" s="414">
        <f t="shared" si="1"/>
        <v>426.01650000000001</v>
      </c>
      <c r="N29" s="505">
        <v>10452.35</v>
      </c>
      <c r="O29" s="414">
        <f t="shared" si="3"/>
        <v>522.61750000000006</v>
      </c>
    </row>
    <row r="30" spans="1:15" ht="14.1" customHeight="1">
      <c r="A30" s="416" t="s">
        <v>575</v>
      </c>
      <c r="B30" s="416" t="s">
        <v>574</v>
      </c>
      <c r="C30" s="418">
        <v>0</v>
      </c>
      <c r="E30" s="414">
        <v>0</v>
      </c>
      <c r="F30" s="414">
        <v>0</v>
      </c>
      <c r="H30" s="414">
        <v>0</v>
      </c>
      <c r="I30" s="414">
        <f t="shared" si="0"/>
        <v>0</v>
      </c>
      <c r="K30" s="505">
        <v>0</v>
      </c>
      <c r="L30" s="414">
        <f t="shared" si="1"/>
        <v>0</v>
      </c>
      <c r="N30" s="505">
        <v>0</v>
      </c>
      <c r="O30" s="414">
        <f t="shared" si="3"/>
        <v>0</v>
      </c>
    </row>
    <row r="31" spans="1:15" ht="14.1" customHeight="1">
      <c r="A31" s="416" t="s">
        <v>576</v>
      </c>
      <c r="B31" s="416" t="s">
        <v>577</v>
      </c>
      <c r="C31" s="418">
        <v>0.05</v>
      </c>
      <c r="E31" s="414">
        <v>825.65</v>
      </c>
      <c r="F31" s="414">
        <v>41.282499999999999</v>
      </c>
      <c r="H31" s="414">
        <v>1804.52</v>
      </c>
      <c r="I31" s="414">
        <f t="shared" si="0"/>
        <v>90.225999999999999</v>
      </c>
      <c r="K31" s="505">
        <v>2530.4699999999998</v>
      </c>
      <c r="L31" s="414">
        <f t="shared" si="1"/>
        <v>126.5235</v>
      </c>
      <c r="N31" s="505">
        <v>2238.9</v>
      </c>
      <c r="O31" s="414">
        <f t="shared" si="3"/>
        <v>111.94500000000001</v>
      </c>
    </row>
    <row r="32" spans="1:15" ht="14.1" customHeight="1">
      <c r="A32" s="416" t="s">
        <v>578</v>
      </c>
      <c r="B32" s="416" t="s">
        <v>579</v>
      </c>
      <c r="C32" s="418">
        <v>0.05</v>
      </c>
      <c r="E32" s="414">
        <v>1667.55</v>
      </c>
      <c r="F32" s="414">
        <v>83.377499999999998</v>
      </c>
      <c r="H32" s="414">
        <v>2527.77</v>
      </c>
      <c r="I32" s="414">
        <f t="shared" si="0"/>
        <v>126.38850000000001</v>
      </c>
      <c r="K32" s="505">
        <v>3673.74</v>
      </c>
      <c r="L32" s="414">
        <f t="shared" si="1"/>
        <v>183.68700000000001</v>
      </c>
      <c r="N32" s="505">
        <v>2125.36</v>
      </c>
      <c r="O32" s="414">
        <f t="shared" si="3"/>
        <v>106.26800000000001</v>
      </c>
    </row>
    <row r="33" spans="1:15" ht="14.1" customHeight="1">
      <c r="A33" s="416" t="s">
        <v>580</v>
      </c>
      <c r="B33" s="416" t="s">
        <v>581</v>
      </c>
      <c r="C33" s="418">
        <v>0.05</v>
      </c>
      <c r="E33" s="414">
        <v>3242.27</v>
      </c>
      <c r="F33" s="414">
        <v>162.11350000000002</v>
      </c>
      <c r="H33" s="414">
        <v>3455.37</v>
      </c>
      <c r="I33" s="414">
        <f t="shared" si="0"/>
        <v>172.76850000000002</v>
      </c>
      <c r="K33" s="505">
        <v>2778.47</v>
      </c>
      <c r="L33" s="414">
        <f t="shared" si="1"/>
        <v>138.92349999999999</v>
      </c>
      <c r="N33" s="505">
        <v>3053.68</v>
      </c>
      <c r="O33" s="414">
        <f t="shared" si="3"/>
        <v>152.684</v>
      </c>
    </row>
    <row r="34" spans="1:15" ht="14.1" customHeight="1">
      <c r="A34" s="416" t="s">
        <v>570</v>
      </c>
      <c r="B34" s="416" t="s">
        <v>571</v>
      </c>
      <c r="C34" s="418">
        <v>0.05</v>
      </c>
      <c r="E34" s="414">
        <v>1181.4100000000001</v>
      </c>
      <c r="F34" s="414">
        <v>59.07050000000001</v>
      </c>
      <c r="H34" s="414">
        <v>725.76</v>
      </c>
      <c r="I34" s="414">
        <f t="shared" si="0"/>
        <v>36.288000000000004</v>
      </c>
      <c r="K34" s="505">
        <v>4069.26</v>
      </c>
      <c r="L34" s="414">
        <f t="shared" si="1"/>
        <v>203.46300000000002</v>
      </c>
      <c r="N34" s="505">
        <v>1565.18</v>
      </c>
      <c r="O34" s="414">
        <f t="shared" si="3"/>
        <v>78.259000000000015</v>
      </c>
    </row>
    <row r="35" spans="1:15" ht="14.1" customHeight="1">
      <c r="A35" s="416" t="s">
        <v>572</v>
      </c>
      <c r="B35" s="416" t="s">
        <v>573</v>
      </c>
      <c r="C35" s="418">
        <v>0.05</v>
      </c>
      <c r="E35" s="414">
        <v>2657.59</v>
      </c>
      <c r="F35" s="414">
        <v>132.87950000000001</v>
      </c>
      <c r="H35" s="414">
        <v>1344.46</v>
      </c>
      <c r="I35" s="414">
        <f t="shared" si="0"/>
        <v>67.222999999999999</v>
      </c>
      <c r="K35" s="505">
        <v>603.01</v>
      </c>
      <c r="L35" s="414">
        <f t="shared" si="1"/>
        <v>30.150500000000001</v>
      </c>
      <c r="N35" s="505">
        <v>4262.7700000000004</v>
      </c>
      <c r="O35" s="414">
        <f t="shared" si="3"/>
        <v>213.13850000000002</v>
      </c>
    </row>
    <row r="36" spans="1:15" ht="14.1" customHeight="1">
      <c r="A36" s="416"/>
      <c r="B36" s="416"/>
      <c r="C36" s="418"/>
      <c r="E36" s="417"/>
      <c r="F36" s="419">
        <f>SUM(F4:F35)</f>
        <v>8075.0210000000006</v>
      </c>
      <c r="H36" s="417"/>
      <c r="I36" s="419">
        <f>SUM(I4:I35)</f>
        <v>9268.5424999999996</v>
      </c>
      <c r="K36" s="417"/>
      <c r="L36" s="419">
        <f>SUM(L4:L35)</f>
        <v>9944.1294999999991</v>
      </c>
      <c r="N36" s="417"/>
      <c r="O36" s="419">
        <f>SUM(O4:O35)</f>
        <v>99550.367499999993</v>
      </c>
    </row>
    <row r="37" spans="1:15" ht="14.1" customHeight="1">
      <c r="B37" s="424" t="s">
        <v>707</v>
      </c>
      <c r="I37" s="460">
        <v>6855.2</v>
      </c>
      <c r="K37" s="482"/>
      <c r="L37" s="460">
        <f>'BES12_A&amp;G Detail'!F39</f>
        <v>7361.26</v>
      </c>
      <c r="N37" s="500"/>
      <c r="O37" s="499">
        <f>'BES12_A&amp;G Detail'!F39</f>
        <v>7361.26</v>
      </c>
    </row>
    <row r="38" spans="1:15" ht="14.1" customHeight="1">
      <c r="A38" s="423" t="s">
        <v>54</v>
      </c>
      <c r="B38" s="422" t="s">
        <v>706</v>
      </c>
      <c r="I38" s="460">
        <v>8146.44</v>
      </c>
      <c r="K38" s="482"/>
      <c r="L38" s="499">
        <f>'BES4_W&amp;S Allocator'!F25</f>
        <v>6120.27</v>
      </c>
      <c r="N38" s="500"/>
      <c r="O38" s="499">
        <f>'BES4_W&amp;S Allocator'!F25</f>
        <v>6120.27</v>
      </c>
    </row>
    <row r="39" spans="1:15" ht="14.1" customHeight="1">
      <c r="I39" s="421">
        <f>I38+I36+I37</f>
        <v>24270.182499999999</v>
      </c>
      <c r="K39" s="482"/>
      <c r="L39" s="421">
        <f>L38+L36+L37</f>
        <v>23425.659500000002</v>
      </c>
      <c r="N39" s="500"/>
      <c r="O39" s="421">
        <f>O38+O36+O37</f>
        <v>113031.89749999999</v>
      </c>
    </row>
  </sheetData>
  <phoneticPr fontId="0" type="noConversion"/>
  <pageMargins left="0.75" right="0.75" top="1" bottom="1" header="0.5" footer="0.5"/>
  <pageSetup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33"/>
  <sheetViews>
    <sheetView showGridLines="0" topLeftCell="B10" workbookViewId="0">
      <selection activeCell="G13" sqref="G13"/>
    </sheetView>
  </sheetViews>
  <sheetFormatPr defaultRowHeight="12.75"/>
  <cols>
    <col min="2" max="2" width="1.7109375" customWidth="1"/>
    <col min="4" max="4" width="6.85546875" customWidth="1"/>
    <col min="5" max="5" width="12" customWidth="1"/>
    <col min="6" max="6" width="12.140625" customWidth="1"/>
    <col min="7" max="7" width="11.28515625" bestFit="1" customWidth="1"/>
    <col min="9" max="9" width="1.7109375" customWidth="1"/>
  </cols>
  <sheetData>
    <row r="3" spans="3:8" ht="15" customHeight="1" thickBot="1"/>
    <row r="4" spans="3:8" ht="18" customHeight="1">
      <c r="C4" s="47" t="s">
        <v>765</v>
      </c>
      <c r="D4" s="12"/>
      <c r="E4" s="12"/>
      <c r="F4" s="12"/>
      <c r="G4" s="12"/>
      <c r="H4" s="13"/>
    </row>
    <row r="5" spans="3:8" ht="18" customHeight="1">
      <c r="C5" s="14"/>
      <c r="D5" s="16"/>
      <c r="E5" s="16"/>
      <c r="F5" s="16"/>
      <c r="G5" s="16"/>
      <c r="H5" s="17"/>
    </row>
    <row r="6" spans="3:8" ht="18" customHeight="1">
      <c r="C6" s="14"/>
      <c r="D6" s="1" t="s">
        <v>523</v>
      </c>
      <c r="E6" s="1" t="s">
        <v>590</v>
      </c>
      <c r="F6" s="1" t="s">
        <v>613</v>
      </c>
      <c r="G6" s="1"/>
      <c r="H6" s="38"/>
    </row>
    <row r="7" spans="3:8" ht="18" customHeight="1">
      <c r="C7" s="14"/>
      <c r="D7" s="2" t="s">
        <v>527</v>
      </c>
      <c r="E7" s="2" t="s">
        <v>591</v>
      </c>
      <c r="F7" s="3">
        <v>108788.0291</v>
      </c>
      <c r="G7" s="3"/>
      <c r="H7" s="39"/>
    </row>
    <row r="8" spans="3:8" ht="18" customHeight="1">
      <c r="C8" s="14"/>
      <c r="D8" s="2" t="s">
        <v>527</v>
      </c>
      <c r="E8" s="2" t="s">
        <v>594</v>
      </c>
      <c r="F8" s="30">
        <v>2517.3301000000001</v>
      </c>
      <c r="G8" s="34"/>
      <c r="H8" s="40"/>
    </row>
    <row r="9" spans="3:8" ht="18" customHeight="1">
      <c r="C9" s="14"/>
      <c r="D9" s="32" t="s">
        <v>620</v>
      </c>
      <c r="E9" s="2"/>
      <c r="F9" s="33"/>
      <c r="G9" s="33">
        <f>SUM(F7:F8)</f>
        <v>111305.35920000001</v>
      </c>
      <c r="H9" s="40"/>
    </row>
    <row r="10" spans="3:8" ht="18" customHeight="1">
      <c r="C10" s="14"/>
      <c r="D10" s="2"/>
      <c r="E10" s="2"/>
      <c r="F10" s="3"/>
      <c r="G10" s="3"/>
      <c r="H10" s="40"/>
    </row>
    <row r="11" spans="3:8" ht="18" customHeight="1">
      <c r="C11" s="14"/>
      <c r="D11" s="2" t="s">
        <v>527</v>
      </c>
      <c r="E11" s="2" t="s">
        <v>592</v>
      </c>
      <c r="F11" s="3">
        <v>244701.47829999999</v>
      </c>
      <c r="G11" s="3"/>
      <c r="H11" s="40"/>
    </row>
    <row r="12" spans="3:8" ht="18" customHeight="1">
      <c r="C12" s="14"/>
      <c r="D12" s="2" t="s">
        <v>527</v>
      </c>
      <c r="E12" s="2" t="s">
        <v>593</v>
      </c>
      <c r="F12" s="30">
        <v>23363.6518</v>
      </c>
      <c r="G12" s="35"/>
      <c r="H12" s="40"/>
    </row>
    <row r="13" spans="3:8" ht="18" customHeight="1">
      <c r="C13" s="14"/>
      <c r="D13" s="32" t="s">
        <v>621</v>
      </c>
      <c r="E13" s="2"/>
      <c r="F13" s="33"/>
      <c r="G13" s="33">
        <f>SUM(F11:F12)</f>
        <v>268065.13010000001</v>
      </c>
      <c r="H13" s="40"/>
    </row>
    <row r="14" spans="3:8" ht="18" customHeight="1">
      <c r="C14" s="14"/>
      <c r="D14" s="2"/>
      <c r="E14" s="2"/>
      <c r="F14" s="3"/>
      <c r="G14" s="3"/>
      <c r="H14" s="40"/>
    </row>
    <row r="15" spans="3:8" ht="18" customHeight="1">
      <c r="C15" s="14"/>
      <c r="D15" s="2" t="s">
        <v>527</v>
      </c>
      <c r="E15" s="2" t="s">
        <v>614</v>
      </c>
      <c r="F15" s="3">
        <v>60044.533300000003</v>
      </c>
      <c r="G15" s="3">
        <f>F15</f>
        <v>60044.533300000003</v>
      </c>
      <c r="H15" s="40"/>
    </row>
    <row r="16" spans="3:8" ht="18" customHeight="1">
      <c r="C16" s="14"/>
      <c r="D16" s="2"/>
      <c r="E16" s="2"/>
      <c r="F16" s="3"/>
      <c r="G16" s="3"/>
      <c r="H16" s="40"/>
    </row>
    <row r="17" spans="3:8" ht="18" customHeight="1">
      <c r="C17" s="14"/>
      <c r="D17" s="2" t="s">
        <v>527</v>
      </c>
      <c r="E17" s="2" t="s">
        <v>615</v>
      </c>
      <c r="F17" s="3">
        <v>6120.27</v>
      </c>
      <c r="G17" s="30">
        <f>F17</f>
        <v>6120.27</v>
      </c>
      <c r="H17" s="40"/>
    </row>
    <row r="18" spans="3:8" ht="18" customHeight="1">
      <c r="C18" s="14"/>
      <c r="D18" s="31" t="s">
        <v>619</v>
      </c>
      <c r="E18" s="2"/>
      <c r="F18" s="28"/>
      <c r="G18" s="36">
        <f>SUM(G7:G17)</f>
        <v>445535.29260000004</v>
      </c>
      <c r="H18" s="41"/>
    </row>
    <row r="19" spans="3:8" ht="18" customHeight="1">
      <c r="C19" s="14"/>
      <c r="D19" s="16"/>
      <c r="E19" s="16"/>
      <c r="F19" s="16"/>
      <c r="G19" s="16"/>
      <c r="H19" s="17"/>
    </row>
    <row r="20" spans="3:8" ht="18" customHeight="1" thickBot="1">
      <c r="C20" s="14"/>
      <c r="D20" s="31" t="s">
        <v>622</v>
      </c>
      <c r="E20" s="16"/>
      <c r="F20" s="42"/>
      <c r="G20" s="37">
        <f>G18</f>
        <v>445535.29260000004</v>
      </c>
      <c r="H20" s="43"/>
    </row>
    <row r="21" spans="3:8" ht="18" customHeight="1" thickTop="1">
      <c r="C21" s="73" t="s">
        <v>764</v>
      </c>
      <c r="D21" s="48"/>
      <c r="E21" s="48"/>
      <c r="F21" s="48"/>
      <c r="G21" s="48"/>
      <c r="H21" s="49"/>
    </row>
    <row r="22" spans="3:8" ht="18" customHeight="1">
      <c r="C22" s="14"/>
      <c r="D22" s="15" t="s">
        <v>618</v>
      </c>
      <c r="E22" s="16"/>
      <c r="F22" s="16"/>
      <c r="G22" s="16"/>
      <c r="H22" s="17"/>
    </row>
    <row r="23" spans="3:8" ht="18" customHeight="1">
      <c r="C23" s="14"/>
      <c r="D23" s="16"/>
      <c r="E23" s="16" t="s">
        <v>616</v>
      </c>
      <c r="F23" s="21">
        <f>G15</f>
        <v>60044.533300000003</v>
      </c>
      <c r="G23" s="44">
        <f>F23/G20</f>
        <v>0.13476942073342721</v>
      </c>
      <c r="H23" s="17"/>
    </row>
    <row r="24" spans="3:8" ht="18" customHeight="1">
      <c r="C24" s="14"/>
      <c r="D24" s="16"/>
      <c r="E24" s="16" t="s">
        <v>608</v>
      </c>
      <c r="F24" s="21">
        <f>G13</f>
        <v>268065.13010000001</v>
      </c>
      <c r="G24" s="44">
        <f>F24/G20</f>
        <v>0.60166979934554343</v>
      </c>
      <c r="H24" s="17"/>
    </row>
    <row r="25" spans="3:8" ht="18" customHeight="1">
      <c r="C25" s="14"/>
      <c r="D25" s="16"/>
      <c r="E25" s="16" t="s">
        <v>607</v>
      </c>
      <c r="F25" s="21">
        <f>G17</f>
        <v>6120.27</v>
      </c>
      <c r="G25" s="44">
        <f>F25/G20</f>
        <v>1.3736891558655392E-2</v>
      </c>
      <c r="H25" s="17"/>
    </row>
    <row r="26" spans="3:8" ht="18" customHeight="1">
      <c r="C26" s="14"/>
      <c r="D26" s="16"/>
      <c r="E26" s="22" t="s">
        <v>617</v>
      </c>
      <c r="F26" s="21">
        <f>G9</f>
        <v>111305.35920000001</v>
      </c>
      <c r="G26" s="44">
        <f>F26/G20</f>
        <v>0.2498238883623739</v>
      </c>
      <c r="H26" s="17"/>
    </row>
    <row r="27" spans="3:8" ht="18" customHeight="1" thickBot="1">
      <c r="C27" s="14"/>
      <c r="D27" s="16"/>
      <c r="E27" s="16" t="s">
        <v>13</v>
      </c>
      <c r="F27" s="497">
        <f>F30-G20</f>
        <v>62101.807399999932</v>
      </c>
      <c r="G27" s="55">
        <v>0</v>
      </c>
      <c r="H27" s="17"/>
    </row>
    <row r="28" spans="3:8" ht="18" customHeight="1" thickTop="1" thickBot="1">
      <c r="C28" s="18"/>
      <c r="D28" s="19"/>
      <c r="E28" s="19" t="s">
        <v>606</v>
      </c>
      <c r="F28" s="45">
        <f>SUM(F23:F27)</f>
        <v>507637.1</v>
      </c>
      <c r="G28" s="46">
        <f>SUM(G23:G26)</f>
        <v>1</v>
      </c>
      <c r="H28" s="20"/>
    </row>
    <row r="29" spans="3:8" ht="14.25" customHeight="1"/>
    <row r="30" spans="3:8">
      <c r="F30" s="335">
        <v>507637.1</v>
      </c>
    </row>
    <row r="31" spans="3:8">
      <c r="F31" s="335" t="s">
        <v>54</v>
      </c>
    </row>
    <row r="32" spans="3:8">
      <c r="F32" t="s">
        <v>54</v>
      </c>
    </row>
    <row r="33" spans="6:6">
      <c r="F33" s="335" t="s">
        <v>54</v>
      </c>
    </row>
  </sheetData>
  <phoneticPr fontId="0" type="noConversion"/>
  <pageMargins left="0.75" right="0.75" top="1" bottom="1" header="0.5" footer="0.5"/>
  <pageSetup orientation="portrait" r:id="rId1"/>
  <headerFooter alignWithMargins="0"/>
  <ignoredErrors>
    <ignoredError sqref="F24"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election activeCell="G22" sqref="G22"/>
    </sheetView>
  </sheetViews>
  <sheetFormatPr defaultRowHeight="12.75"/>
  <cols>
    <col min="1" max="1" width="6.5703125" customWidth="1"/>
    <col min="2" max="2" width="16.42578125" customWidth="1"/>
    <col min="3" max="3" width="13.42578125" bestFit="1" customWidth="1"/>
    <col min="4" max="4" width="5.7109375" bestFit="1" customWidth="1"/>
    <col min="5" max="5" width="11.7109375" bestFit="1" customWidth="1"/>
    <col min="6" max="6" width="9.85546875" bestFit="1" customWidth="1"/>
    <col min="7" max="7" width="19" customWidth="1"/>
    <col min="8" max="8" width="14.85546875" customWidth="1"/>
    <col min="9" max="9" width="1.7109375" customWidth="1"/>
    <col min="10" max="10" width="11.28515625" bestFit="1" customWidth="1"/>
  </cols>
  <sheetData>
    <row r="1" spans="1:5" ht="18">
      <c r="B1" s="192" t="s">
        <v>734</v>
      </c>
    </row>
    <row r="3" spans="1:5" ht="17.25" customHeight="1">
      <c r="B3" s="72" t="s">
        <v>29</v>
      </c>
    </row>
    <row r="4" spans="1:5" ht="19.5" customHeight="1">
      <c r="B4" s="383" t="s">
        <v>525</v>
      </c>
      <c r="C4" s="383" t="s">
        <v>644</v>
      </c>
      <c r="E4" s="383" t="s">
        <v>603</v>
      </c>
    </row>
    <row r="5" spans="1:5" ht="15.75" customHeight="1">
      <c r="A5" t="s">
        <v>54</v>
      </c>
      <c r="B5" s="384" t="s">
        <v>25</v>
      </c>
      <c r="C5" s="462">
        <f>'EIA412 ELECTRIC PLANT'!K15</f>
        <v>123635</v>
      </c>
      <c r="D5" s="460"/>
      <c r="E5" s="462">
        <f>C5+D5</f>
        <v>123635</v>
      </c>
    </row>
    <row r="6" spans="1:5" ht="14.25" customHeight="1">
      <c r="A6" t="s">
        <v>54</v>
      </c>
      <c r="B6" s="384" t="s">
        <v>26</v>
      </c>
      <c r="C6" s="462">
        <f>'EIA412 ELECTRIC PLANT'!K17</f>
        <v>38696</v>
      </c>
      <c r="D6" s="460"/>
      <c r="E6" s="462">
        <f>C6+D6</f>
        <v>38696</v>
      </c>
    </row>
    <row r="7" spans="1:5" ht="14.1" customHeight="1">
      <c r="A7" t="s">
        <v>54</v>
      </c>
      <c r="B7" s="384" t="s">
        <v>24</v>
      </c>
      <c r="C7" s="462">
        <f>'EIA412 ELECTRIC PLANT'!K18</f>
        <v>292312</v>
      </c>
      <c r="D7" s="460"/>
      <c r="E7" s="462">
        <f>C7+D7</f>
        <v>292312</v>
      </c>
    </row>
    <row r="8" spans="1:5" ht="14.1" customHeight="1">
      <c r="A8" t="s">
        <v>54</v>
      </c>
      <c r="B8" s="384" t="s">
        <v>30</v>
      </c>
      <c r="C8" s="462">
        <f>'EIA412 ELECTRIC PLANT'!K19</f>
        <v>68869</v>
      </c>
      <c r="D8" s="460"/>
      <c r="E8" s="462">
        <f>C8+D8</f>
        <v>68869</v>
      </c>
    </row>
    <row r="9" spans="1:5" ht="14.1" customHeight="1">
      <c r="A9" t="s">
        <v>54</v>
      </c>
      <c r="B9" s="384"/>
      <c r="C9" s="461">
        <f>SUM(C5:C8)</f>
        <v>523512</v>
      </c>
      <c r="D9" s="460"/>
      <c r="E9" s="461">
        <f>SUM(E5:E8)</f>
        <v>523512</v>
      </c>
    </row>
    <row r="10" spans="1:5" ht="14.1" customHeight="1">
      <c r="A10" t="s">
        <v>54</v>
      </c>
      <c r="B10" s="385"/>
      <c r="C10" s="386"/>
      <c r="E10" s="348"/>
    </row>
    <row r="11" spans="1:5" ht="14.1" customHeight="1"/>
    <row r="12" spans="1:5" ht="14.1" customHeight="1"/>
    <row r="13" spans="1:5" ht="14.1" customHeight="1"/>
    <row r="14" spans="1:5" ht="14.1" customHeight="1"/>
    <row r="15" spans="1:5" ht="14.1" customHeight="1"/>
    <row r="16" spans="1:5" ht="14.1" customHeight="1"/>
    <row r="17" spans="8:8" ht="14.1" customHeight="1"/>
    <row r="18" spans="8:8" ht="14.1" customHeight="1"/>
    <row r="20" spans="8:8" ht="5.0999999999999996" customHeight="1"/>
    <row r="23" spans="8:8">
      <c r="H23" t="s">
        <v>54</v>
      </c>
    </row>
  </sheetData>
  <phoneticPr fontId="0" type="noConversion"/>
  <pageMargins left="0.75" right="0.75" top="1" bottom="1" header="0.5" footer="0.5"/>
  <pageSetup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U578"/>
  <sheetViews>
    <sheetView showGridLines="0" topLeftCell="A9" workbookViewId="0">
      <selection activeCell="L38" sqref="L38"/>
    </sheetView>
  </sheetViews>
  <sheetFormatPr defaultColWidth="9.140625" defaultRowHeight="12.75"/>
  <cols>
    <col min="1" max="2" width="9.140625" style="469"/>
    <col min="3" max="3" width="14.140625" style="469" customWidth="1"/>
    <col min="4" max="4" width="13.28515625" style="469" customWidth="1"/>
    <col min="5" max="5" width="21.42578125" style="469" customWidth="1"/>
    <col min="6" max="11" width="17.140625" style="469" customWidth="1"/>
    <col min="12" max="12" width="16" style="469" customWidth="1"/>
    <col min="13" max="13" width="13.140625" style="469" customWidth="1"/>
    <col min="14" max="16384" width="9.140625" style="469"/>
  </cols>
  <sheetData>
    <row r="2" spans="4:21" ht="45">
      <c r="D2" s="472" t="s">
        <v>683</v>
      </c>
      <c r="E2" s="473" t="s">
        <v>684</v>
      </c>
      <c r="F2" s="474" t="s">
        <v>47</v>
      </c>
      <c r="G2" s="474" t="s">
        <v>598</v>
      </c>
      <c r="H2" s="474" t="s">
        <v>685</v>
      </c>
      <c r="I2" s="474" t="s">
        <v>686</v>
      </c>
      <c r="J2" s="474" t="s">
        <v>709</v>
      </c>
      <c r="K2" s="474" t="s">
        <v>710</v>
      </c>
      <c r="L2" s="475" t="s">
        <v>687</v>
      </c>
      <c r="M2" s="474" t="s">
        <v>688</v>
      </c>
      <c r="N2" s="474" t="s">
        <v>689</v>
      </c>
      <c r="O2" s="474" t="s">
        <v>711</v>
      </c>
      <c r="P2" s="474" t="s">
        <v>712</v>
      </c>
      <c r="R2" s="471">
        <v>2012</v>
      </c>
      <c r="S2" s="471">
        <v>2013</v>
      </c>
      <c r="T2" s="471">
        <v>2014</v>
      </c>
      <c r="U2" s="471">
        <v>2015</v>
      </c>
    </row>
    <row r="3" spans="4:21">
      <c r="D3" s="470" t="s">
        <v>690</v>
      </c>
      <c r="E3" s="476" t="s">
        <v>691</v>
      </c>
      <c r="F3" s="477">
        <v>40927</v>
      </c>
      <c r="G3" s="478">
        <f t="shared" ref="G3:G66" si="0">YEAR(F3)</f>
        <v>2012</v>
      </c>
      <c r="H3" s="478">
        <f t="shared" ref="H3:H66" si="1">MONTH(F3)</f>
        <v>1</v>
      </c>
      <c r="I3" s="479">
        <v>19</v>
      </c>
      <c r="J3" s="479">
        <v>7.6239999999999997</v>
      </c>
      <c r="K3" s="479">
        <v>0</v>
      </c>
      <c r="L3" s="480">
        <v>7.6239999999999997</v>
      </c>
      <c r="M3" s="479">
        <v>6604</v>
      </c>
      <c r="N3" s="481">
        <v>1.1999999999999999E-3</v>
      </c>
      <c r="O3" s="479">
        <v>7.4189999999999996</v>
      </c>
      <c r="P3" s="479">
        <v>0</v>
      </c>
      <c r="Q3" s="469" t="s">
        <v>713</v>
      </c>
      <c r="T3" s="469">
        <f>AVERAGE(L27:L38)</f>
        <v>8.9283333333333328</v>
      </c>
    </row>
    <row r="4" spans="4:21">
      <c r="D4" s="470" t="s">
        <v>690</v>
      </c>
      <c r="E4" s="476" t="s">
        <v>691</v>
      </c>
      <c r="F4" s="477">
        <v>40967</v>
      </c>
      <c r="G4" s="478">
        <f t="shared" si="0"/>
        <v>2012</v>
      </c>
      <c r="H4" s="478">
        <f t="shared" si="1"/>
        <v>2</v>
      </c>
      <c r="I4" s="479">
        <v>19</v>
      </c>
      <c r="J4" s="479">
        <v>6.66</v>
      </c>
      <c r="K4" s="479">
        <v>0.54400000000000004</v>
      </c>
      <c r="L4" s="480">
        <v>7.2039999999999997</v>
      </c>
      <c r="M4" s="479">
        <v>6178</v>
      </c>
      <c r="N4" s="481">
        <v>1.1999999999999999E-3</v>
      </c>
      <c r="O4" s="479">
        <v>6.4729999999999999</v>
      </c>
      <c r="P4" s="479">
        <v>0.54400000000000004</v>
      </c>
      <c r="Q4" s="469" t="s">
        <v>714</v>
      </c>
      <c r="R4" s="469">
        <f>AVERAGE(L51:L62)</f>
        <v>9.3786666666666676</v>
      </c>
      <c r="S4" s="469">
        <f>AVERAGE(L63:L74)</f>
        <v>9.5654166666666693</v>
      </c>
      <c r="T4" s="469">
        <f>AVERAGE(L75:L86)</f>
        <v>9.28541666666667</v>
      </c>
      <c r="U4" s="469">
        <f>AVERAGE(L87:L98)</f>
        <v>9.8222500000000004</v>
      </c>
    </row>
    <row r="5" spans="4:21">
      <c r="D5" s="470" t="s">
        <v>690</v>
      </c>
      <c r="E5" s="476" t="s">
        <v>691</v>
      </c>
      <c r="F5" s="477">
        <v>40987</v>
      </c>
      <c r="G5" s="478">
        <f t="shared" si="0"/>
        <v>2012</v>
      </c>
      <c r="H5" s="478">
        <f t="shared" si="1"/>
        <v>3</v>
      </c>
      <c r="I5" s="479">
        <v>14</v>
      </c>
      <c r="J5" s="479">
        <v>5.2949999999999999</v>
      </c>
      <c r="K5" s="479">
        <v>2.3420000000000001</v>
      </c>
      <c r="L5" s="480">
        <v>7.6369999999999996</v>
      </c>
      <c r="M5" s="479">
        <v>6170</v>
      </c>
      <c r="N5" s="481">
        <v>1.1999999999999999E-3</v>
      </c>
      <c r="O5" s="479">
        <v>5.0960000000000001</v>
      </c>
      <c r="P5" s="479">
        <v>2.3420000000000001</v>
      </c>
    </row>
    <row r="6" spans="4:21">
      <c r="D6" s="470" t="s">
        <v>690</v>
      </c>
      <c r="E6" s="476" t="s">
        <v>691</v>
      </c>
      <c r="F6" s="477">
        <v>41024</v>
      </c>
      <c r="G6" s="478">
        <f t="shared" si="0"/>
        <v>2012</v>
      </c>
      <c r="H6" s="478">
        <f t="shared" si="1"/>
        <v>4</v>
      </c>
      <c r="I6" s="479">
        <v>15</v>
      </c>
      <c r="J6" s="479">
        <v>7.3550000000000004</v>
      </c>
      <c r="K6" s="479">
        <v>6.7000000000000004E-2</v>
      </c>
      <c r="L6" s="480">
        <v>7.4219999999999997</v>
      </c>
      <c r="M6" s="479">
        <v>5813</v>
      </c>
      <c r="N6" s="481">
        <v>1.2999999999999999E-3</v>
      </c>
      <c r="O6" s="479">
        <v>7.1589999999999998</v>
      </c>
      <c r="P6" s="479">
        <v>6.7000000000000004E-2</v>
      </c>
    </row>
    <row r="7" spans="4:21">
      <c r="D7" s="470" t="s">
        <v>690</v>
      </c>
      <c r="E7" s="476" t="s">
        <v>691</v>
      </c>
      <c r="F7" s="477">
        <v>41047</v>
      </c>
      <c r="G7" s="478">
        <f t="shared" si="0"/>
        <v>2012</v>
      </c>
      <c r="H7" s="478">
        <f t="shared" si="1"/>
        <v>5</v>
      </c>
      <c r="I7" s="479">
        <v>17</v>
      </c>
      <c r="J7" s="479">
        <v>7.3330000000000002</v>
      </c>
      <c r="K7" s="479">
        <v>1.6539999999999999</v>
      </c>
      <c r="L7" s="480">
        <v>8.9870000000000001</v>
      </c>
      <c r="M7" s="479">
        <v>7203</v>
      </c>
      <c r="N7" s="481">
        <v>1.1999999999999999E-3</v>
      </c>
      <c r="O7" s="479">
        <v>7.1539999999999999</v>
      </c>
      <c r="P7" s="479">
        <v>1.6539999999999999</v>
      </c>
    </row>
    <row r="8" spans="4:21">
      <c r="D8" s="470" t="s">
        <v>690</v>
      </c>
      <c r="E8" s="476" t="s">
        <v>691</v>
      </c>
      <c r="F8" s="477">
        <v>41087</v>
      </c>
      <c r="G8" s="478">
        <f t="shared" si="0"/>
        <v>2012</v>
      </c>
      <c r="H8" s="478">
        <f t="shared" si="1"/>
        <v>6</v>
      </c>
      <c r="I8" s="479">
        <v>17</v>
      </c>
      <c r="J8" s="479">
        <v>11.933</v>
      </c>
      <c r="K8" s="479">
        <v>0.46200000000000002</v>
      </c>
      <c r="L8" s="480">
        <v>12.395</v>
      </c>
      <c r="M8" s="479">
        <v>8833</v>
      </c>
      <c r="N8" s="481">
        <v>1.4E-3</v>
      </c>
      <c r="O8" s="479">
        <v>11.686999999999999</v>
      </c>
      <c r="P8" s="479">
        <v>0.46200000000000002</v>
      </c>
    </row>
    <row r="9" spans="4:21">
      <c r="D9" s="470" t="s">
        <v>690</v>
      </c>
      <c r="E9" s="476" t="s">
        <v>691</v>
      </c>
      <c r="F9" s="477">
        <v>41092</v>
      </c>
      <c r="G9" s="478">
        <f t="shared" si="0"/>
        <v>2012</v>
      </c>
      <c r="H9" s="478">
        <f t="shared" si="1"/>
        <v>7</v>
      </c>
      <c r="I9" s="479">
        <v>17</v>
      </c>
      <c r="J9" s="479">
        <v>10.741</v>
      </c>
      <c r="K9" s="479">
        <v>1.319</v>
      </c>
      <c r="L9" s="480">
        <v>12.06</v>
      </c>
      <c r="M9" s="479">
        <v>9682</v>
      </c>
      <c r="N9" s="481">
        <v>1.1999999999999999E-3</v>
      </c>
      <c r="O9" s="479">
        <v>10.555</v>
      </c>
      <c r="P9" s="479">
        <v>1.319</v>
      </c>
    </row>
    <row r="10" spans="4:21">
      <c r="D10" s="470" t="s">
        <v>690</v>
      </c>
      <c r="E10" s="476" t="s">
        <v>691</v>
      </c>
      <c r="F10" s="477">
        <v>41122</v>
      </c>
      <c r="G10" s="478">
        <f t="shared" si="0"/>
        <v>2012</v>
      </c>
      <c r="H10" s="478">
        <f t="shared" si="1"/>
        <v>8</v>
      </c>
      <c r="I10" s="479">
        <v>17</v>
      </c>
      <c r="J10" s="479">
        <v>13.132999999999999</v>
      </c>
      <c r="K10" s="479">
        <v>0.185</v>
      </c>
      <c r="L10" s="480">
        <v>13.318</v>
      </c>
      <c r="M10" s="479">
        <v>8979</v>
      </c>
      <c r="N10" s="481">
        <v>1.5E-3</v>
      </c>
      <c r="O10" s="479">
        <v>12.858000000000001</v>
      </c>
      <c r="P10" s="479">
        <v>0.185</v>
      </c>
      <c r="R10" s="469" t="s">
        <v>54</v>
      </c>
      <c r="T10" s="469" t="s">
        <v>54</v>
      </c>
    </row>
    <row r="11" spans="4:21">
      <c r="D11" s="470" t="s">
        <v>690</v>
      </c>
      <c r="E11" s="476" t="s">
        <v>691</v>
      </c>
      <c r="F11" s="477">
        <v>41156</v>
      </c>
      <c r="G11" s="478">
        <f t="shared" si="0"/>
        <v>2012</v>
      </c>
      <c r="H11" s="478">
        <f t="shared" si="1"/>
        <v>9</v>
      </c>
      <c r="I11" s="479">
        <v>16</v>
      </c>
      <c r="J11" s="479">
        <v>11.564</v>
      </c>
      <c r="K11" s="479">
        <v>0</v>
      </c>
      <c r="L11" s="480">
        <v>11.564</v>
      </c>
      <c r="M11" s="479">
        <v>8521</v>
      </c>
      <c r="N11" s="481">
        <v>1.4E-3</v>
      </c>
      <c r="O11" s="479">
        <v>11.27</v>
      </c>
      <c r="P11" s="479">
        <v>0</v>
      </c>
    </row>
    <row r="12" spans="4:21">
      <c r="D12" s="470" t="s">
        <v>690</v>
      </c>
      <c r="E12" s="476" t="s">
        <v>691</v>
      </c>
      <c r="F12" s="477">
        <v>41185</v>
      </c>
      <c r="G12" s="478">
        <f t="shared" si="0"/>
        <v>2012</v>
      </c>
      <c r="H12" s="478">
        <f t="shared" si="1"/>
        <v>10</v>
      </c>
      <c r="I12" s="479">
        <v>14</v>
      </c>
      <c r="J12" s="479">
        <v>7.1589999999999998</v>
      </c>
      <c r="K12" s="479">
        <v>0.80300000000000005</v>
      </c>
      <c r="L12" s="480">
        <v>7.9619999999999997</v>
      </c>
      <c r="M12" s="479">
        <v>6122</v>
      </c>
      <c r="N12" s="481">
        <v>1.2999999999999999E-3</v>
      </c>
      <c r="O12" s="479">
        <v>6.992</v>
      </c>
      <c r="P12" s="479">
        <v>0.80300000000000005</v>
      </c>
    </row>
    <row r="13" spans="4:21">
      <c r="D13" s="470" t="s">
        <v>690</v>
      </c>
      <c r="E13" s="476" t="s">
        <v>691</v>
      </c>
      <c r="F13" s="477">
        <v>41239</v>
      </c>
      <c r="G13" s="478">
        <f t="shared" si="0"/>
        <v>2012</v>
      </c>
      <c r="H13" s="478">
        <f t="shared" si="1"/>
        <v>11</v>
      </c>
      <c r="I13" s="479">
        <v>18</v>
      </c>
      <c r="J13" s="479">
        <v>6.391</v>
      </c>
      <c r="K13" s="479">
        <v>0.22900000000000001</v>
      </c>
      <c r="L13" s="480">
        <v>6.62</v>
      </c>
      <c r="M13" s="479">
        <v>6416</v>
      </c>
      <c r="N13" s="481">
        <v>1E-3</v>
      </c>
      <c r="O13" s="479">
        <v>6.1639999999999997</v>
      </c>
      <c r="P13" s="479">
        <v>0.22900000000000001</v>
      </c>
    </row>
    <row r="14" spans="4:21">
      <c r="D14" s="470" t="s">
        <v>690</v>
      </c>
      <c r="E14" s="476" t="s">
        <v>691</v>
      </c>
      <c r="F14" s="477">
        <v>41253</v>
      </c>
      <c r="G14" s="478">
        <f t="shared" si="0"/>
        <v>2012</v>
      </c>
      <c r="H14" s="478">
        <f t="shared" si="1"/>
        <v>12</v>
      </c>
      <c r="I14" s="479">
        <v>18</v>
      </c>
      <c r="J14" s="479">
        <v>8.1850000000000005</v>
      </c>
      <c r="K14" s="479">
        <v>0</v>
      </c>
      <c r="L14" s="480">
        <v>8.1850000000000005</v>
      </c>
      <c r="M14" s="479">
        <v>6609</v>
      </c>
      <c r="N14" s="481">
        <v>1.1999999999999999E-3</v>
      </c>
      <c r="O14" s="479">
        <v>7.9580000000000002</v>
      </c>
      <c r="P14" s="479">
        <v>0</v>
      </c>
    </row>
    <row r="15" spans="4:21">
      <c r="D15" s="470" t="s">
        <v>690</v>
      </c>
      <c r="E15" s="476" t="s">
        <v>691</v>
      </c>
      <c r="F15" s="477">
        <v>41295</v>
      </c>
      <c r="G15" s="478">
        <f t="shared" si="0"/>
        <v>2013</v>
      </c>
      <c r="H15" s="478">
        <f t="shared" si="1"/>
        <v>1</v>
      </c>
      <c r="I15" s="479">
        <v>19</v>
      </c>
      <c r="J15" s="479">
        <v>7.181</v>
      </c>
      <c r="K15" s="479">
        <v>0.60599999999999998</v>
      </c>
      <c r="L15" s="480">
        <v>7.7869999999999999</v>
      </c>
      <c r="M15" s="479">
        <v>6846</v>
      </c>
      <c r="N15" s="481">
        <v>1.1000000000000001E-3</v>
      </c>
      <c r="O15" s="479">
        <v>6.9729999999999999</v>
      </c>
      <c r="P15" s="479">
        <v>0.60599999999999998</v>
      </c>
    </row>
    <row r="16" spans="4:21">
      <c r="D16" s="470" t="s">
        <v>690</v>
      </c>
      <c r="E16" s="476" t="s">
        <v>691</v>
      </c>
      <c r="F16" s="477">
        <v>41324</v>
      </c>
      <c r="G16" s="478">
        <f t="shared" si="0"/>
        <v>2013</v>
      </c>
      <c r="H16" s="478">
        <f t="shared" si="1"/>
        <v>2</v>
      </c>
      <c r="I16" s="479">
        <v>19</v>
      </c>
      <c r="J16" s="479">
        <v>7.7690000000000001</v>
      </c>
      <c r="K16" s="479">
        <v>1.085</v>
      </c>
      <c r="L16" s="480">
        <v>8.8539999999999992</v>
      </c>
      <c r="M16" s="479">
        <v>6511</v>
      </c>
      <c r="N16" s="481">
        <v>1.4E-3</v>
      </c>
      <c r="O16" s="479">
        <v>7.5659999999999998</v>
      </c>
      <c r="P16" s="479">
        <v>1.085</v>
      </c>
    </row>
    <row r="17" spans="4:16">
      <c r="D17" s="470" t="s">
        <v>690</v>
      </c>
      <c r="E17" s="476" t="s">
        <v>691</v>
      </c>
      <c r="F17" s="477">
        <v>41337</v>
      </c>
      <c r="G17" s="478">
        <f t="shared" si="0"/>
        <v>2013</v>
      </c>
      <c r="H17" s="478">
        <f t="shared" si="1"/>
        <v>3</v>
      </c>
      <c r="I17" s="479">
        <v>19</v>
      </c>
      <c r="J17" s="479">
        <v>7.1639999999999997</v>
      </c>
      <c r="K17" s="479">
        <v>0.318</v>
      </c>
      <c r="L17" s="480">
        <v>7.4820000000000002</v>
      </c>
      <c r="M17" s="479">
        <v>6172</v>
      </c>
      <c r="N17" s="481">
        <v>1.1999999999999999E-3</v>
      </c>
      <c r="O17" s="479">
        <v>6.9290000000000003</v>
      </c>
      <c r="P17" s="479">
        <v>0.318</v>
      </c>
    </row>
    <row r="18" spans="4:16">
      <c r="D18" s="470" t="s">
        <v>690</v>
      </c>
      <c r="E18" s="476" t="s">
        <v>691</v>
      </c>
      <c r="F18" s="477">
        <v>41382</v>
      </c>
      <c r="G18" s="478">
        <f t="shared" si="0"/>
        <v>2013</v>
      </c>
      <c r="H18" s="478">
        <f t="shared" si="1"/>
        <v>4</v>
      </c>
      <c r="I18" s="479">
        <v>12</v>
      </c>
      <c r="J18" s="479">
        <v>5.7640000000000002</v>
      </c>
      <c r="K18" s="479">
        <v>1.1990000000000001</v>
      </c>
      <c r="L18" s="480">
        <v>6.9630000000000001</v>
      </c>
      <c r="M18" s="479">
        <v>5851</v>
      </c>
      <c r="N18" s="481">
        <v>1.1999999999999999E-3</v>
      </c>
      <c r="O18" s="479">
        <v>5.62</v>
      </c>
      <c r="P18" s="479">
        <v>1.1990000000000001</v>
      </c>
    </row>
    <row r="19" spans="4:16">
      <c r="D19" s="470" t="s">
        <v>690</v>
      </c>
      <c r="E19" s="476" t="s">
        <v>691</v>
      </c>
      <c r="F19" s="477">
        <v>41408</v>
      </c>
      <c r="G19" s="478">
        <f t="shared" si="0"/>
        <v>2013</v>
      </c>
      <c r="H19" s="478">
        <f t="shared" si="1"/>
        <v>5</v>
      </c>
      <c r="I19" s="479">
        <v>17</v>
      </c>
      <c r="J19" s="479">
        <v>7.1429999999999998</v>
      </c>
      <c r="K19" s="479">
        <v>1.67</v>
      </c>
      <c r="L19" s="480">
        <v>8.8130000000000006</v>
      </c>
      <c r="M19" s="479">
        <v>6516</v>
      </c>
      <c r="N19" s="481">
        <v>1.4E-3</v>
      </c>
      <c r="O19" s="479">
        <v>6.9829999999999997</v>
      </c>
      <c r="P19" s="479">
        <v>1.67</v>
      </c>
    </row>
    <row r="20" spans="4:16">
      <c r="D20" s="470" t="s">
        <v>690</v>
      </c>
      <c r="E20" s="476" t="s">
        <v>691</v>
      </c>
      <c r="F20" s="477">
        <v>41451</v>
      </c>
      <c r="G20" s="478">
        <f t="shared" si="0"/>
        <v>2013</v>
      </c>
      <c r="H20" s="478">
        <f t="shared" si="1"/>
        <v>6</v>
      </c>
      <c r="I20" s="479">
        <v>16</v>
      </c>
      <c r="J20" s="479">
        <v>9.1560000000000006</v>
      </c>
      <c r="K20" s="479">
        <v>1.7450000000000001</v>
      </c>
      <c r="L20" s="480">
        <v>10.901</v>
      </c>
      <c r="M20" s="479">
        <v>8280</v>
      </c>
      <c r="N20" s="481">
        <v>1.2999999999999999E-3</v>
      </c>
      <c r="O20" s="479">
        <v>8.952</v>
      </c>
      <c r="P20" s="479">
        <v>1.7450000000000001</v>
      </c>
    </row>
    <row r="21" spans="4:16">
      <c r="D21" s="470" t="s">
        <v>690</v>
      </c>
      <c r="E21" s="476" t="s">
        <v>691</v>
      </c>
      <c r="F21" s="477">
        <v>41473</v>
      </c>
      <c r="G21" s="478">
        <f t="shared" si="0"/>
        <v>2013</v>
      </c>
      <c r="H21" s="478">
        <f t="shared" si="1"/>
        <v>7</v>
      </c>
      <c r="I21" s="479">
        <v>17</v>
      </c>
      <c r="J21" s="479">
        <v>11.316000000000001</v>
      </c>
      <c r="K21" s="479">
        <v>1.746</v>
      </c>
      <c r="L21" s="480">
        <v>13.061999999999999</v>
      </c>
      <c r="M21" s="479">
        <v>9566</v>
      </c>
      <c r="N21" s="481">
        <v>1.4E-3</v>
      </c>
      <c r="O21" s="479">
        <v>11.128</v>
      </c>
      <c r="P21" s="479">
        <v>1.746</v>
      </c>
    </row>
    <row r="22" spans="4:16">
      <c r="D22" s="470" t="s">
        <v>690</v>
      </c>
      <c r="E22" s="476" t="s">
        <v>691</v>
      </c>
      <c r="F22" s="477">
        <v>41512</v>
      </c>
      <c r="G22" s="478">
        <f t="shared" si="0"/>
        <v>2013</v>
      </c>
      <c r="H22" s="478">
        <f t="shared" si="1"/>
        <v>8</v>
      </c>
      <c r="I22" s="479">
        <v>17</v>
      </c>
      <c r="J22" s="479">
        <v>12.284000000000001</v>
      </c>
      <c r="K22" s="479">
        <v>0.66100000000000003</v>
      </c>
      <c r="L22" s="480">
        <v>12.945</v>
      </c>
      <c r="M22" s="479">
        <v>9821</v>
      </c>
      <c r="N22" s="481">
        <v>1.2999999999999999E-3</v>
      </c>
      <c r="O22" s="479">
        <v>12.113</v>
      </c>
      <c r="P22" s="479">
        <v>0.66100000000000003</v>
      </c>
    </row>
    <row r="23" spans="4:16">
      <c r="D23" s="470" t="s">
        <v>690</v>
      </c>
      <c r="E23" s="476" t="s">
        <v>691</v>
      </c>
      <c r="F23" s="477">
        <v>41526</v>
      </c>
      <c r="G23" s="478">
        <f t="shared" si="0"/>
        <v>2013</v>
      </c>
      <c r="H23" s="478">
        <f t="shared" si="1"/>
        <v>9</v>
      </c>
      <c r="I23" s="479">
        <v>17</v>
      </c>
      <c r="J23" s="479">
        <v>11.632999999999999</v>
      </c>
      <c r="K23" s="479">
        <v>1.78</v>
      </c>
      <c r="L23" s="480">
        <v>13.413</v>
      </c>
      <c r="M23" s="479">
        <v>8781</v>
      </c>
      <c r="N23" s="481">
        <v>1.5E-3</v>
      </c>
      <c r="O23" s="479">
        <v>11.451000000000001</v>
      </c>
      <c r="P23" s="479">
        <v>1.78</v>
      </c>
    </row>
    <row r="24" spans="4:16">
      <c r="D24" s="470" t="s">
        <v>690</v>
      </c>
      <c r="E24" s="476" t="s">
        <v>691</v>
      </c>
      <c r="F24" s="477">
        <v>41548</v>
      </c>
      <c r="G24" s="478">
        <f t="shared" si="0"/>
        <v>2013</v>
      </c>
      <c r="H24" s="478">
        <f t="shared" si="1"/>
        <v>10</v>
      </c>
      <c r="I24" s="479">
        <v>14</v>
      </c>
      <c r="J24" s="479">
        <v>9.048</v>
      </c>
      <c r="K24" s="479">
        <v>0.107</v>
      </c>
      <c r="L24" s="480">
        <v>9.1549999999999994</v>
      </c>
      <c r="M24" s="479">
        <v>6214</v>
      </c>
      <c r="N24" s="481">
        <v>1.5E-3</v>
      </c>
      <c r="O24" s="479">
        <v>8.81</v>
      </c>
      <c r="P24" s="479">
        <v>0.107</v>
      </c>
    </row>
    <row r="25" spans="4:16">
      <c r="D25" s="470" t="s">
        <v>690</v>
      </c>
      <c r="E25" s="476" t="s">
        <v>691</v>
      </c>
      <c r="F25" s="477">
        <v>41604</v>
      </c>
      <c r="G25" s="478">
        <f t="shared" si="0"/>
        <v>2013</v>
      </c>
      <c r="H25" s="478">
        <f t="shared" si="1"/>
        <v>11</v>
      </c>
      <c r="I25" s="479">
        <v>18</v>
      </c>
      <c r="J25" s="479">
        <v>5.5739999999999998</v>
      </c>
      <c r="K25" s="479">
        <v>2.3109999999999999</v>
      </c>
      <c r="L25" s="480">
        <v>7.8849999999999998</v>
      </c>
      <c r="M25" s="479">
        <v>6372</v>
      </c>
      <c r="N25" s="481">
        <v>1.1999999999999999E-3</v>
      </c>
      <c r="O25" s="479">
        <v>5.39</v>
      </c>
      <c r="P25" s="479">
        <v>2.3109999999999999</v>
      </c>
    </row>
    <row r="26" spans="4:16">
      <c r="D26" s="470" t="s">
        <v>690</v>
      </c>
      <c r="E26" s="476" t="s">
        <v>691</v>
      </c>
      <c r="F26" s="477">
        <v>41619</v>
      </c>
      <c r="G26" s="478">
        <f t="shared" si="0"/>
        <v>2013</v>
      </c>
      <c r="H26" s="478">
        <f t="shared" si="1"/>
        <v>12</v>
      </c>
      <c r="I26" s="479">
        <v>18</v>
      </c>
      <c r="J26" s="479">
        <v>8.7360000000000007</v>
      </c>
      <c r="K26" s="479">
        <v>0.56100000000000005</v>
      </c>
      <c r="L26" s="480">
        <v>9.2970000000000006</v>
      </c>
      <c r="M26" s="479">
        <v>6972</v>
      </c>
      <c r="N26" s="481">
        <v>1.2999999999999999E-3</v>
      </c>
      <c r="O26" s="479">
        <v>8.5060000000000002</v>
      </c>
      <c r="P26" s="479">
        <v>0.56100000000000005</v>
      </c>
    </row>
    <row r="27" spans="4:16">
      <c r="D27" s="470" t="s">
        <v>690</v>
      </c>
      <c r="E27" s="509" t="s">
        <v>691</v>
      </c>
      <c r="F27" s="510">
        <v>41645</v>
      </c>
      <c r="G27" s="478">
        <f t="shared" si="0"/>
        <v>2014</v>
      </c>
      <c r="H27" s="478">
        <f t="shared" si="1"/>
        <v>1</v>
      </c>
      <c r="I27" s="511">
        <v>18</v>
      </c>
      <c r="J27" s="511">
        <v>6.7210000000000001</v>
      </c>
      <c r="K27" s="511">
        <v>1.548</v>
      </c>
      <c r="L27" s="512">
        <v>8.2690000000000001</v>
      </c>
      <c r="M27" s="513">
        <v>7188</v>
      </c>
      <c r="N27" s="511">
        <v>0.115</v>
      </c>
      <c r="O27" s="511">
        <v>6.5220000000000002</v>
      </c>
      <c r="P27" s="511">
        <v>1.548</v>
      </c>
    </row>
    <row r="28" spans="4:16">
      <c r="D28" s="470" t="s">
        <v>690</v>
      </c>
      <c r="E28" s="509" t="s">
        <v>691</v>
      </c>
      <c r="F28" s="510">
        <v>41676</v>
      </c>
      <c r="G28" s="478">
        <f t="shared" si="0"/>
        <v>2014</v>
      </c>
      <c r="H28" s="478">
        <f t="shared" si="1"/>
        <v>2</v>
      </c>
      <c r="I28" s="511">
        <v>19</v>
      </c>
      <c r="J28" s="511">
        <v>8.42</v>
      </c>
      <c r="K28" s="511">
        <v>0</v>
      </c>
      <c r="L28" s="512">
        <v>8.42</v>
      </c>
      <c r="M28" s="513">
        <v>6743</v>
      </c>
      <c r="N28" s="511">
        <v>0.125</v>
      </c>
      <c r="O28" s="511">
        <v>6.9779999999999998</v>
      </c>
      <c r="P28" s="511">
        <v>0</v>
      </c>
    </row>
    <row r="29" spans="4:16">
      <c r="D29" s="470" t="s">
        <v>690</v>
      </c>
      <c r="E29" s="509" t="s">
        <v>691</v>
      </c>
      <c r="F29" s="510">
        <v>41701</v>
      </c>
      <c r="G29" s="478">
        <f t="shared" si="0"/>
        <v>2014</v>
      </c>
      <c r="H29" s="478">
        <f t="shared" si="1"/>
        <v>3</v>
      </c>
      <c r="I29" s="511">
        <v>19</v>
      </c>
      <c r="J29" s="511">
        <v>6.9359999999999999</v>
      </c>
      <c r="K29" s="511">
        <v>0.59899999999999998</v>
      </c>
      <c r="L29" s="512">
        <v>7.5350000000000001</v>
      </c>
      <c r="M29" s="513">
        <v>6537</v>
      </c>
      <c r="N29" s="511">
        <v>0.115</v>
      </c>
      <c r="O29" s="511">
        <v>6.8449999999999998</v>
      </c>
      <c r="P29" s="511">
        <v>0.59899999999999998</v>
      </c>
    </row>
    <row r="30" spans="4:16">
      <c r="D30" s="470" t="s">
        <v>690</v>
      </c>
      <c r="E30" s="509" t="s">
        <v>691</v>
      </c>
      <c r="F30" s="510">
        <v>41730</v>
      </c>
      <c r="G30" s="478">
        <f t="shared" si="0"/>
        <v>2014</v>
      </c>
      <c r="H30" s="478">
        <f t="shared" si="1"/>
        <v>4</v>
      </c>
      <c r="I30" s="511">
        <v>11</v>
      </c>
      <c r="J30" s="511">
        <v>5.1139999999999999</v>
      </c>
      <c r="K30" s="511">
        <v>2.2879999999999998</v>
      </c>
      <c r="L30" s="512">
        <v>7.4020000000000001</v>
      </c>
      <c r="M30" s="513">
        <v>5924</v>
      </c>
      <c r="N30" s="511">
        <v>0.125</v>
      </c>
      <c r="O30" s="511">
        <v>5.2279999999999998</v>
      </c>
      <c r="P30" s="511">
        <v>2.2879999999999998</v>
      </c>
    </row>
    <row r="31" spans="4:16">
      <c r="D31" s="470" t="s">
        <v>690</v>
      </c>
      <c r="E31" s="509" t="s">
        <v>691</v>
      </c>
      <c r="F31" s="510">
        <v>41789</v>
      </c>
      <c r="G31" s="478">
        <f t="shared" si="0"/>
        <v>2014</v>
      </c>
      <c r="H31" s="478">
        <f t="shared" si="1"/>
        <v>5</v>
      </c>
      <c r="I31" s="511">
        <v>16</v>
      </c>
      <c r="J31" s="511">
        <v>9.8710000000000004</v>
      </c>
      <c r="K31" s="511">
        <v>0.56999999999999995</v>
      </c>
      <c r="L31" s="512">
        <v>10.441000000000001</v>
      </c>
      <c r="M31" s="513">
        <v>7422</v>
      </c>
      <c r="N31" s="511">
        <v>0.14099999999999999</v>
      </c>
      <c r="O31" s="511">
        <v>9.6780000000000008</v>
      </c>
      <c r="P31" s="511">
        <v>0.56999999999999995</v>
      </c>
    </row>
    <row r="32" spans="4:16">
      <c r="D32" s="470" t="s">
        <v>690</v>
      </c>
      <c r="E32" s="509" t="s">
        <v>691</v>
      </c>
      <c r="F32" s="510">
        <v>41814</v>
      </c>
      <c r="G32" s="478">
        <f t="shared" si="0"/>
        <v>2014</v>
      </c>
      <c r="H32" s="478">
        <f t="shared" si="1"/>
        <v>6</v>
      </c>
      <c r="I32" s="511">
        <v>16</v>
      </c>
      <c r="J32" s="511">
        <v>9.6449999999999996</v>
      </c>
      <c r="K32" s="511">
        <v>8.4000000000000005E-2</v>
      </c>
      <c r="L32" s="512">
        <v>9.7289999999999992</v>
      </c>
      <c r="M32" s="513">
        <v>7670</v>
      </c>
      <c r="N32" s="511">
        <v>0.127</v>
      </c>
      <c r="O32" s="511">
        <v>9.6449999999999996</v>
      </c>
      <c r="P32" s="511">
        <v>8.4000000000000005E-2</v>
      </c>
    </row>
    <row r="33" spans="4:16">
      <c r="D33" s="470" t="s">
        <v>690</v>
      </c>
      <c r="E33" s="509" t="s">
        <v>691</v>
      </c>
      <c r="F33" s="510">
        <v>41841</v>
      </c>
      <c r="G33" s="478">
        <f t="shared" si="0"/>
        <v>2014</v>
      </c>
      <c r="H33" s="478">
        <f t="shared" si="1"/>
        <v>7</v>
      </c>
      <c r="I33" s="511">
        <v>17</v>
      </c>
      <c r="J33" s="511">
        <v>11.457000000000001</v>
      </c>
      <c r="K33" s="511">
        <v>0</v>
      </c>
      <c r="L33" s="512">
        <v>11.457000000000001</v>
      </c>
      <c r="M33" s="513">
        <v>9150</v>
      </c>
      <c r="N33" s="511">
        <v>0.125</v>
      </c>
      <c r="O33" s="511">
        <v>11.228</v>
      </c>
      <c r="P33" s="511">
        <v>0</v>
      </c>
    </row>
    <row r="34" spans="4:16">
      <c r="D34" s="470" t="s">
        <v>690</v>
      </c>
      <c r="E34" s="509" t="s">
        <v>691</v>
      </c>
      <c r="F34" s="510">
        <v>41869</v>
      </c>
      <c r="G34" s="478">
        <f t="shared" si="0"/>
        <v>2014</v>
      </c>
      <c r="H34" s="478">
        <f t="shared" si="1"/>
        <v>8</v>
      </c>
      <c r="I34" s="511">
        <v>16</v>
      </c>
      <c r="J34" s="511">
        <v>11.097</v>
      </c>
      <c r="K34" s="511">
        <v>7.8E-2</v>
      </c>
      <c r="L34" s="512">
        <v>11.175000000000001</v>
      </c>
      <c r="M34" s="513">
        <v>8190</v>
      </c>
      <c r="N34" s="511">
        <v>0.13600000000000001</v>
      </c>
      <c r="O34" s="511">
        <v>10.875</v>
      </c>
      <c r="P34" s="511">
        <v>7.8E-2</v>
      </c>
    </row>
    <row r="35" spans="4:16">
      <c r="D35" s="470" t="s">
        <v>690</v>
      </c>
      <c r="E35" s="509" t="s">
        <v>691</v>
      </c>
      <c r="F35" s="510">
        <v>41886</v>
      </c>
      <c r="G35" s="478">
        <f t="shared" si="0"/>
        <v>2014</v>
      </c>
      <c r="H35" s="478">
        <f t="shared" si="1"/>
        <v>9</v>
      </c>
      <c r="I35" s="511">
        <v>15</v>
      </c>
      <c r="J35" s="511">
        <v>11.45</v>
      </c>
      <c r="K35" s="511">
        <v>8.0000000000000002E-3</v>
      </c>
      <c r="L35" s="512">
        <v>11.458</v>
      </c>
      <c r="M35" s="513">
        <v>7758</v>
      </c>
      <c r="N35" s="511">
        <v>0.14799999999999999</v>
      </c>
      <c r="O35" s="511">
        <v>11.221</v>
      </c>
      <c r="P35" s="511">
        <v>8.0000000000000002E-3</v>
      </c>
    </row>
    <row r="36" spans="4:16">
      <c r="D36" s="470" t="s">
        <v>690</v>
      </c>
      <c r="E36" s="509" t="s">
        <v>691</v>
      </c>
      <c r="F36" s="510">
        <v>41942</v>
      </c>
      <c r="G36" s="478">
        <f t="shared" si="0"/>
        <v>2014</v>
      </c>
      <c r="H36" s="478">
        <f t="shared" si="1"/>
        <v>10</v>
      </c>
      <c r="I36" s="511">
        <v>20</v>
      </c>
      <c r="J36" s="511">
        <v>4.5389999999999997</v>
      </c>
      <c r="K36" s="511">
        <v>0</v>
      </c>
      <c r="L36" s="512">
        <v>4.5389999999999997</v>
      </c>
      <c r="M36" s="513">
        <v>5901</v>
      </c>
      <c r="N36" s="511">
        <v>7.6999999999999999E-2</v>
      </c>
      <c r="O36" s="511">
        <v>4.4480000000000004</v>
      </c>
      <c r="P36" s="511">
        <v>0</v>
      </c>
    </row>
    <row r="37" spans="4:16">
      <c r="D37" s="470" t="s">
        <v>690</v>
      </c>
      <c r="E37" s="509" t="s">
        <v>691</v>
      </c>
      <c r="F37" s="510">
        <v>41960</v>
      </c>
      <c r="G37" s="478">
        <f t="shared" si="0"/>
        <v>2014</v>
      </c>
      <c r="H37" s="478">
        <f t="shared" si="1"/>
        <v>11</v>
      </c>
      <c r="I37" s="511">
        <v>18</v>
      </c>
      <c r="J37" s="511">
        <v>5.9059999999999997</v>
      </c>
      <c r="K37" s="511">
        <v>2.1349999999999998</v>
      </c>
      <c r="L37" s="512">
        <v>8.0410000000000004</v>
      </c>
      <c r="M37" s="513">
        <v>6677</v>
      </c>
      <c r="N37" s="511">
        <v>0.12</v>
      </c>
      <c r="O37" s="511">
        <v>5.7880000000000003</v>
      </c>
      <c r="P37" s="511">
        <v>2.1349999999999998</v>
      </c>
    </row>
    <row r="38" spans="4:16">
      <c r="D38" s="470" t="s">
        <v>690</v>
      </c>
      <c r="E38" s="509" t="s">
        <v>691</v>
      </c>
      <c r="F38" s="510">
        <v>41974</v>
      </c>
      <c r="G38" s="478">
        <f t="shared" si="0"/>
        <v>2014</v>
      </c>
      <c r="H38" s="478">
        <f t="shared" si="1"/>
        <v>12</v>
      </c>
      <c r="I38" s="511">
        <v>18</v>
      </c>
      <c r="J38" s="511">
        <v>8.5399999999999991</v>
      </c>
      <c r="K38" s="511">
        <v>0.13400000000000001</v>
      </c>
      <c r="L38" s="512">
        <v>8.6739999999999995</v>
      </c>
      <c r="M38" s="513">
        <v>6850</v>
      </c>
      <c r="N38" s="511">
        <v>0.127</v>
      </c>
      <c r="O38" s="511">
        <v>8.3689999999999998</v>
      </c>
      <c r="P38" s="511">
        <v>0.13400000000000001</v>
      </c>
    </row>
    <row r="39" spans="4:16">
      <c r="D39" s="470" t="s">
        <v>690</v>
      </c>
      <c r="E39" s="509" t="s">
        <v>691</v>
      </c>
      <c r="F39" s="510">
        <v>42011</v>
      </c>
      <c r="G39" s="478">
        <f t="shared" si="0"/>
        <v>2015</v>
      </c>
      <c r="H39" s="478">
        <f t="shared" si="1"/>
        <v>1</v>
      </c>
      <c r="I39" s="511">
        <v>18</v>
      </c>
      <c r="J39" s="511">
        <v>7.9850000000000003</v>
      </c>
      <c r="K39" s="511">
        <v>0.27800000000000002</v>
      </c>
      <c r="L39" s="512">
        <v>8.2629999999999999</v>
      </c>
      <c r="M39" s="513">
        <v>6978</v>
      </c>
      <c r="N39" s="511">
        <v>0.11799999999999999</v>
      </c>
      <c r="O39" s="511">
        <v>7.8250000000000002</v>
      </c>
      <c r="P39" s="511">
        <v>0.27800000000000002</v>
      </c>
    </row>
    <row r="40" spans="4:16">
      <c r="D40" s="470" t="s">
        <v>690</v>
      </c>
      <c r="E40" s="509" t="s">
        <v>691</v>
      </c>
      <c r="F40" s="510">
        <v>42053</v>
      </c>
      <c r="G40" s="478">
        <f t="shared" si="0"/>
        <v>2015</v>
      </c>
      <c r="H40" s="478">
        <f t="shared" si="1"/>
        <v>2</v>
      </c>
      <c r="I40" s="511">
        <v>19</v>
      </c>
      <c r="J40" s="511">
        <v>6.1120000000000001</v>
      </c>
      <c r="K40" s="511">
        <v>1.9350000000000001</v>
      </c>
      <c r="L40" s="512">
        <v>8.0470000000000006</v>
      </c>
      <c r="M40" s="513">
        <v>6744</v>
      </c>
      <c r="N40" s="511">
        <v>0.11899999999999999</v>
      </c>
      <c r="O40" s="511">
        <v>5.9189999999999996</v>
      </c>
      <c r="P40" s="511">
        <v>1.9350000000000001</v>
      </c>
    </row>
    <row r="41" spans="4:16">
      <c r="D41" s="470" t="s">
        <v>690</v>
      </c>
      <c r="E41" s="509" t="s">
        <v>691</v>
      </c>
      <c r="F41" s="510">
        <v>42067</v>
      </c>
      <c r="G41" s="478">
        <f t="shared" si="0"/>
        <v>2015</v>
      </c>
      <c r="H41" s="478">
        <f t="shared" si="1"/>
        <v>3</v>
      </c>
      <c r="I41" s="511">
        <v>20</v>
      </c>
      <c r="J41" s="511">
        <v>6.3550000000000004</v>
      </c>
      <c r="K41" s="511">
        <v>1.2490000000000001</v>
      </c>
      <c r="L41" s="512">
        <v>7.6040000000000001</v>
      </c>
      <c r="M41" s="513">
        <v>6470</v>
      </c>
      <c r="N41" s="511">
        <v>0.11799999999999999</v>
      </c>
      <c r="O41" s="511">
        <v>6.2080000000000002</v>
      </c>
      <c r="P41" s="511">
        <v>1.2490000000000001</v>
      </c>
    </row>
    <row r="42" spans="4:16">
      <c r="D42" s="470" t="s">
        <v>690</v>
      </c>
      <c r="E42" s="509" t="s">
        <v>691</v>
      </c>
      <c r="F42" s="510">
        <v>42103</v>
      </c>
      <c r="G42" s="478">
        <f t="shared" si="0"/>
        <v>2015</v>
      </c>
      <c r="H42" s="478">
        <f t="shared" si="1"/>
        <v>4</v>
      </c>
      <c r="I42" s="511">
        <v>12</v>
      </c>
      <c r="J42" s="511">
        <v>5.4560000000000004</v>
      </c>
      <c r="K42" s="511">
        <v>1.798</v>
      </c>
      <c r="L42" s="512">
        <v>7.2539999999999996</v>
      </c>
      <c r="M42" s="513">
        <v>5914</v>
      </c>
      <c r="N42" s="511">
        <v>0.123</v>
      </c>
      <c r="O42" s="511">
        <v>5.2770000000000001</v>
      </c>
      <c r="P42" s="511">
        <v>1.798</v>
      </c>
    </row>
    <row r="43" spans="4:16">
      <c r="D43" s="470" t="s">
        <v>690</v>
      </c>
      <c r="E43" s="509" t="s">
        <v>691</v>
      </c>
      <c r="F43" s="510">
        <v>42152</v>
      </c>
      <c r="G43" s="478">
        <f t="shared" si="0"/>
        <v>2015</v>
      </c>
      <c r="H43" s="478">
        <f t="shared" si="1"/>
        <v>5</v>
      </c>
      <c r="I43" s="511">
        <v>16</v>
      </c>
      <c r="J43" s="511">
        <v>7.149</v>
      </c>
      <c r="K43" s="511">
        <v>1.494</v>
      </c>
      <c r="L43" s="512">
        <v>8.6430000000000007</v>
      </c>
      <c r="M43" s="513">
        <v>6837</v>
      </c>
      <c r="N43" s="511">
        <v>0.126</v>
      </c>
      <c r="O43" s="511">
        <v>6.9379999999999997</v>
      </c>
      <c r="P43" s="511">
        <v>1.494</v>
      </c>
    </row>
    <row r="44" spans="4:16">
      <c r="D44" s="470" t="s">
        <v>690</v>
      </c>
      <c r="E44" s="509" t="s">
        <v>691</v>
      </c>
      <c r="F44" s="510">
        <v>42164</v>
      </c>
      <c r="G44" s="478">
        <f t="shared" si="0"/>
        <v>2015</v>
      </c>
      <c r="H44" s="478">
        <f t="shared" si="1"/>
        <v>6</v>
      </c>
      <c r="I44" s="511">
        <v>17</v>
      </c>
      <c r="J44" s="511">
        <v>10.420999999999999</v>
      </c>
      <c r="K44" s="511">
        <v>0.68</v>
      </c>
      <c r="L44" s="512">
        <v>11.101000000000001</v>
      </c>
      <c r="M44" s="513">
        <v>8136</v>
      </c>
      <c r="N44" s="511">
        <v>0.13600000000000001</v>
      </c>
      <c r="O44" s="511">
        <v>10.28</v>
      </c>
      <c r="P44" s="511">
        <v>0.68</v>
      </c>
    </row>
    <row r="45" spans="4:16">
      <c r="D45" s="470" t="s">
        <v>690</v>
      </c>
      <c r="E45" s="509" t="s">
        <v>691</v>
      </c>
      <c r="F45" s="510">
        <v>42212</v>
      </c>
      <c r="G45" s="478">
        <f t="shared" si="0"/>
        <v>2015</v>
      </c>
      <c r="H45" s="478">
        <f t="shared" si="1"/>
        <v>7</v>
      </c>
      <c r="I45" s="511">
        <v>17</v>
      </c>
      <c r="J45" s="511">
        <v>9.2620000000000005</v>
      </c>
      <c r="K45" s="511">
        <v>0.94599999999999995</v>
      </c>
      <c r="L45" s="512">
        <v>10.208</v>
      </c>
      <c r="M45" s="513">
        <v>8769</v>
      </c>
      <c r="N45" s="511">
        <v>0.11600000000000001</v>
      </c>
      <c r="O45" s="511">
        <v>9.0749999999999993</v>
      </c>
      <c r="P45" s="511">
        <v>0.94599999999999995</v>
      </c>
    </row>
    <row r="46" spans="4:16">
      <c r="D46" s="470" t="s">
        <v>690</v>
      </c>
      <c r="E46" s="509" t="s">
        <v>691</v>
      </c>
      <c r="F46" s="510">
        <v>42230</v>
      </c>
      <c r="G46" s="478">
        <f t="shared" si="0"/>
        <v>2015</v>
      </c>
      <c r="H46" s="478">
        <f t="shared" si="1"/>
        <v>8</v>
      </c>
      <c r="I46" s="511">
        <v>16</v>
      </c>
      <c r="J46" s="511">
        <v>11.696999999999999</v>
      </c>
      <c r="K46" s="511">
        <v>0.122</v>
      </c>
      <c r="L46" s="512">
        <v>11.819000000000001</v>
      </c>
      <c r="M46" s="513">
        <v>8926</v>
      </c>
      <c r="N46" s="511">
        <v>0.13200000000000001</v>
      </c>
      <c r="O46" s="511">
        <v>11.432</v>
      </c>
      <c r="P46" s="511">
        <v>0.122</v>
      </c>
    </row>
    <row r="47" spans="4:16">
      <c r="D47" s="470" t="s">
        <v>690</v>
      </c>
      <c r="E47" s="509" t="s">
        <v>691</v>
      </c>
      <c r="F47" s="510">
        <v>42250</v>
      </c>
      <c r="G47" s="478">
        <f t="shared" si="0"/>
        <v>2015</v>
      </c>
      <c r="H47" s="478">
        <f t="shared" si="1"/>
        <v>9</v>
      </c>
      <c r="I47" s="511">
        <v>17</v>
      </c>
      <c r="J47" s="511">
        <v>12.102</v>
      </c>
      <c r="K47" s="511">
        <v>0.14599999999999999</v>
      </c>
      <c r="L47" s="512">
        <v>12.247999999999999</v>
      </c>
      <c r="M47" s="513">
        <v>8657</v>
      </c>
      <c r="N47" s="511">
        <v>0.14099999999999999</v>
      </c>
      <c r="O47" s="511">
        <v>11.907</v>
      </c>
      <c r="P47" s="511">
        <v>0.14599999999999999</v>
      </c>
    </row>
    <row r="48" spans="4:16">
      <c r="D48" s="470" t="s">
        <v>690</v>
      </c>
      <c r="E48" s="509" t="s">
        <v>691</v>
      </c>
      <c r="F48" s="510">
        <v>42285</v>
      </c>
      <c r="G48" s="478">
        <f t="shared" si="0"/>
        <v>2015</v>
      </c>
      <c r="H48" s="478">
        <f t="shared" si="1"/>
        <v>10</v>
      </c>
      <c r="I48" s="511">
        <v>12</v>
      </c>
      <c r="J48" s="511">
        <v>7.3460000000000001</v>
      </c>
      <c r="K48" s="511">
        <v>0.55200000000000005</v>
      </c>
      <c r="L48" s="512">
        <v>7.8979999999999997</v>
      </c>
      <c r="M48" s="513">
        <v>5943</v>
      </c>
      <c r="N48" s="511">
        <v>0.13300000000000001</v>
      </c>
      <c r="O48" s="511">
        <v>7.0949999999999998</v>
      </c>
      <c r="P48" s="511">
        <v>0.55200000000000005</v>
      </c>
    </row>
    <row r="49" spans="4:16">
      <c r="D49" s="470" t="s">
        <v>690</v>
      </c>
      <c r="E49" s="509" t="s">
        <v>691</v>
      </c>
      <c r="F49" s="510">
        <v>42338</v>
      </c>
      <c r="G49" s="478">
        <f t="shared" si="0"/>
        <v>2015</v>
      </c>
      <c r="H49" s="478">
        <f t="shared" si="1"/>
        <v>11</v>
      </c>
      <c r="I49" s="511">
        <v>18</v>
      </c>
      <c r="J49" s="511">
        <v>6.9589999999999996</v>
      </c>
      <c r="K49" s="511">
        <v>0.51900000000000002</v>
      </c>
      <c r="L49" s="512">
        <v>7.4779999999999998</v>
      </c>
      <c r="M49" s="513">
        <v>6574</v>
      </c>
      <c r="N49" s="511">
        <v>0.114</v>
      </c>
      <c r="O49" s="511">
        <v>6.5949999999999998</v>
      </c>
      <c r="P49" s="511">
        <v>0.51900000000000002</v>
      </c>
    </row>
    <row r="50" spans="4:16">
      <c r="D50" s="470" t="s">
        <v>690</v>
      </c>
      <c r="E50" s="509" t="s">
        <v>691</v>
      </c>
      <c r="F50" s="510">
        <v>42355</v>
      </c>
      <c r="G50" s="478">
        <f t="shared" si="0"/>
        <v>2015</v>
      </c>
      <c r="H50" s="478">
        <f t="shared" si="1"/>
        <v>12</v>
      </c>
      <c r="I50" s="511">
        <v>18</v>
      </c>
      <c r="J50" s="511">
        <v>5.915</v>
      </c>
      <c r="K50" s="511">
        <v>1.7050000000000001</v>
      </c>
      <c r="L50" s="512">
        <v>7.62</v>
      </c>
      <c r="M50" s="513">
        <v>6450</v>
      </c>
      <c r="N50" s="511">
        <v>0.11799999999999999</v>
      </c>
      <c r="O50" s="511">
        <v>5.4189999999999996</v>
      </c>
      <c r="P50" s="511">
        <v>1.7050000000000001</v>
      </c>
    </row>
    <row r="51" spans="4:16">
      <c r="D51" s="470" t="s">
        <v>690</v>
      </c>
      <c r="E51" s="476" t="s">
        <v>692</v>
      </c>
      <c r="F51" s="477">
        <v>40927</v>
      </c>
      <c r="G51" s="478">
        <f t="shared" si="0"/>
        <v>2012</v>
      </c>
      <c r="H51" s="478">
        <f t="shared" si="1"/>
        <v>1</v>
      </c>
      <c r="I51" s="479">
        <v>19</v>
      </c>
      <c r="J51" s="479">
        <v>8.0950000000000006</v>
      </c>
      <c r="K51" s="479">
        <v>0</v>
      </c>
      <c r="L51" s="480">
        <v>8.0950000000000006</v>
      </c>
      <c r="M51" s="479">
        <v>6604</v>
      </c>
      <c r="N51" s="481">
        <v>1.1999999999999999E-3</v>
      </c>
      <c r="O51" s="479">
        <v>8.1769999999999996</v>
      </c>
      <c r="P51" s="479">
        <v>0</v>
      </c>
    </row>
    <row r="52" spans="4:16">
      <c r="D52" s="470" t="s">
        <v>690</v>
      </c>
      <c r="E52" s="476" t="s">
        <v>692</v>
      </c>
      <c r="F52" s="477">
        <v>40967</v>
      </c>
      <c r="G52" s="478">
        <f t="shared" si="0"/>
        <v>2012</v>
      </c>
      <c r="H52" s="478">
        <f t="shared" si="1"/>
        <v>2</v>
      </c>
      <c r="I52" s="479">
        <v>19</v>
      </c>
      <c r="J52" s="479">
        <v>7.4610000000000003</v>
      </c>
      <c r="K52" s="479">
        <v>0</v>
      </c>
      <c r="L52" s="480">
        <v>7.4610000000000003</v>
      </c>
      <c r="M52" s="479">
        <v>6178</v>
      </c>
      <c r="N52" s="481">
        <v>1.1999999999999999E-3</v>
      </c>
      <c r="O52" s="479">
        <v>7.5380000000000003</v>
      </c>
      <c r="P52" s="479">
        <v>0</v>
      </c>
    </row>
    <row r="53" spans="4:16">
      <c r="D53" s="470" t="s">
        <v>690</v>
      </c>
      <c r="E53" s="476" t="s">
        <v>692</v>
      </c>
      <c r="F53" s="477">
        <v>40987</v>
      </c>
      <c r="G53" s="478">
        <f t="shared" si="0"/>
        <v>2012</v>
      </c>
      <c r="H53" s="478">
        <f t="shared" si="1"/>
        <v>3</v>
      </c>
      <c r="I53" s="479">
        <v>14</v>
      </c>
      <c r="J53" s="479">
        <v>8.2810000000000006</v>
      </c>
      <c r="K53" s="479">
        <v>0</v>
      </c>
      <c r="L53" s="480">
        <v>8.2810000000000006</v>
      </c>
      <c r="M53" s="479">
        <v>6170</v>
      </c>
      <c r="N53" s="481">
        <v>1.2999999999999999E-3</v>
      </c>
      <c r="O53" s="479">
        <v>8.3559999999999999</v>
      </c>
      <c r="P53" s="479">
        <v>0</v>
      </c>
    </row>
    <row r="54" spans="4:16">
      <c r="D54" s="470" t="s">
        <v>690</v>
      </c>
      <c r="E54" s="476" t="s">
        <v>692</v>
      </c>
      <c r="F54" s="477">
        <v>41024</v>
      </c>
      <c r="G54" s="478">
        <f t="shared" si="0"/>
        <v>2012</v>
      </c>
      <c r="H54" s="478">
        <f t="shared" si="1"/>
        <v>4</v>
      </c>
      <c r="I54" s="479">
        <v>15</v>
      </c>
      <c r="J54" s="479">
        <v>7.5259999999999998</v>
      </c>
      <c r="K54" s="479">
        <v>0</v>
      </c>
      <c r="L54" s="480">
        <v>7.5259999999999998</v>
      </c>
      <c r="M54" s="479">
        <v>5813</v>
      </c>
      <c r="N54" s="481">
        <v>1.2999999999999999E-3</v>
      </c>
      <c r="O54" s="479">
        <v>7.5919999999999996</v>
      </c>
      <c r="P54" s="479">
        <v>0</v>
      </c>
    </row>
    <row r="55" spans="4:16">
      <c r="D55" s="470" t="s">
        <v>690</v>
      </c>
      <c r="E55" s="476" t="s">
        <v>692</v>
      </c>
      <c r="F55" s="477">
        <v>41047</v>
      </c>
      <c r="G55" s="478">
        <f t="shared" si="0"/>
        <v>2012</v>
      </c>
      <c r="H55" s="478">
        <f t="shared" si="1"/>
        <v>5</v>
      </c>
      <c r="I55" s="479">
        <v>17</v>
      </c>
      <c r="J55" s="479">
        <v>9.0589999999999993</v>
      </c>
      <c r="K55" s="479">
        <v>0</v>
      </c>
      <c r="L55" s="480">
        <v>9.0589999999999993</v>
      </c>
      <c r="M55" s="479">
        <v>7203</v>
      </c>
      <c r="N55" s="481">
        <v>1.2999999999999999E-3</v>
      </c>
      <c r="O55" s="479">
        <v>9.15</v>
      </c>
      <c r="P55" s="479">
        <v>0</v>
      </c>
    </row>
    <row r="56" spans="4:16">
      <c r="D56" s="470" t="s">
        <v>690</v>
      </c>
      <c r="E56" s="476" t="s">
        <v>692</v>
      </c>
      <c r="F56" s="477">
        <v>41087</v>
      </c>
      <c r="G56" s="478">
        <f t="shared" si="0"/>
        <v>2012</v>
      </c>
      <c r="H56" s="478">
        <f t="shared" si="1"/>
        <v>6</v>
      </c>
      <c r="I56" s="479">
        <v>17</v>
      </c>
      <c r="J56" s="479">
        <v>11.82</v>
      </c>
      <c r="K56" s="479">
        <v>0</v>
      </c>
      <c r="L56" s="480">
        <v>11.82</v>
      </c>
      <c r="M56" s="479">
        <v>8833</v>
      </c>
      <c r="N56" s="481">
        <v>1.2999999999999999E-3</v>
      </c>
      <c r="O56" s="479">
        <v>11.930999999999999</v>
      </c>
      <c r="P56" s="479">
        <v>0</v>
      </c>
    </row>
    <row r="57" spans="4:16">
      <c r="D57" s="470" t="s">
        <v>690</v>
      </c>
      <c r="E57" s="476" t="s">
        <v>692</v>
      </c>
      <c r="F57" s="477">
        <v>41092</v>
      </c>
      <c r="G57" s="478">
        <f t="shared" si="0"/>
        <v>2012</v>
      </c>
      <c r="H57" s="478">
        <f t="shared" si="1"/>
        <v>7</v>
      </c>
      <c r="I57" s="479">
        <v>17</v>
      </c>
      <c r="J57" s="479">
        <v>12.789</v>
      </c>
      <c r="K57" s="479">
        <v>0</v>
      </c>
      <c r="L57" s="480">
        <v>12.789</v>
      </c>
      <c r="M57" s="479">
        <v>9682</v>
      </c>
      <c r="N57" s="481">
        <v>1.2999999999999999E-3</v>
      </c>
      <c r="O57" s="479">
        <v>12.896000000000001</v>
      </c>
      <c r="P57" s="479">
        <v>0</v>
      </c>
    </row>
    <row r="58" spans="4:16">
      <c r="D58" s="470" t="s">
        <v>690</v>
      </c>
      <c r="E58" s="476" t="s">
        <v>692</v>
      </c>
      <c r="F58" s="477">
        <v>41122</v>
      </c>
      <c r="G58" s="478">
        <f t="shared" si="0"/>
        <v>2012</v>
      </c>
      <c r="H58" s="478">
        <f t="shared" si="1"/>
        <v>8</v>
      </c>
      <c r="I58" s="479">
        <v>17</v>
      </c>
      <c r="J58" s="479">
        <v>12.018000000000001</v>
      </c>
      <c r="K58" s="479">
        <v>0</v>
      </c>
      <c r="L58" s="480">
        <v>12.018000000000001</v>
      </c>
      <c r="M58" s="479">
        <v>8979</v>
      </c>
      <c r="N58" s="481">
        <v>1.2999999999999999E-3</v>
      </c>
      <c r="O58" s="479">
        <v>12.132</v>
      </c>
      <c r="P58" s="479">
        <v>0</v>
      </c>
    </row>
    <row r="59" spans="4:16">
      <c r="D59" s="470" t="s">
        <v>690</v>
      </c>
      <c r="E59" s="476" t="s">
        <v>692</v>
      </c>
      <c r="F59" s="477">
        <v>41156</v>
      </c>
      <c r="G59" s="478">
        <f t="shared" si="0"/>
        <v>2012</v>
      </c>
      <c r="H59" s="478">
        <f t="shared" si="1"/>
        <v>9</v>
      </c>
      <c r="I59" s="479">
        <v>16</v>
      </c>
      <c r="J59" s="479">
        <v>11.038</v>
      </c>
      <c r="K59" s="479">
        <v>0</v>
      </c>
      <c r="L59" s="480">
        <v>11.038</v>
      </c>
      <c r="M59" s="479">
        <v>8521</v>
      </c>
      <c r="N59" s="481">
        <v>1.2999999999999999E-3</v>
      </c>
      <c r="O59" s="479">
        <v>11.143000000000001</v>
      </c>
      <c r="P59" s="479">
        <v>0</v>
      </c>
    </row>
    <row r="60" spans="4:16">
      <c r="D60" s="470" t="s">
        <v>690</v>
      </c>
      <c r="E60" s="476" t="s">
        <v>692</v>
      </c>
      <c r="F60" s="477">
        <v>41185</v>
      </c>
      <c r="G60" s="478">
        <f t="shared" si="0"/>
        <v>2012</v>
      </c>
      <c r="H60" s="478">
        <f t="shared" si="1"/>
        <v>10</v>
      </c>
      <c r="I60" s="479">
        <v>14</v>
      </c>
      <c r="J60" s="479">
        <v>7.9020000000000001</v>
      </c>
      <c r="K60" s="479">
        <v>0</v>
      </c>
      <c r="L60" s="480">
        <v>7.9020000000000001</v>
      </c>
      <c r="M60" s="479">
        <v>6122</v>
      </c>
      <c r="N60" s="481">
        <v>1.2999999999999999E-3</v>
      </c>
      <c r="O60" s="479">
        <v>7.9809999999999999</v>
      </c>
      <c r="P60" s="479">
        <v>0</v>
      </c>
    </row>
    <row r="61" spans="4:16">
      <c r="D61" s="470" t="s">
        <v>690</v>
      </c>
      <c r="E61" s="476" t="s">
        <v>692</v>
      </c>
      <c r="F61" s="477">
        <v>41239</v>
      </c>
      <c r="G61" s="478">
        <f t="shared" si="0"/>
        <v>2012</v>
      </c>
      <c r="H61" s="478">
        <f t="shared" si="1"/>
        <v>11</v>
      </c>
      <c r="I61" s="479">
        <v>18</v>
      </c>
      <c r="J61" s="479">
        <v>8.0030000000000001</v>
      </c>
      <c r="K61" s="479">
        <v>0</v>
      </c>
      <c r="L61" s="480">
        <v>8.0030000000000001</v>
      </c>
      <c r="M61" s="479">
        <v>6416</v>
      </c>
      <c r="N61" s="481">
        <v>1.1999999999999999E-3</v>
      </c>
      <c r="O61" s="479">
        <v>8.0660000000000007</v>
      </c>
      <c r="P61" s="479">
        <v>0</v>
      </c>
    </row>
    <row r="62" spans="4:16">
      <c r="D62" s="470" t="s">
        <v>690</v>
      </c>
      <c r="E62" s="476" t="s">
        <v>692</v>
      </c>
      <c r="F62" s="477">
        <v>41253</v>
      </c>
      <c r="G62" s="478">
        <f t="shared" si="0"/>
        <v>2012</v>
      </c>
      <c r="H62" s="478">
        <f t="shared" si="1"/>
        <v>12</v>
      </c>
      <c r="I62" s="479">
        <v>18</v>
      </c>
      <c r="J62" s="479">
        <v>8.5519999999999996</v>
      </c>
      <c r="K62" s="479">
        <v>0</v>
      </c>
      <c r="L62" s="480">
        <v>8.5519999999999996</v>
      </c>
      <c r="M62" s="479">
        <v>6609</v>
      </c>
      <c r="N62" s="481">
        <v>1.2999999999999999E-3</v>
      </c>
      <c r="O62" s="479">
        <v>8.673</v>
      </c>
      <c r="P62" s="479">
        <v>0</v>
      </c>
    </row>
    <row r="63" spans="4:16">
      <c r="D63" s="470" t="s">
        <v>690</v>
      </c>
      <c r="E63" s="476" t="s">
        <v>692</v>
      </c>
      <c r="F63" s="477">
        <v>41295</v>
      </c>
      <c r="G63" s="478">
        <f t="shared" si="0"/>
        <v>2013</v>
      </c>
      <c r="H63" s="478">
        <f t="shared" si="1"/>
        <v>1</v>
      </c>
      <c r="I63" s="479">
        <v>19</v>
      </c>
      <c r="J63" s="479">
        <v>8.3889999999999993</v>
      </c>
      <c r="K63" s="479">
        <v>0</v>
      </c>
      <c r="L63" s="480">
        <v>8.3889999999999993</v>
      </c>
      <c r="M63" s="479">
        <v>6846</v>
      </c>
      <c r="N63" s="481">
        <v>1.1999999999999999E-3</v>
      </c>
      <c r="O63" s="479">
        <v>8.4740000000000002</v>
      </c>
      <c r="P63" s="479">
        <v>0</v>
      </c>
    </row>
    <row r="64" spans="4:16">
      <c r="D64" s="470" t="s">
        <v>690</v>
      </c>
      <c r="E64" s="476" t="s">
        <v>692</v>
      </c>
      <c r="F64" s="477">
        <v>41324</v>
      </c>
      <c r="G64" s="478">
        <f t="shared" si="0"/>
        <v>2013</v>
      </c>
      <c r="H64" s="478">
        <f t="shared" si="1"/>
        <v>2</v>
      </c>
      <c r="I64" s="479">
        <v>19</v>
      </c>
      <c r="J64" s="479">
        <v>7.9219999999999997</v>
      </c>
      <c r="K64" s="479">
        <v>0</v>
      </c>
      <c r="L64" s="480">
        <v>7.9219999999999997</v>
      </c>
      <c r="M64" s="479">
        <v>6511</v>
      </c>
      <c r="N64" s="481">
        <v>1.1999999999999999E-3</v>
      </c>
      <c r="O64" s="479">
        <v>8.0020000000000007</v>
      </c>
      <c r="P64" s="479">
        <v>0</v>
      </c>
    </row>
    <row r="65" spans="4:16">
      <c r="D65" s="470" t="s">
        <v>690</v>
      </c>
      <c r="E65" s="476" t="s">
        <v>692</v>
      </c>
      <c r="F65" s="477">
        <v>41337</v>
      </c>
      <c r="G65" s="478">
        <f t="shared" si="0"/>
        <v>2013</v>
      </c>
      <c r="H65" s="478">
        <f t="shared" si="1"/>
        <v>3</v>
      </c>
      <c r="I65" s="479">
        <v>19</v>
      </c>
      <c r="J65" s="479">
        <v>7.7130000000000001</v>
      </c>
      <c r="K65" s="479">
        <v>0</v>
      </c>
      <c r="L65" s="480">
        <v>7.7130000000000001</v>
      </c>
      <c r="M65" s="479">
        <v>6172</v>
      </c>
      <c r="N65" s="481">
        <v>1.1999999999999999E-3</v>
      </c>
      <c r="O65" s="479">
        <v>7.7919999999999998</v>
      </c>
      <c r="P65" s="479">
        <v>0</v>
      </c>
    </row>
    <row r="66" spans="4:16">
      <c r="D66" s="470" t="s">
        <v>690</v>
      </c>
      <c r="E66" s="476" t="s">
        <v>692</v>
      </c>
      <c r="F66" s="477">
        <v>41382</v>
      </c>
      <c r="G66" s="478">
        <f t="shared" si="0"/>
        <v>2013</v>
      </c>
      <c r="H66" s="478">
        <f t="shared" si="1"/>
        <v>4</v>
      </c>
      <c r="I66" s="479">
        <v>12</v>
      </c>
      <c r="J66" s="479">
        <v>8.1270000000000007</v>
      </c>
      <c r="K66" s="479">
        <v>0</v>
      </c>
      <c r="L66" s="480">
        <v>8.1270000000000007</v>
      </c>
      <c r="M66" s="479">
        <v>5851</v>
      </c>
      <c r="N66" s="481">
        <v>1.4E-3</v>
      </c>
      <c r="O66" s="479">
        <v>8.1910000000000007</v>
      </c>
      <c r="P66" s="479">
        <v>0</v>
      </c>
    </row>
    <row r="67" spans="4:16">
      <c r="D67" s="470" t="s">
        <v>690</v>
      </c>
      <c r="E67" s="476" t="s">
        <v>692</v>
      </c>
      <c r="F67" s="477">
        <v>41408</v>
      </c>
      <c r="G67" s="478">
        <f t="shared" ref="G67:G130" si="2">YEAR(F67)</f>
        <v>2013</v>
      </c>
      <c r="H67" s="478">
        <f t="shared" ref="H67:H130" si="3">MONTH(F67)</f>
        <v>5</v>
      </c>
      <c r="I67" s="479">
        <v>17</v>
      </c>
      <c r="J67" s="479">
        <v>8.1150000000000002</v>
      </c>
      <c r="K67" s="479">
        <v>0</v>
      </c>
      <c r="L67" s="480">
        <v>8.1150000000000002</v>
      </c>
      <c r="M67" s="479">
        <v>6516</v>
      </c>
      <c r="N67" s="481">
        <v>1.1999999999999999E-3</v>
      </c>
      <c r="O67" s="479">
        <v>8.19</v>
      </c>
      <c r="P67" s="479">
        <v>0</v>
      </c>
    </row>
    <row r="68" spans="4:16">
      <c r="D68" s="470" t="s">
        <v>690</v>
      </c>
      <c r="E68" s="476" t="s">
        <v>692</v>
      </c>
      <c r="F68" s="477">
        <v>41451</v>
      </c>
      <c r="G68" s="478">
        <f t="shared" si="2"/>
        <v>2013</v>
      </c>
      <c r="H68" s="478">
        <f t="shared" si="3"/>
        <v>6</v>
      </c>
      <c r="I68" s="479">
        <v>16</v>
      </c>
      <c r="J68" s="479">
        <v>11.577999999999999</v>
      </c>
      <c r="K68" s="479">
        <v>0</v>
      </c>
      <c r="L68" s="480">
        <v>11.577999999999999</v>
      </c>
      <c r="M68" s="479">
        <v>8280</v>
      </c>
      <c r="N68" s="481">
        <v>1.4E-3</v>
      </c>
      <c r="O68" s="479">
        <v>11.678000000000001</v>
      </c>
      <c r="P68" s="479">
        <v>0</v>
      </c>
    </row>
    <row r="69" spans="4:16">
      <c r="D69" s="470" t="s">
        <v>690</v>
      </c>
      <c r="E69" s="476" t="s">
        <v>692</v>
      </c>
      <c r="F69" s="477">
        <v>41473</v>
      </c>
      <c r="G69" s="478">
        <f t="shared" si="2"/>
        <v>2013</v>
      </c>
      <c r="H69" s="478">
        <f t="shared" si="3"/>
        <v>7</v>
      </c>
      <c r="I69" s="479">
        <v>17</v>
      </c>
      <c r="J69" s="479">
        <v>12.465</v>
      </c>
      <c r="K69" s="479">
        <v>0</v>
      </c>
      <c r="L69" s="480">
        <v>12.465</v>
      </c>
      <c r="M69" s="479">
        <v>9566</v>
      </c>
      <c r="N69" s="481">
        <v>1.2999999999999999E-3</v>
      </c>
      <c r="O69" s="479">
        <v>12.584</v>
      </c>
      <c r="P69" s="479">
        <v>0</v>
      </c>
    </row>
    <row r="70" spans="4:16">
      <c r="D70" s="470" t="s">
        <v>690</v>
      </c>
      <c r="E70" s="476" t="s">
        <v>692</v>
      </c>
      <c r="F70" s="477">
        <v>41512</v>
      </c>
      <c r="G70" s="478">
        <f t="shared" si="2"/>
        <v>2013</v>
      </c>
      <c r="H70" s="478">
        <f t="shared" si="3"/>
        <v>8</v>
      </c>
      <c r="I70" s="479">
        <v>17</v>
      </c>
      <c r="J70" s="479">
        <v>12.738</v>
      </c>
      <c r="K70" s="479">
        <v>0</v>
      </c>
      <c r="L70" s="480">
        <v>12.738</v>
      </c>
      <c r="M70" s="479">
        <v>9821</v>
      </c>
      <c r="N70" s="481">
        <v>1.2999999999999999E-3</v>
      </c>
      <c r="O70" s="479">
        <v>12.86</v>
      </c>
      <c r="P70" s="479">
        <v>0</v>
      </c>
    </row>
    <row r="71" spans="4:16">
      <c r="D71" s="470" t="s">
        <v>690</v>
      </c>
      <c r="E71" s="476" t="s">
        <v>692</v>
      </c>
      <c r="F71" s="477">
        <v>41526</v>
      </c>
      <c r="G71" s="478">
        <f t="shared" si="2"/>
        <v>2013</v>
      </c>
      <c r="H71" s="478">
        <f t="shared" si="3"/>
        <v>9</v>
      </c>
      <c r="I71" s="479">
        <v>17</v>
      </c>
      <c r="J71" s="479">
        <v>11.677</v>
      </c>
      <c r="K71" s="479">
        <v>0</v>
      </c>
      <c r="L71" s="480">
        <v>11.677</v>
      </c>
      <c r="M71" s="479">
        <v>8781</v>
      </c>
      <c r="N71" s="481">
        <v>1.2999999999999999E-3</v>
      </c>
      <c r="O71" s="479">
        <v>11.8</v>
      </c>
      <c r="P71" s="479">
        <v>0</v>
      </c>
    </row>
    <row r="72" spans="4:16">
      <c r="D72" s="470" t="s">
        <v>690</v>
      </c>
      <c r="E72" s="476" t="s">
        <v>692</v>
      </c>
      <c r="F72" s="477">
        <v>41548</v>
      </c>
      <c r="G72" s="478">
        <f t="shared" si="2"/>
        <v>2013</v>
      </c>
      <c r="H72" s="478">
        <f t="shared" si="3"/>
        <v>10</v>
      </c>
      <c r="I72" s="479">
        <v>14</v>
      </c>
      <c r="J72" s="479">
        <v>8.7349999999999994</v>
      </c>
      <c r="K72" s="479">
        <v>0</v>
      </c>
      <c r="L72" s="480">
        <v>8.7349999999999994</v>
      </c>
      <c r="M72" s="479">
        <v>6214</v>
      </c>
      <c r="N72" s="481">
        <v>1.4E-3</v>
      </c>
      <c r="O72" s="479">
        <v>8.8130000000000006</v>
      </c>
      <c r="P72" s="479">
        <v>0</v>
      </c>
    </row>
    <row r="73" spans="4:16">
      <c r="D73" s="470" t="s">
        <v>690</v>
      </c>
      <c r="E73" s="476" t="s">
        <v>692</v>
      </c>
      <c r="F73" s="477">
        <v>41604</v>
      </c>
      <c r="G73" s="478">
        <f t="shared" si="2"/>
        <v>2013</v>
      </c>
      <c r="H73" s="478">
        <f t="shared" si="3"/>
        <v>11</v>
      </c>
      <c r="I73" s="479">
        <v>18</v>
      </c>
      <c r="J73" s="479">
        <v>8.14</v>
      </c>
      <c r="K73" s="479">
        <v>0</v>
      </c>
      <c r="L73" s="480">
        <v>8.14</v>
      </c>
      <c r="M73" s="479">
        <v>6372</v>
      </c>
      <c r="N73" s="481">
        <v>1.2999999999999999E-3</v>
      </c>
      <c r="O73" s="479">
        <v>8.2249999999999996</v>
      </c>
      <c r="P73" s="479">
        <v>0</v>
      </c>
    </row>
    <row r="74" spans="4:16">
      <c r="D74" s="470" t="s">
        <v>690</v>
      </c>
      <c r="E74" s="476" t="s">
        <v>692</v>
      </c>
      <c r="F74" s="477">
        <v>41619</v>
      </c>
      <c r="G74" s="478">
        <f t="shared" si="2"/>
        <v>2013</v>
      </c>
      <c r="H74" s="478">
        <f t="shared" si="3"/>
        <v>12</v>
      </c>
      <c r="I74" s="479">
        <v>18</v>
      </c>
      <c r="J74" s="479">
        <v>9.1859999999999999</v>
      </c>
      <c r="K74" s="479">
        <v>0</v>
      </c>
      <c r="L74" s="480">
        <v>9.1859999999999999</v>
      </c>
      <c r="M74" s="479">
        <v>6972</v>
      </c>
      <c r="N74" s="481">
        <v>1.2999999999999999E-3</v>
      </c>
      <c r="O74" s="479">
        <v>9.2750000000000004</v>
      </c>
      <c r="P74" s="479">
        <v>0</v>
      </c>
    </row>
    <row r="75" spans="4:16">
      <c r="D75" s="470" t="s">
        <v>690</v>
      </c>
      <c r="E75" s="509" t="s">
        <v>692</v>
      </c>
      <c r="F75" s="510">
        <v>41645</v>
      </c>
      <c r="G75" s="478">
        <f t="shared" si="2"/>
        <v>2014</v>
      </c>
      <c r="H75" s="478">
        <f t="shared" si="3"/>
        <v>1</v>
      </c>
      <c r="I75" s="511">
        <v>18</v>
      </c>
      <c r="J75" s="511">
        <v>8.9139999999999997</v>
      </c>
      <c r="K75" s="511">
        <v>0</v>
      </c>
      <c r="L75" s="512">
        <v>8.9139999999999997</v>
      </c>
      <c r="M75" s="513">
        <v>7188</v>
      </c>
      <c r="N75" s="511">
        <v>0.124</v>
      </c>
      <c r="O75" s="511">
        <v>9.0039999999999996</v>
      </c>
      <c r="P75" s="511">
        <v>0</v>
      </c>
    </row>
    <row r="76" spans="4:16">
      <c r="D76" s="470" t="s">
        <v>690</v>
      </c>
      <c r="E76" s="509" t="s">
        <v>692</v>
      </c>
      <c r="F76" s="510">
        <v>41676</v>
      </c>
      <c r="G76" s="478">
        <f t="shared" si="2"/>
        <v>2014</v>
      </c>
      <c r="H76" s="478">
        <f t="shared" si="3"/>
        <v>2</v>
      </c>
      <c r="I76" s="511">
        <v>19</v>
      </c>
      <c r="J76" s="511">
        <v>8.4879999999999995</v>
      </c>
      <c r="K76" s="511">
        <v>0</v>
      </c>
      <c r="L76" s="512">
        <v>8.4879999999999995</v>
      </c>
      <c r="M76" s="513">
        <v>6743</v>
      </c>
      <c r="N76" s="511">
        <v>0.126</v>
      </c>
      <c r="O76" s="511">
        <v>8.5809999999999995</v>
      </c>
      <c r="P76" s="511">
        <v>0</v>
      </c>
    </row>
    <row r="77" spans="4:16">
      <c r="D77" s="470" t="s">
        <v>690</v>
      </c>
      <c r="E77" s="509" t="s">
        <v>692</v>
      </c>
      <c r="F77" s="510">
        <v>41701</v>
      </c>
      <c r="G77" s="478">
        <f t="shared" si="2"/>
        <v>2014</v>
      </c>
      <c r="H77" s="478">
        <f t="shared" si="3"/>
        <v>3</v>
      </c>
      <c r="I77" s="511">
        <v>19</v>
      </c>
      <c r="J77" s="511">
        <v>8.1240000000000006</v>
      </c>
      <c r="K77" s="511">
        <v>0</v>
      </c>
      <c r="L77" s="512">
        <v>8.1240000000000006</v>
      </c>
      <c r="M77" s="513">
        <v>6537</v>
      </c>
      <c r="N77" s="511">
        <v>0.124</v>
      </c>
      <c r="O77" s="511">
        <v>8.2080000000000002</v>
      </c>
      <c r="P77" s="511">
        <v>0</v>
      </c>
    </row>
    <row r="78" spans="4:16">
      <c r="D78" s="470" t="s">
        <v>690</v>
      </c>
      <c r="E78" s="509" t="s">
        <v>692</v>
      </c>
      <c r="F78" s="510">
        <v>41730</v>
      </c>
      <c r="G78" s="478">
        <f t="shared" si="2"/>
        <v>2014</v>
      </c>
      <c r="H78" s="478">
        <f t="shared" si="3"/>
        <v>4</v>
      </c>
      <c r="I78" s="511">
        <v>11</v>
      </c>
      <c r="J78" s="511">
        <v>7.6790000000000003</v>
      </c>
      <c r="K78" s="511">
        <v>0.223</v>
      </c>
      <c r="L78" s="512">
        <v>7.9020000000000001</v>
      </c>
      <c r="M78" s="513">
        <v>5924</v>
      </c>
      <c r="N78" s="511">
        <v>0.13300000000000001</v>
      </c>
      <c r="O78" s="511">
        <v>7.78</v>
      </c>
      <c r="P78" s="511">
        <v>0.223</v>
      </c>
    </row>
    <row r="79" spans="4:16">
      <c r="D79" s="470" t="s">
        <v>690</v>
      </c>
      <c r="E79" s="509" t="s">
        <v>692</v>
      </c>
      <c r="F79" s="510">
        <v>41789</v>
      </c>
      <c r="G79" s="478">
        <f t="shared" si="2"/>
        <v>2014</v>
      </c>
      <c r="H79" s="478">
        <f t="shared" si="3"/>
        <v>5</v>
      </c>
      <c r="I79" s="511">
        <v>16</v>
      </c>
      <c r="J79" s="511">
        <v>10.023999999999999</v>
      </c>
      <c r="K79" s="511">
        <v>0</v>
      </c>
      <c r="L79" s="512">
        <v>10.023999999999999</v>
      </c>
      <c r="M79" s="513">
        <v>7422</v>
      </c>
      <c r="N79" s="511">
        <v>0.13500000000000001</v>
      </c>
      <c r="O79" s="511">
        <v>10.135</v>
      </c>
      <c r="P79" s="511">
        <v>0</v>
      </c>
    </row>
    <row r="80" spans="4:16">
      <c r="D80" s="470" t="s">
        <v>690</v>
      </c>
      <c r="E80" s="509" t="s">
        <v>692</v>
      </c>
      <c r="F80" s="510">
        <v>41814</v>
      </c>
      <c r="G80" s="478">
        <f t="shared" si="2"/>
        <v>2014</v>
      </c>
      <c r="H80" s="478">
        <f t="shared" si="3"/>
        <v>6</v>
      </c>
      <c r="I80" s="511">
        <v>16</v>
      </c>
      <c r="J80" s="511">
        <v>10.457000000000001</v>
      </c>
      <c r="K80" s="511">
        <v>0</v>
      </c>
      <c r="L80" s="512">
        <v>10.457000000000001</v>
      </c>
      <c r="M80" s="513">
        <v>7670</v>
      </c>
      <c r="N80" s="511">
        <v>0.13600000000000001</v>
      </c>
      <c r="O80" s="511">
        <v>10.574</v>
      </c>
      <c r="P80" s="511">
        <v>0</v>
      </c>
    </row>
    <row r="81" spans="4:16">
      <c r="D81" s="470" t="s">
        <v>690</v>
      </c>
      <c r="E81" s="509" t="s">
        <v>692</v>
      </c>
      <c r="F81" s="510">
        <v>41841</v>
      </c>
      <c r="G81" s="478">
        <f t="shared" si="2"/>
        <v>2014</v>
      </c>
      <c r="H81" s="478">
        <f t="shared" si="3"/>
        <v>7</v>
      </c>
      <c r="I81" s="511">
        <v>17</v>
      </c>
      <c r="J81" s="511">
        <v>11.715</v>
      </c>
      <c r="K81" s="511">
        <v>0</v>
      </c>
      <c r="L81" s="512">
        <v>11.715</v>
      </c>
      <c r="M81" s="513">
        <v>9150</v>
      </c>
      <c r="N81" s="511">
        <v>0.128</v>
      </c>
      <c r="O81" s="511">
        <v>11.832000000000001</v>
      </c>
      <c r="P81" s="511">
        <v>0</v>
      </c>
    </row>
    <row r="82" spans="4:16">
      <c r="D82" s="470" t="s">
        <v>690</v>
      </c>
      <c r="E82" s="509" t="s">
        <v>692</v>
      </c>
      <c r="F82" s="510">
        <v>41869</v>
      </c>
      <c r="G82" s="478">
        <f t="shared" si="2"/>
        <v>2014</v>
      </c>
      <c r="H82" s="478">
        <f t="shared" si="3"/>
        <v>8</v>
      </c>
      <c r="I82" s="511">
        <v>16</v>
      </c>
      <c r="J82" s="511">
        <v>11.052</v>
      </c>
      <c r="K82" s="511">
        <v>0</v>
      </c>
      <c r="L82" s="512">
        <v>11.052</v>
      </c>
      <c r="M82" s="513">
        <v>8190</v>
      </c>
      <c r="N82" s="511">
        <v>0.13500000000000001</v>
      </c>
      <c r="O82" s="511">
        <v>11.175000000000001</v>
      </c>
      <c r="P82" s="511">
        <v>0</v>
      </c>
    </row>
    <row r="83" spans="4:16">
      <c r="D83" s="470" t="s">
        <v>690</v>
      </c>
      <c r="E83" s="509" t="s">
        <v>692</v>
      </c>
      <c r="F83" s="510">
        <v>41886</v>
      </c>
      <c r="G83" s="478">
        <f t="shared" si="2"/>
        <v>2014</v>
      </c>
      <c r="H83" s="478">
        <f t="shared" si="3"/>
        <v>9</v>
      </c>
      <c r="I83" s="511">
        <v>15</v>
      </c>
      <c r="J83" s="511">
        <v>10.436</v>
      </c>
      <c r="K83" s="511">
        <v>0</v>
      </c>
      <c r="L83" s="512">
        <v>10.436</v>
      </c>
      <c r="M83" s="513">
        <v>7758</v>
      </c>
      <c r="N83" s="511">
        <v>0.13500000000000001</v>
      </c>
      <c r="O83" s="511">
        <v>10.539</v>
      </c>
      <c r="P83" s="511">
        <v>0</v>
      </c>
    </row>
    <row r="84" spans="4:16">
      <c r="D84" s="470" t="s">
        <v>690</v>
      </c>
      <c r="E84" s="509" t="s">
        <v>692</v>
      </c>
      <c r="F84" s="510">
        <v>41942</v>
      </c>
      <c r="G84" s="478">
        <f t="shared" si="2"/>
        <v>2014</v>
      </c>
      <c r="H84" s="478">
        <f t="shared" si="3"/>
        <v>10</v>
      </c>
      <c r="I84" s="511">
        <v>20</v>
      </c>
      <c r="J84" s="511">
        <v>7.1859999999999999</v>
      </c>
      <c r="K84" s="511">
        <v>0</v>
      </c>
      <c r="L84" s="512">
        <v>7.1859999999999999</v>
      </c>
      <c r="M84" s="513">
        <v>5901</v>
      </c>
      <c r="N84" s="511">
        <v>0.122</v>
      </c>
      <c r="O84" s="511">
        <v>7.28</v>
      </c>
      <c r="P84" s="511">
        <v>0</v>
      </c>
    </row>
    <row r="85" spans="4:16">
      <c r="D85" s="470" t="s">
        <v>690</v>
      </c>
      <c r="E85" s="509" t="s">
        <v>692</v>
      </c>
      <c r="F85" s="510">
        <v>41960</v>
      </c>
      <c r="G85" s="478">
        <f t="shared" si="2"/>
        <v>2014</v>
      </c>
      <c r="H85" s="478">
        <f t="shared" si="3"/>
        <v>11</v>
      </c>
      <c r="I85" s="511">
        <v>18</v>
      </c>
      <c r="J85" s="511">
        <v>8.4359999999999999</v>
      </c>
      <c r="K85" s="511">
        <v>0</v>
      </c>
      <c r="L85" s="512">
        <v>8.4359999999999999</v>
      </c>
      <c r="M85" s="513">
        <v>6677</v>
      </c>
      <c r="N85" s="511">
        <v>0.126</v>
      </c>
      <c r="O85" s="511">
        <v>8.5090000000000003</v>
      </c>
      <c r="P85" s="511">
        <v>0</v>
      </c>
    </row>
    <row r="86" spans="4:16">
      <c r="D86" s="470" t="s">
        <v>690</v>
      </c>
      <c r="E86" s="509" t="s">
        <v>692</v>
      </c>
      <c r="F86" s="510">
        <v>41974</v>
      </c>
      <c r="G86" s="478">
        <f t="shared" si="2"/>
        <v>2014</v>
      </c>
      <c r="H86" s="478">
        <f t="shared" si="3"/>
        <v>12</v>
      </c>
      <c r="I86" s="511">
        <v>18</v>
      </c>
      <c r="J86" s="511">
        <v>8.6910000000000007</v>
      </c>
      <c r="K86" s="511">
        <v>0</v>
      </c>
      <c r="L86" s="512">
        <v>8.6910000000000007</v>
      </c>
      <c r="M86" s="513">
        <v>6850</v>
      </c>
      <c r="N86" s="511">
        <v>0.127</v>
      </c>
      <c r="O86" s="511">
        <v>8.7550000000000008</v>
      </c>
      <c r="P86" s="511">
        <v>0</v>
      </c>
    </row>
    <row r="87" spans="4:16">
      <c r="D87" s="470" t="s">
        <v>690</v>
      </c>
      <c r="E87" s="509" t="s">
        <v>692</v>
      </c>
      <c r="F87" s="510">
        <v>42011</v>
      </c>
      <c r="G87" s="478">
        <f t="shared" si="2"/>
        <v>2015</v>
      </c>
      <c r="H87" s="478">
        <f t="shared" si="3"/>
        <v>1</v>
      </c>
      <c r="I87" s="511">
        <v>18</v>
      </c>
      <c r="J87" s="511">
        <v>8.9250000000000007</v>
      </c>
      <c r="K87" s="511">
        <v>0</v>
      </c>
      <c r="L87" s="512">
        <v>8.9250000000000007</v>
      </c>
      <c r="M87" s="513">
        <v>6978</v>
      </c>
      <c r="N87" s="511">
        <v>0.128</v>
      </c>
      <c r="O87" s="511">
        <v>9</v>
      </c>
      <c r="P87" s="511">
        <v>0</v>
      </c>
    </row>
    <row r="88" spans="4:16">
      <c r="D88" s="470" t="s">
        <v>690</v>
      </c>
      <c r="E88" s="509" t="s">
        <v>692</v>
      </c>
      <c r="F88" s="510">
        <v>42053</v>
      </c>
      <c r="G88" s="478">
        <f t="shared" si="2"/>
        <v>2015</v>
      </c>
      <c r="H88" s="478">
        <f t="shared" si="3"/>
        <v>2</v>
      </c>
      <c r="I88" s="511">
        <v>19</v>
      </c>
      <c r="J88" s="511">
        <v>8.8620000000000001</v>
      </c>
      <c r="K88" s="511">
        <v>0</v>
      </c>
      <c r="L88" s="512">
        <v>8.8620000000000001</v>
      </c>
      <c r="M88" s="513">
        <v>6744</v>
      </c>
      <c r="N88" s="511">
        <v>0.13100000000000001</v>
      </c>
      <c r="O88" s="511">
        <v>8.9450000000000003</v>
      </c>
      <c r="P88" s="511">
        <v>0</v>
      </c>
    </row>
    <row r="89" spans="4:16">
      <c r="D89" s="470" t="s">
        <v>690</v>
      </c>
      <c r="E89" s="509" t="s">
        <v>692</v>
      </c>
      <c r="F89" s="510">
        <v>42067</v>
      </c>
      <c r="G89" s="478">
        <f t="shared" si="2"/>
        <v>2015</v>
      </c>
      <c r="H89" s="478">
        <f t="shared" si="3"/>
        <v>3</v>
      </c>
      <c r="I89" s="511">
        <v>20</v>
      </c>
      <c r="J89" s="511">
        <v>8.5839999999999996</v>
      </c>
      <c r="K89" s="511">
        <v>0</v>
      </c>
      <c r="L89" s="512">
        <v>8.5839999999999996</v>
      </c>
      <c r="M89" s="513">
        <v>6470</v>
      </c>
      <c r="N89" s="511">
        <v>0.13300000000000001</v>
      </c>
      <c r="O89" s="511">
        <v>8.6620000000000008</v>
      </c>
      <c r="P89" s="511">
        <v>0</v>
      </c>
    </row>
    <row r="90" spans="4:16">
      <c r="D90" s="470" t="s">
        <v>690</v>
      </c>
      <c r="E90" s="509" t="s">
        <v>692</v>
      </c>
      <c r="F90" s="510">
        <v>42103</v>
      </c>
      <c r="G90" s="478">
        <f t="shared" si="2"/>
        <v>2015</v>
      </c>
      <c r="H90" s="478">
        <f t="shared" si="3"/>
        <v>4</v>
      </c>
      <c r="I90" s="511">
        <v>12</v>
      </c>
      <c r="J90" s="511">
        <v>8.3059999999999992</v>
      </c>
      <c r="K90" s="511">
        <v>0</v>
      </c>
      <c r="L90" s="512">
        <v>8.3059999999999992</v>
      </c>
      <c r="M90" s="513">
        <v>5914</v>
      </c>
      <c r="N90" s="511">
        <v>0.14000000000000001</v>
      </c>
      <c r="O90" s="511">
        <v>8.3859999999999992</v>
      </c>
      <c r="P90" s="511">
        <v>0</v>
      </c>
    </row>
    <row r="91" spans="4:16">
      <c r="D91" s="470" t="s">
        <v>690</v>
      </c>
      <c r="E91" s="509" t="s">
        <v>692</v>
      </c>
      <c r="F91" s="510">
        <v>42152</v>
      </c>
      <c r="G91" s="478">
        <f t="shared" si="2"/>
        <v>2015</v>
      </c>
      <c r="H91" s="478">
        <f t="shared" si="3"/>
        <v>5</v>
      </c>
      <c r="I91" s="511">
        <v>16</v>
      </c>
      <c r="J91" s="511">
        <v>9.5909999999999993</v>
      </c>
      <c r="K91" s="511">
        <v>0</v>
      </c>
      <c r="L91" s="512">
        <v>9.5909999999999993</v>
      </c>
      <c r="M91" s="513">
        <v>6837</v>
      </c>
      <c r="N91" s="511">
        <v>0.14000000000000001</v>
      </c>
      <c r="O91" s="511">
        <v>9.6890000000000001</v>
      </c>
      <c r="P91" s="511">
        <v>0</v>
      </c>
    </row>
    <row r="92" spans="4:16">
      <c r="D92" s="470" t="s">
        <v>690</v>
      </c>
      <c r="E92" s="509" t="s">
        <v>692</v>
      </c>
      <c r="F92" s="510">
        <v>42164</v>
      </c>
      <c r="G92" s="478">
        <f t="shared" si="2"/>
        <v>2015</v>
      </c>
      <c r="H92" s="478">
        <f t="shared" si="3"/>
        <v>6</v>
      </c>
      <c r="I92" s="511">
        <v>17</v>
      </c>
      <c r="J92" s="511">
        <v>11.484999999999999</v>
      </c>
      <c r="K92" s="511">
        <v>0</v>
      </c>
      <c r="L92" s="512">
        <v>11.484999999999999</v>
      </c>
      <c r="M92" s="513">
        <v>8136</v>
      </c>
      <c r="N92" s="511">
        <v>0.14099999999999999</v>
      </c>
      <c r="O92" s="511">
        <v>11.609</v>
      </c>
      <c r="P92" s="511">
        <v>0</v>
      </c>
    </row>
    <row r="93" spans="4:16">
      <c r="D93" s="470" t="s">
        <v>690</v>
      </c>
      <c r="E93" s="509" t="s">
        <v>692</v>
      </c>
      <c r="F93" s="510">
        <v>42212</v>
      </c>
      <c r="G93" s="478">
        <f t="shared" si="2"/>
        <v>2015</v>
      </c>
      <c r="H93" s="478">
        <f t="shared" si="3"/>
        <v>7</v>
      </c>
      <c r="I93" s="511">
        <v>17</v>
      </c>
      <c r="J93" s="511">
        <v>12.162000000000001</v>
      </c>
      <c r="K93" s="511">
        <v>0</v>
      </c>
      <c r="L93" s="512">
        <v>12.162000000000001</v>
      </c>
      <c r="M93" s="513">
        <v>8769</v>
      </c>
      <c r="N93" s="511">
        <v>0.13900000000000001</v>
      </c>
      <c r="O93" s="511">
        <v>12.26</v>
      </c>
      <c r="P93" s="511">
        <v>0</v>
      </c>
    </row>
    <row r="94" spans="4:16">
      <c r="D94" s="470" t="s">
        <v>690</v>
      </c>
      <c r="E94" s="509" t="s">
        <v>692</v>
      </c>
      <c r="F94" s="510">
        <v>42230</v>
      </c>
      <c r="G94" s="478">
        <f t="shared" si="2"/>
        <v>2015</v>
      </c>
      <c r="H94" s="478">
        <f t="shared" si="3"/>
        <v>8</v>
      </c>
      <c r="I94" s="511">
        <v>16</v>
      </c>
      <c r="J94" s="511">
        <v>12.263</v>
      </c>
      <c r="K94" s="511">
        <v>0</v>
      </c>
      <c r="L94" s="512">
        <v>12.263</v>
      </c>
      <c r="M94" s="513">
        <v>8926</v>
      </c>
      <c r="N94" s="511">
        <v>0.13700000000000001</v>
      </c>
      <c r="O94" s="511">
        <v>12.375</v>
      </c>
      <c r="P94" s="511">
        <v>0</v>
      </c>
    </row>
    <row r="95" spans="4:16">
      <c r="D95" s="470" t="s">
        <v>690</v>
      </c>
      <c r="E95" s="509" t="s">
        <v>692</v>
      </c>
      <c r="F95" s="510">
        <v>42250</v>
      </c>
      <c r="G95" s="478">
        <f t="shared" si="2"/>
        <v>2015</v>
      </c>
      <c r="H95" s="478">
        <f t="shared" si="3"/>
        <v>9</v>
      </c>
      <c r="I95" s="511">
        <v>17</v>
      </c>
      <c r="J95" s="511">
        <v>12.021000000000001</v>
      </c>
      <c r="K95" s="511">
        <v>0</v>
      </c>
      <c r="L95" s="512">
        <v>12.021000000000001</v>
      </c>
      <c r="M95" s="513">
        <v>8657</v>
      </c>
      <c r="N95" s="511">
        <v>0.13900000000000001</v>
      </c>
      <c r="O95" s="511">
        <v>12.135999999999999</v>
      </c>
      <c r="P95" s="511">
        <v>0</v>
      </c>
    </row>
    <row r="96" spans="4:16">
      <c r="D96" s="470" t="s">
        <v>690</v>
      </c>
      <c r="E96" s="509" t="s">
        <v>692</v>
      </c>
      <c r="F96" s="510">
        <v>42285</v>
      </c>
      <c r="G96" s="478">
        <f t="shared" si="2"/>
        <v>2015</v>
      </c>
      <c r="H96" s="478">
        <f t="shared" si="3"/>
        <v>10</v>
      </c>
      <c r="I96" s="511">
        <v>12</v>
      </c>
      <c r="J96" s="511">
        <v>8.08</v>
      </c>
      <c r="K96" s="511">
        <v>0</v>
      </c>
      <c r="L96" s="512">
        <v>8.08</v>
      </c>
      <c r="M96" s="513">
        <v>5943</v>
      </c>
      <c r="N96" s="511">
        <v>0.13600000000000001</v>
      </c>
      <c r="O96" s="511">
        <v>8.2509999999999994</v>
      </c>
      <c r="P96" s="511">
        <v>0</v>
      </c>
    </row>
    <row r="97" spans="4:16">
      <c r="D97" s="470" t="s">
        <v>690</v>
      </c>
      <c r="E97" s="509" t="s">
        <v>692</v>
      </c>
      <c r="F97" s="510">
        <v>42338</v>
      </c>
      <c r="G97" s="478">
        <f t="shared" si="2"/>
        <v>2015</v>
      </c>
      <c r="H97" s="478">
        <f t="shared" si="3"/>
        <v>11</v>
      </c>
      <c r="I97" s="511">
        <v>18</v>
      </c>
      <c r="J97" s="511">
        <v>8.7469999999999999</v>
      </c>
      <c r="K97" s="511">
        <v>0</v>
      </c>
      <c r="L97" s="512">
        <v>8.7469999999999999</v>
      </c>
      <c r="M97" s="513">
        <v>6574</v>
      </c>
      <c r="N97" s="511">
        <v>0.13300000000000001</v>
      </c>
      <c r="O97" s="511">
        <v>8.8330000000000002</v>
      </c>
      <c r="P97" s="511">
        <v>0</v>
      </c>
    </row>
    <row r="98" spans="4:16">
      <c r="D98" s="470" t="s">
        <v>690</v>
      </c>
      <c r="E98" s="509" t="s">
        <v>692</v>
      </c>
      <c r="F98" s="510">
        <v>42355</v>
      </c>
      <c r="G98" s="478">
        <f t="shared" si="2"/>
        <v>2015</v>
      </c>
      <c r="H98" s="478">
        <f t="shared" si="3"/>
        <v>12</v>
      </c>
      <c r="I98" s="511">
        <v>18</v>
      </c>
      <c r="J98" s="511">
        <v>8.8409999999999993</v>
      </c>
      <c r="K98" s="511">
        <v>0</v>
      </c>
      <c r="L98" s="512">
        <v>8.8409999999999993</v>
      </c>
      <c r="M98" s="513">
        <v>6450</v>
      </c>
      <c r="N98" s="511">
        <v>0.13700000000000001</v>
      </c>
      <c r="O98" s="511">
        <v>8.9220000000000006</v>
      </c>
      <c r="P98" s="511">
        <v>0</v>
      </c>
    </row>
    <row r="99" spans="4:16">
      <c r="D99" s="470" t="s">
        <v>690</v>
      </c>
      <c r="E99" s="476" t="s">
        <v>693</v>
      </c>
      <c r="F99" s="477">
        <v>40927</v>
      </c>
      <c r="G99" s="478">
        <f t="shared" si="2"/>
        <v>2012</v>
      </c>
      <c r="H99" s="478">
        <f t="shared" si="3"/>
        <v>1</v>
      </c>
      <c r="I99" s="479">
        <v>19</v>
      </c>
      <c r="J99" s="479">
        <v>2.6880000000000002</v>
      </c>
      <c r="K99" s="479">
        <v>0</v>
      </c>
      <c r="L99" s="480">
        <v>0.68799999999999994</v>
      </c>
      <c r="M99" s="479">
        <v>6604</v>
      </c>
      <c r="N99" s="481">
        <v>4.0000000000000002E-4</v>
      </c>
      <c r="O99" s="479">
        <v>2.7069999999999999</v>
      </c>
      <c r="P99" s="479">
        <v>0</v>
      </c>
    </row>
    <row r="100" spans="4:16">
      <c r="D100" s="470" t="s">
        <v>690</v>
      </c>
      <c r="E100" s="476" t="s">
        <v>693</v>
      </c>
      <c r="F100" s="477">
        <v>40967</v>
      </c>
      <c r="G100" s="478">
        <f t="shared" si="2"/>
        <v>2012</v>
      </c>
      <c r="H100" s="478">
        <f t="shared" si="3"/>
        <v>2</v>
      </c>
      <c r="I100" s="479">
        <v>19</v>
      </c>
      <c r="J100" s="479">
        <v>2.3820000000000001</v>
      </c>
      <c r="K100" s="479">
        <v>0</v>
      </c>
      <c r="L100" s="480">
        <v>0.38200000000000001</v>
      </c>
      <c r="M100" s="479">
        <v>6178</v>
      </c>
      <c r="N100" s="481">
        <v>4.0000000000000002E-4</v>
      </c>
      <c r="O100" s="479">
        <v>2.3980000000000001</v>
      </c>
      <c r="P100" s="479">
        <v>0</v>
      </c>
    </row>
    <row r="101" spans="4:16">
      <c r="D101" s="470" t="s">
        <v>690</v>
      </c>
      <c r="E101" s="476" t="s">
        <v>693</v>
      </c>
      <c r="F101" s="477">
        <v>40987</v>
      </c>
      <c r="G101" s="478">
        <f t="shared" si="2"/>
        <v>2012</v>
      </c>
      <c r="H101" s="478">
        <f t="shared" si="3"/>
        <v>3</v>
      </c>
      <c r="I101" s="479">
        <v>14</v>
      </c>
      <c r="J101" s="479">
        <v>1.591</v>
      </c>
      <c r="K101" s="479">
        <v>0</v>
      </c>
      <c r="L101" s="480">
        <v>0.59099999999999997</v>
      </c>
      <c r="M101" s="479">
        <v>6170</v>
      </c>
      <c r="N101" s="481">
        <v>2.9999999999999997E-4</v>
      </c>
      <c r="O101" s="479">
        <v>1.597</v>
      </c>
      <c r="P101" s="479">
        <v>0</v>
      </c>
    </row>
    <row r="102" spans="4:16">
      <c r="D102" s="470" t="s">
        <v>690</v>
      </c>
      <c r="E102" s="476" t="s">
        <v>693</v>
      </c>
      <c r="F102" s="477">
        <v>41024</v>
      </c>
      <c r="G102" s="478">
        <f t="shared" si="2"/>
        <v>2012</v>
      </c>
      <c r="H102" s="478">
        <f t="shared" si="3"/>
        <v>4</v>
      </c>
      <c r="I102" s="479">
        <v>15</v>
      </c>
      <c r="J102" s="479">
        <v>1.673</v>
      </c>
      <c r="K102" s="479">
        <v>0</v>
      </c>
      <c r="L102" s="480">
        <v>0.67300000000000004</v>
      </c>
      <c r="M102" s="479">
        <v>5813</v>
      </c>
      <c r="N102" s="481">
        <v>2.9999999999999997E-4</v>
      </c>
      <c r="O102" s="479">
        <v>1.7</v>
      </c>
      <c r="P102" s="479">
        <v>0</v>
      </c>
    </row>
    <row r="103" spans="4:16">
      <c r="D103" s="470" t="s">
        <v>690</v>
      </c>
      <c r="E103" s="476" t="s">
        <v>693</v>
      </c>
      <c r="F103" s="477">
        <v>41047</v>
      </c>
      <c r="G103" s="478">
        <f t="shared" si="2"/>
        <v>2012</v>
      </c>
      <c r="H103" s="478">
        <f t="shared" si="3"/>
        <v>5</v>
      </c>
      <c r="I103" s="479">
        <v>17</v>
      </c>
      <c r="J103" s="479">
        <v>2.09</v>
      </c>
      <c r="K103" s="479">
        <v>0</v>
      </c>
      <c r="L103" s="480">
        <v>1.0900000000000001</v>
      </c>
      <c r="M103" s="479">
        <v>7203</v>
      </c>
      <c r="N103" s="481">
        <v>2.9999999999999997E-4</v>
      </c>
      <c r="O103" s="479">
        <v>2.093</v>
      </c>
      <c r="P103" s="479">
        <v>0</v>
      </c>
    </row>
    <row r="104" spans="4:16">
      <c r="D104" s="470" t="s">
        <v>690</v>
      </c>
      <c r="E104" s="476" t="s">
        <v>693</v>
      </c>
      <c r="F104" s="477">
        <v>41087</v>
      </c>
      <c r="G104" s="478">
        <f t="shared" si="2"/>
        <v>2012</v>
      </c>
      <c r="H104" s="478">
        <f t="shared" si="3"/>
        <v>6</v>
      </c>
      <c r="I104" s="479">
        <v>17</v>
      </c>
      <c r="J104" s="479">
        <v>2.0539999999999998</v>
      </c>
      <c r="K104" s="479">
        <v>0</v>
      </c>
      <c r="L104" s="480">
        <v>1.054</v>
      </c>
      <c r="M104" s="479">
        <v>8833</v>
      </c>
      <c r="N104" s="481">
        <v>2.0000000000000001E-4</v>
      </c>
      <c r="O104" s="479">
        <v>2.0859999999999999</v>
      </c>
      <c r="P104" s="479">
        <v>0</v>
      </c>
    </row>
    <row r="105" spans="4:16">
      <c r="D105" s="470" t="s">
        <v>690</v>
      </c>
      <c r="E105" s="476" t="s">
        <v>693</v>
      </c>
      <c r="F105" s="477">
        <v>41092</v>
      </c>
      <c r="G105" s="478">
        <f t="shared" si="2"/>
        <v>2012</v>
      </c>
      <c r="H105" s="478">
        <f t="shared" si="3"/>
        <v>7</v>
      </c>
      <c r="I105" s="479">
        <v>17</v>
      </c>
      <c r="J105" s="479">
        <v>2.7240000000000002</v>
      </c>
      <c r="K105" s="479">
        <v>0</v>
      </c>
      <c r="L105" s="480">
        <v>1.724</v>
      </c>
      <c r="M105" s="479">
        <v>9682</v>
      </c>
      <c r="N105" s="481">
        <v>2.9999999999999997E-4</v>
      </c>
      <c r="O105" s="479">
        <v>2.7570000000000001</v>
      </c>
      <c r="P105" s="479">
        <v>0</v>
      </c>
    </row>
    <row r="106" spans="4:16">
      <c r="D106" s="470" t="s">
        <v>690</v>
      </c>
      <c r="E106" s="476" t="s">
        <v>693</v>
      </c>
      <c r="F106" s="477">
        <v>41122</v>
      </c>
      <c r="G106" s="478">
        <f t="shared" si="2"/>
        <v>2012</v>
      </c>
      <c r="H106" s="478">
        <f t="shared" si="3"/>
        <v>8</v>
      </c>
      <c r="I106" s="479">
        <v>17</v>
      </c>
      <c r="J106" s="479">
        <v>2.4020000000000001</v>
      </c>
      <c r="K106" s="479">
        <v>0</v>
      </c>
      <c r="L106" s="480">
        <v>1.4019999999999999</v>
      </c>
      <c r="M106" s="479">
        <v>8979</v>
      </c>
      <c r="N106" s="481">
        <v>2.9999999999999997E-4</v>
      </c>
      <c r="O106" s="479">
        <v>2.4300000000000002</v>
      </c>
      <c r="P106" s="479">
        <v>0</v>
      </c>
    </row>
    <row r="107" spans="4:16">
      <c r="D107" s="470" t="s">
        <v>690</v>
      </c>
      <c r="E107" s="476" t="s">
        <v>693</v>
      </c>
      <c r="F107" s="477">
        <v>41156</v>
      </c>
      <c r="G107" s="478">
        <f t="shared" si="2"/>
        <v>2012</v>
      </c>
      <c r="H107" s="478">
        <f t="shared" si="3"/>
        <v>9</v>
      </c>
      <c r="I107" s="479">
        <v>16</v>
      </c>
      <c r="J107" s="479">
        <v>1.73</v>
      </c>
      <c r="K107" s="479">
        <v>0</v>
      </c>
      <c r="L107" s="480">
        <v>0.73</v>
      </c>
      <c r="M107" s="479">
        <v>8521</v>
      </c>
      <c r="N107" s="481">
        <v>2.0000000000000001E-4</v>
      </c>
      <c r="O107" s="479">
        <v>2.1779999999999999</v>
      </c>
      <c r="P107" s="479">
        <v>0</v>
      </c>
    </row>
    <row r="108" spans="4:16">
      <c r="D108" s="470" t="s">
        <v>690</v>
      </c>
      <c r="E108" s="476" t="s">
        <v>693</v>
      </c>
      <c r="F108" s="477">
        <v>41185</v>
      </c>
      <c r="G108" s="478">
        <f t="shared" si="2"/>
        <v>2012</v>
      </c>
      <c r="H108" s="478">
        <f t="shared" si="3"/>
        <v>10</v>
      </c>
      <c r="I108" s="479">
        <v>14</v>
      </c>
      <c r="J108" s="479">
        <v>1.4930000000000001</v>
      </c>
      <c r="K108" s="479">
        <v>0</v>
      </c>
      <c r="L108" s="480">
        <v>0.49299999999999999</v>
      </c>
      <c r="M108" s="479">
        <v>6122</v>
      </c>
      <c r="N108" s="481">
        <v>2.0000000000000001E-4</v>
      </c>
      <c r="O108" s="479">
        <v>1.5089999999999999</v>
      </c>
      <c r="P108" s="479">
        <v>0</v>
      </c>
    </row>
    <row r="109" spans="4:16">
      <c r="D109" s="470" t="s">
        <v>690</v>
      </c>
      <c r="E109" s="476" t="s">
        <v>693</v>
      </c>
      <c r="F109" s="477">
        <v>41239</v>
      </c>
      <c r="G109" s="478">
        <f t="shared" si="2"/>
        <v>2012</v>
      </c>
      <c r="H109" s="478">
        <f t="shared" si="3"/>
        <v>11</v>
      </c>
      <c r="I109" s="479">
        <v>18</v>
      </c>
      <c r="J109" s="479">
        <v>2.2930000000000001</v>
      </c>
      <c r="K109" s="479">
        <v>0</v>
      </c>
      <c r="L109" s="480">
        <v>0.29299999999999998</v>
      </c>
      <c r="M109" s="479">
        <v>6416</v>
      </c>
      <c r="N109" s="481">
        <v>4.0000000000000002E-4</v>
      </c>
      <c r="O109" s="479">
        <v>2.319</v>
      </c>
      <c r="P109" s="479">
        <v>0</v>
      </c>
    </row>
    <row r="110" spans="4:16">
      <c r="D110" s="470" t="s">
        <v>690</v>
      </c>
      <c r="E110" s="476" t="s">
        <v>693</v>
      </c>
      <c r="F110" s="477">
        <v>41253</v>
      </c>
      <c r="G110" s="478">
        <f t="shared" si="2"/>
        <v>2012</v>
      </c>
      <c r="H110" s="478">
        <f t="shared" si="3"/>
        <v>12</v>
      </c>
      <c r="I110" s="479">
        <v>18</v>
      </c>
      <c r="J110" s="479">
        <v>2.6339999999999999</v>
      </c>
      <c r="K110" s="479">
        <v>0</v>
      </c>
      <c r="L110" s="480">
        <v>0.63400000000000001</v>
      </c>
      <c r="M110" s="479">
        <v>6609</v>
      </c>
      <c r="N110" s="481">
        <v>4.0000000000000002E-4</v>
      </c>
      <c r="O110" s="479">
        <v>2.657</v>
      </c>
      <c r="P110" s="479">
        <v>0</v>
      </c>
    </row>
    <row r="111" spans="4:16">
      <c r="D111" s="470" t="s">
        <v>690</v>
      </c>
      <c r="E111" s="476" t="s">
        <v>693</v>
      </c>
      <c r="F111" s="477">
        <v>41295</v>
      </c>
      <c r="G111" s="478">
        <f t="shared" si="2"/>
        <v>2013</v>
      </c>
      <c r="H111" s="478">
        <f t="shared" si="3"/>
        <v>1</v>
      </c>
      <c r="I111" s="479">
        <v>19</v>
      </c>
      <c r="J111" s="479">
        <v>2.7240000000000002</v>
      </c>
      <c r="K111" s="479">
        <v>0</v>
      </c>
      <c r="L111" s="480">
        <v>0.72399999999999998</v>
      </c>
      <c r="M111" s="479">
        <v>6846</v>
      </c>
      <c r="N111" s="481">
        <v>4.0000000000000002E-4</v>
      </c>
      <c r="O111" s="479">
        <v>2.7229999999999999</v>
      </c>
      <c r="P111" s="479">
        <v>0</v>
      </c>
    </row>
    <row r="112" spans="4:16">
      <c r="D112" s="470" t="s">
        <v>690</v>
      </c>
      <c r="E112" s="476" t="s">
        <v>693</v>
      </c>
      <c r="F112" s="477">
        <v>41324</v>
      </c>
      <c r="G112" s="478">
        <f t="shared" si="2"/>
        <v>2013</v>
      </c>
      <c r="H112" s="478">
        <f t="shared" si="3"/>
        <v>2</v>
      </c>
      <c r="I112" s="479">
        <v>19</v>
      </c>
      <c r="J112" s="479">
        <v>2.6629999999999998</v>
      </c>
      <c r="K112" s="479">
        <v>0</v>
      </c>
      <c r="L112" s="480">
        <v>0.66300000000000003</v>
      </c>
      <c r="M112" s="479">
        <v>6511</v>
      </c>
      <c r="N112" s="481">
        <v>4.0000000000000002E-4</v>
      </c>
      <c r="O112" s="479">
        <v>2.7029999999999998</v>
      </c>
      <c r="P112" s="479">
        <v>0</v>
      </c>
    </row>
    <row r="113" spans="4:16">
      <c r="D113" s="470" t="s">
        <v>690</v>
      </c>
      <c r="E113" s="476" t="s">
        <v>693</v>
      </c>
      <c r="F113" s="477">
        <v>41337</v>
      </c>
      <c r="G113" s="478">
        <f t="shared" si="2"/>
        <v>2013</v>
      </c>
      <c r="H113" s="478">
        <f t="shared" si="3"/>
        <v>3</v>
      </c>
      <c r="I113" s="479">
        <v>19</v>
      </c>
      <c r="J113" s="479">
        <v>1.85</v>
      </c>
      <c r="K113" s="479">
        <v>0</v>
      </c>
      <c r="L113" s="480">
        <v>-0.15</v>
      </c>
      <c r="M113" s="479">
        <v>6172</v>
      </c>
      <c r="N113" s="481">
        <v>2.9999999999999997E-4</v>
      </c>
      <c r="O113" s="479">
        <v>2.157</v>
      </c>
      <c r="P113" s="479">
        <v>0</v>
      </c>
    </row>
    <row r="114" spans="4:16">
      <c r="D114" s="470" t="s">
        <v>690</v>
      </c>
      <c r="E114" s="476" t="s">
        <v>693</v>
      </c>
      <c r="F114" s="477">
        <v>41382</v>
      </c>
      <c r="G114" s="478">
        <f t="shared" si="2"/>
        <v>2013</v>
      </c>
      <c r="H114" s="478">
        <f t="shared" si="3"/>
        <v>4</v>
      </c>
      <c r="I114" s="479">
        <v>12</v>
      </c>
      <c r="J114" s="479">
        <v>1.8640000000000001</v>
      </c>
      <c r="K114" s="479">
        <v>0</v>
      </c>
      <c r="L114" s="480">
        <v>0.86399999999999999</v>
      </c>
      <c r="M114" s="479">
        <v>5851</v>
      </c>
      <c r="N114" s="481">
        <v>2.9999999999999997E-4</v>
      </c>
      <c r="O114" s="479">
        <v>1.8819999999999999</v>
      </c>
      <c r="P114" s="479">
        <v>0</v>
      </c>
    </row>
    <row r="115" spans="4:16">
      <c r="D115" s="470" t="s">
        <v>690</v>
      </c>
      <c r="E115" s="476" t="s">
        <v>693</v>
      </c>
      <c r="F115" s="477">
        <v>41408</v>
      </c>
      <c r="G115" s="478">
        <f t="shared" si="2"/>
        <v>2013</v>
      </c>
      <c r="H115" s="478">
        <f t="shared" si="3"/>
        <v>5</v>
      </c>
      <c r="I115" s="479">
        <v>17</v>
      </c>
      <c r="J115" s="479">
        <v>1.5960000000000001</v>
      </c>
      <c r="K115" s="479">
        <v>0</v>
      </c>
      <c r="L115" s="480">
        <v>0.59599999999999997</v>
      </c>
      <c r="M115" s="479">
        <v>6516</v>
      </c>
      <c r="N115" s="481">
        <v>2.0000000000000001E-4</v>
      </c>
      <c r="O115" s="479">
        <v>1.617</v>
      </c>
      <c r="P115" s="479">
        <v>0</v>
      </c>
    </row>
    <row r="116" spans="4:16">
      <c r="D116" s="470" t="s">
        <v>690</v>
      </c>
      <c r="E116" s="476" t="s">
        <v>693</v>
      </c>
      <c r="F116" s="477">
        <v>41451</v>
      </c>
      <c r="G116" s="478">
        <f t="shared" si="2"/>
        <v>2013</v>
      </c>
      <c r="H116" s="478">
        <f t="shared" si="3"/>
        <v>6</v>
      </c>
      <c r="I116" s="479">
        <v>16</v>
      </c>
      <c r="J116" s="479">
        <v>2.1059999999999999</v>
      </c>
      <c r="K116" s="479">
        <v>0</v>
      </c>
      <c r="L116" s="480">
        <v>1.1060000000000001</v>
      </c>
      <c r="M116" s="479">
        <v>8280</v>
      </c>
      <c r="N116" s="481">
        <v>2.9999999999999997E-4</v>
      </c>
      <c r="O116" s="479">
        <v>2.1429999999999998</v>
      </c>
      <c r="P116" s="479">
        <v>0</v>
      </c>
    </row>
    <row r="117" spans="4:16">
      <c r="D117" s="470" t="s">
        <v>690</v>
      </c>
      <c r="E117" s="476" t="s">
        <v>693</v>
      </c>
      <c r="F117" s="477">
        <v>41473</v>
      </c>
      <c r="G117" s="478">
        <f t="shared" si="2"/>
        <v>2013</v>
      </c>
      <c r="H117" s="478">
        <f t="shared" si="3"/>
        <v>7</v>
      </c>
      <c r="I117" s="479">
        <v>17</v>
      </c>
      <c r="J117" s="479">
        <v>2.577</v>
      </c>
      <c r="K117" s="479">
        <v>0</v>
      </c>
      <c r="L117" s="480">
        <v>1.577</v>
      </c>
      <c r="M117" s="479">
        <v>9566</v>
      </c>
      <c r="N117" s="481">
        <v>2.9999999999999997E-4</v>
      </c>
      <c r="O117" s="479">
        <v>2.6040000000000001</v>
      </c>
      <c r="P117" s="479">
        <v>0</v>
      </c>
    </row>
    <row r="118" spans="4:16">
      <c r="D118" s="470" t="s">
        <v>690</v>
      </c>
      <c r="E118" s="476" t="s">
        <v>693</v>
      </c>
      <c r="F118" s="477">
        <v>41512</v>
      </c>
      <c r="G118" s="478">
        <f t="shared" si="2"/>
        <v>2013</v>
      </c>
      <c r="H118" s="478">
        <f t="shared" si="3"/>
        <v>8</v>
      </c>
      <c r="I118" s="479">
        <v>17</v>
      </c>
      <c r="J118" s="479">
        <v>2.726</v>
      </c>
      <c r="K118" s="479">
        <v>0</v>
      </c>
      <c r="L118" s="480">
        <v>1.726</v>
      </c>
      <c r="M118" s="479">
        <v>9821</v>
      </c>
      <c r="N118" s="481">
        <v>2.9999999999999997E-4</v>
      </c>
      <c r="O118" s="479">
        <v>2.7480000000000002</v>
      </c>
      <c r="P118" s="479">
        <v>0</v>
      </c>
    </row>
    <row r="119" spans="4:16">
      <c r="D119" s="470" t="s">
        <v>690</v>
      </c>
      <c r="E119" s="476" t="s">
        <v>693</v>
      </c>
      <c r="F119" s="477">
        <v>41526</v>
      </c>
      <c r="G119" s="478">
        <f t="shared" si="2"/>
        <v>2013</v>
      </c>
      <c r="H119" s="478">
        <f t="shared" si="3"/>
        <v>9</v>
      </c>
      <c r="I119" s="479">
        <v>17</v>
      </c>
      <c r="J119" s="479">
        <v>2.5070000000000001</v>
      </c>
      <c r="K119" s="479">
        <v>0</v>
      </c>
      <c r="L119" s="480">
        <v>1.5069999999999999</v>
      </c>
      <c r="M119" s="479">
        <v>8781</v>
      </c>
      <c r="N119" s="481">
        <v>2.9999999999999997E-4</v>
      </c>
      <c r="O119" s="479">
        <v>2.5299999999999998</v>
      </c>
      <c r="P119" s="479">
        <v>0</v>
      </c>
    </row>
    <row r="120" spans="4:16">
      <c r="D120" s="470" t="s">
        <v>690</v>
      </c>
      <c r="E120" s="476" t="s">
        <v>693</v>
      </c>
      <c r="F120" s="477">
        <v>41548</v>
      </c>
      <c r="G120" s="478">
        <f t="shared" si="2"/>
        <v>2013</v>
      </c>
      <c r="H120" s="478">
        <f t="shared" si="3"/>
        <v>10</v>
      </c>
      <c r="I120" s="479">
        <v>14</v>
      </c>
      <c r="J120" s="479">
        <v>1.637</v>
      </c>
      <c r="K120" s="479">
        <v>0</v>
      </c>
      <c r="L120" s="480">
        <v>0.63700000000000001</v>
      </c>
      <c r="M120" s="479">
        <v>6214</v>
      </c>
      <c r="N120" s="481">
        <v>2.9999999999999997E-4</v>
      </c>
      <c r="O120" s="479">
        <v>1.653</v>
      </c>
      <c r="P120" s="479">
        <v>0</v>
      </c>
    </row>
    <row r="121" spans="4:16">
      <c r="D121" s="470" t="s">
        <v>690</v>
      </c>
      <c r="E121" s="476" t="s">
        <v>693</v>
      </c>
      <c r="F121" s="477">
        <v>41604</v>
      </c>
      <c r="G121" s="478">
        <f t="shared" si="2"/>
        <v>2013</v>
      </c>
      <c r="H121" s="478">
        <f t="shared" si="3"/>
        <v>11</v>
      </c>
      <c r="I121" s="479">
        <v>18</v>
      </c>
      <c r="J121" s="479">
        <v>2.423</v>
      </c>
      <c r="K121" s="479">
        <v>0</v>
      </c>
      <c r="L121" s="480">
        <v>0.42299999999999999</v>
      </c>
      <c r="M121" s="479">
        <v>6372</v>
      </c>
      <c r="N121" s="481">
        <v>4.0000000000000002E-4</v>
      </c>
      <c r="O121" s="479">
        <v>2.4580000000000002</v>
      </c>
      <c r="P121" s="479">
        <v>0</v>
      </c>
    </row>
    <row r="122" spans="4:16">
      <c r="D122" s="470" t="s">
        <v>690</v>
      </c>
      <c r="E122" s="476" t="s">
        <v>693</v>
      </c>
      <c r="F122" s="477">
        <v>41619</v>
      </c>
      <c r="G122" s="478">
        <f t="shared" si="2"/>
        <v>2013</v>
      </c>
      <c r="H122" s="478">
        <f t="shared" si="3"/>
        <v>12</v>
      </c>
      <c r="I122" s="479">
        <v>18</v>
      </c>
      <c r="J122" s="479">
        <v>2.5019999999999998</v>
      </c>
      <c r="K122" s="479">
        <v>0</v>
      </c>
      <c r="L122" s="480">
        <v>0.502</v>
      </c>
      <c r="M122" s="479">
        <v>6972</v>
      </c>
      <c r="N122" s="481">
        <v>4.0000000000000002E-4</v>
      </c>
      <c r="O122" s="479">
        <v>2.5249999999999999</v>
      </c>
      <c r="P122" s="479">
        <v>0</v>
      </c>
    </row>
    <row r="123" spans="4:16">
      <c r="D123" s="470" t="s">
        <v>690</v>
      </c>
      <c r="E123" s="509" t="s">
        <v>693</v>
      </c>
      <c r="F123" s="510">
        <v>41645</v>
      </c>
      <c r="G123" s="478">
        <f t="shared" si="2"/>
        <v>2014</v>
      </c>
      <c r="H123" s="478">
        <f t="shared" si="3"/>
        <v>1</v>
      </c>
      <c r="I123" s="511">
        <v>18</v>
      </c>
      <c r="J123" s="511">
        <v>2.36</v>
      </c>
      <c r="K123" s="511">
        <v>0</v>
      </c>
      <c r="L123" s="512">
        <v>2.36</v>
      </c>
      <c r="M123" s="513">
        <v>7188</v>
      </c>
      <c r="N123" s="511">
        <v>3.3000000000000002E-2</v>
      </c>
      <c r="O123" s="511">
        <v>2.6269999999999998</v>
      </c>
      <c r="P123" s="511">
        <v>0</v>
      </c>
    </row>
    <row r="124" spans="4:16">
      <c r="D124" s="470" t="s">
        <v>690</v>
      </c>
      <c r="E124" s="509" t="s">
        <v>693</v>
      </c>
      <c r="F124" s="510">
        <v>41676</v>
      </c>
      <c r="G124" s="478">
        <f t="shared" si="2"/>
        <v>2014</v>
      </c>
      <c r="H124" s="478">
        <f t="shared" si="3"/>
        <v>2</v>
      </c>
      <c r="I124" s="511">
        <v>19</v>
      </c>
      <c r="J124" s="511">
        <v>2.573</v>
      </c>
      <c r="K124" s="511">
        <v>0</v>
      </c>
      <c r="L124" s="512">
        <v>2.573</v>
      </c>
      <c r="M124" s="513">
        <v>6743</v>
      </c>
      <c r="N124" s="511">
        <v>3.7999999999999999E-2</v>
      </c>
      <c r="O124" s="511">
        <v>2.601</v>
      </c>
      <c r="P124" s="511">
        <v>0</v>
      </c>
    </row>
    <row r="125" spans="4:16">
      <c r="D125" s="470" t="s">
        <v>690</v>
      </c>
      <c r="E125" s="509" t="s">
        <v>693</v>
      </c>
      <c r="F125" s="510">
        <v>41701</v>
      </c>
      <c r="G125" s="478">
        <f t="shared" si="2"/>
        <v>2014</v>
      </c>
      <c r="H125" s="478">
        <f t="shared" si="3"/>
        <v>3</v>
      </c>
      <c r="I125" s="511">
        <v>19</v>
      </c>
      <c r="J125" s="511">
        <v>2.4129999999999998</v>
      </c>
      <c r="K125" s="511">
        <v>0</v>
      </c>
      <c r="L125" s="512">
        <v>2.4129999999999998</v>
      </c>
      <c r="M125" s="513">
        <v>6537</v>
      </c>
      <c r="N125" s="511">
        <v>3.6999999999999998E-2</v>
      </c>
      <c r="O125" s="511">
        <v>2.4329999999999998</v>
      </c>
      <c r="P125" s="511">
        <v>0</v>
      </c>
    </row>
    <row r="126" spans="4:16">
      <c r="D126" s="470" t="s">
        <v>690</v>
      </c>
      <c r="E126" s="509" t="s">
        <v>693</v>
      </c>
      <c r="F126" s="510">
        <v>41730</v>
      </c>
      <c r="G126" s="478">
        <f t="shared" si="2"/>
        <v>2014</v>
      </c>
      <c r="H126" s="478">
        <f t="shared" si="3"/>
        <v>4</v>
      </c>
      <c r="I126" s="511">
        <v>11</v>
      </c>
      <c r="J126" s="511">
        <v>2.0070000000000001</v>
      </c>
      <c r="K126" s="511">
        <v>0</v>
      </c>
      <c r="L126" s="512">
        <v>2.0070000000000001</v>
      </c>
      <c r="M126" s="513">
        <v>5924</v>
      </c>
      <c r="N126" s="511">
        <v>3.4000000000000002E-2</v>
      </c>
      <c r="O126" s="511">
        <v>2.0579999999999998</v>
      </c>
      <c r="P126" s="511">
        <v>0</v>
      </c>
    </row>
    <row r="127" spans="4:16">
      <c r="D127" s="470" t="s">
        <v>690</v>
      </c>
      <c r="E127" s="509" t="s">
        <v>693</v>
      </c>
      <c r="F127" s="510">
        <v>41789</v>
      </c>
      <c r="G127" s="478">
        <f t="shared" si="2"/>
        <v>2014</v>
      </c>
      <c r="H127" s="478">
        <f t="shared" si="3"/>
        <v>5</v>
      </c>
      <c r="I127" s="511">
        <v>16</v>
      </c>
      <c r="J127" s="511">
        <v>1.8979999999999999</v>
      </c>
      <c r="K127" s="511">
        <v>0</v>
      </c>
      <c r="L127" s="512">
        <v>1.8979999999999999</v>
      </c>
      <c r="M127" s="513">
        <v>7422</v>
      </c>
      <c r="N127" s="511">
        <v>2.5999999999999999E-2</v>
      </c>
      <c r="O127" s="511">
        <v>1.917</v>
      </c>
      <c r="P127" s="511">
        <v>0</v>
      </c>
    </row>
    <row r="128" spans="4:16">
      <c r="D128" s="470" t="s">
        <v>690</v>
      </c>
      <c r="E128" s="509" t="s">
        <v>693</v>
      </c>
      <c r="F128" s="510">
        <v>41814</v>
      </c>
      <c r="G128" s="478">
        <f t="shared" si="2"/>
        <v>2014</v>
      </c>
      <c r="H128" s="478">
        <f t="shared" si="3"/>
        <v>6</v>
      </c>
      <c r="I128" s="511">
        <v>16</v>
      </c>
      <c r="J128" s="511">
        <v>1.8919999999999999</v>
      </c>
      <c r="K128" s="511">
        <v>0</v>
      </c>
      <c r="L128" s="512">
        <v>1.8919999999999999</v>
      </c>
      <c r="M128" s="513">
        <v>7670</v>
      </c>
      <c r="N128" s="511">
        <v>2.5000000000000001E-2</v>
      </c>
      <c r="O128" s="511">
        <v>1.9139999999999999</v>
      </c>
      <c r="P128" s="511">
        <v>0</v>
      </c>
    </row>
    <row r="129" spans="4:16">
      <c r="D129" s="470" t="s">
        <v>690</v>
      </c>
      <c r="E129" s="509" t="s">
        <v>693</v>
      </c>
      <c r="F129" s="510">
        <v>41841</v>
      </c>
      <c r="G129" s="478">
        <f t="shared" si="2"/>
        <v>2014</v>
      </c>
      <c r="H129" s="478">
        <f t="shared" si="3"/>
        <v>7</v>
      </c>
      <c r="I129" s="511">
        <v>17</v>
      </c>
      <c r="J129" s="511">
        <v>2.2000000000000002</v>
      </c>
      <c r="K129" s="511">
        <v>0</v>
      </c>
      <c r="L129" s="512">
        <v>2.2000000000000002</v>
      </c>
      <c r="M129" s="513">
        <v>9150</v>
      </c>
      <c r="N129" s="511">
        <v>2.4E-2</v>
      </c>
      <c r="O129" s="511">
        <v>2.1949999999999998</v>
      </c>
      <c r="P129" s="511">
        <v>0</v>
      </c>
    </row>
    <row r="130" spans="4:16">
      <c r="D130" s="470" t="s">
        <v>690</v>
      </c>
      <c r="E130" s="509" t="s">
        <v>693</v>
      </c>
      <c r="F130" s="510">
        <v>41869</v>
      </c>
      <c r="G130" s="478">
        <f t="shared" si="2"/>
        <v>2014</v>
      </c>
      <c r="H130" s="478">
        <f t="shared" si="3"/>
        <v>8</v>
      </c>
      <c r="I130" s="511">
        <v>16</v>
      </c>
      <c r="J130" s="511">
        <v>1.853</v>
      </c>
      <c r="K130" s="511">
        <v>0</v>
      </c>
      <c r="L130" s="512">
        <v>1.853</v>
      </c>
      <c r="M130" s="513">
        <v>8190</v>
      </c>
      <c r="N130" s="511">
        <v>2.3E-2</v>
      </c>
      <c r="O130" s="511">
        <v>1.8660000000000001</v>
      </c>
      <c r="P130" s="511">
        <v>0</v>
      </c>
    </row>
    <row r="131" spans="4:16">
      <c r="D131" s="470" t="s">
        <v>690</v>
      </c>
      <c r="E131" s="509" t="s">
        <v>693</v>
      </c>
      <c r="F131" s="510">
        <v>41886</v>
      </c>
      <c r="G131" s="478">
        <f t="shared" ref="G131:G194" si="4">YEAR(F131)</f>
        <v>2014</v>
      </c>
      <c r="H131" s="478">
        <f t="shared" ref="H131:H194" si="5">MONTH(F131)</f>
        <v>9</v>
      </c>
      <c r="I131" s="511">
        <v>15</v>
      </c>
      <c r="J131" s="511">
        <v>1.849</v>
      </c>
      <c r="K131" s="511">
        <v>0</v>
      </c>
      <c r="L131" s="512">
        <v>1.849</v>
      </c>
      <c r="M131" s="513">
        <v>7758</v>
      </c>
      <c r="N131" s="511">
        <v>2.4E-2</v>
      </c>
      <c r="O131" s="511">
        <v>1.87</v>
      </c>
      <c r="P131" s="511">
        <v>0</v>
      </c>
    </row>
    <row r="132" spans="4:16">
      <c r="D132" s="470" t="s">
        <v>690</v>
      </c>
      <c r="E132" s="509" t="s">
        <v>693</v>
      </c>
      <c r="F132" s="510">
        <v>41942</v>
      </c>
      <c r="G132" s="478">
        <f t="shared" si="4"/>
        <v>2014</v>
      </c>
      <c r="H132" s="478">
        <f t="shared" si="5"/>
        <v>10</v>
      </c>
      <c r="I132" s="511">
        <v>20</v>
      </c>
      <c r="J132" s="511">
        <v>1.456</v>
      </c>
      <c r="K132" s="511">
        <v>0</v>
      </c>
      <c r="L132" s="512">
        <v>1.456</v>
      </c>
      <c r="M132" s="513">
        <v>5901</v>
      </c>
      <c r="N132" s="511">
        <v>2.5000000000000001E-2</v>
      </c>
      <c r="O132" s="511">
        <v>1.468</v>
      </c>
      <c r="P132" s="511">
        <v>0</v>
      </c>
    </row>
    <row r="133" spans="4:16">
      <c r="D133" s="470" t="s">
        <v>690</v>
      </c>
      <c r="E133" s="509" t="s">
        <v>693</v>
      </c>
      <c r="F133" s="510">
        <v>41960</v>
      </c>
      <c r="G133" s="478">
        <f t="shared" si="4"/>
        <v>2014</v>
      </c>
      <c r="H133" s="478">
        <f t="shared" si="5"/>
        <v>11</v>
      </c>
      <c r="I133" s="511">
        <v>18</v>
      </c>
      <c r="J133" s="511">
        <v>2.16</v>
      </c>
      <c r="K133" s="511">
        <v>0</v>
      </c>
      <c r="L133" s="512">
        <v>2.16</v>
      </c>
      <c r="M133" s="513">
        <v>6677</v>
      </c>
      <c r="N133" s="511">
        <v>3.2000000000000001E-2</v>
      </c>
      <c r="O133" s="511">
        <v>2.1800000000000002</v>
      </c>
      <c r="P133" s="511">
        <v>0</v>
      </c>
    </row>
    <row r="134" spans="4:16">
      <c r="D134" s="470" t="s">
        <v>690</v>
      </c>
      <c r="E134" s="509" t="s">
        <v>693</v>
      </c>
      <c r="F134" s="510">
        <v>41974</v>
      </c>
      <c r="G134" s="478">
        <f t="shared" si="4"/>
        <v>2014</v>
      </c>
      <c r="H134" s="478">
        <f t="shared" si="5"/>
        <v>12</v>
      </c>
      <c r="I134" s="511">
        <v>18</v>
      </c>
      <c r="J134" s="511">
        <v>2.16</v>
      </c>
      <c r="K134" s="511">
        <v>0</v>
      </c>
      <c r="L134" s="512">
        <v>2.16</v>
      </c>
      <c r="M134" s="513">
        <v>6850</v>
      </c>
      <c r="N134" s="511">
        <v>3.2000000000000001E-2</v>
      </c>
      <c r="O134" s="511">
        <v>2.1819999999999999</v>
      </c>
      <c r="P134" s="511">
        <v>0</v>
      </c>
    </row>
    <row r="135" spans="4:16">
      <c r="D135" s="470" t="s">
        <v>690</v>
      </c>
      <c r="E135" s="509" t="s">
        <v>693</v>
      </c>
      <c r="F135" s="510">
        <v>42011</v>
      </c>
      <c r="G135" s="478">
        <f t="shared" si="4"/>
        <v>2015</v>
      </c>
      <c r="H135" s="478">
        <f t="shared" si="5"/>
        <v>1</v>
      </c>
      <c r="I135" s="511">
        <v>18</v>
      </c>
      <c r="J135" s="511">
        <v>2.2120000000000002</v>
      </c>
      <c r="K135" s="511">
        <v>0</v>
      </c>
      <c r="L135" s="512">
        <v>2.2120000000000002</v>
      </c>
      <c r="M135" s="513">
        <v>6978</v>
      </c>
      <c r="N135" s="511">
        <v>3.2000000000000001E-2</v>
      </c>
      <c r="O135" s="511">
        <v>2.2349999999999999</v>
      </c>
      <c r="P135" s="511">
        <v>0</v>
      </c>
    </row>
    <row r="136" spans="4:16">
      <c r="D136" s="470" t="s">
        <v>690</v>
      </c>
      <c r="E136" s="509" t="s">
        <v>693</v>
      </c>
      <c r="F136" s="510">
        <v>42053</v>
      </c>
      <c r="G136" s="478">
        <f t="shared" si="4"/>
        <v>2015</v>
      </c>
      <c r="H136" s="478">
        <f t="shared" si="5"/>
        <v>2</v>
      </c>
      <c r="I136" s="511">
        <v>19</v>
      </c>
      <c r="J136" s="511">
        <v>2.4990000000000001</v>
      </c>
      <c r="K136" s="511">
        <v>0</v>
      </c>
      <c r="L136" s="512">
        <v>2.4990000000000001</v>
      </c>
      <c r="M136" s="513">
        <v>6744</v>
      </c>
      <c r="N136" s="511">
        <v>3.6999999999999998E-2</v>
      </c>
      <c r="O136" s="511">
        <v>2.5179999999999998</v>
      </c>
      <c r="P136" s="511">
        <v>0</v>
      </c>
    </row>
    <row r="137" spans="4:16">
      <c r="D137" s="470" t="s">
        <v>690</v>
      </c>
      <c r="E137" s="509" t="s">
        <v>693</v>
      </c>
      <c r="F137" s="510">
        <v>42067</v>
      </c>
      <c r="G137" s="478">
        <f t="shared" si="4"/>
        <v>2015</v>
      </c>
      <c r="H137" s="478">
        <f t="shared" si="5"/>
        <v>3</v>
      </c>
      <c r="I137" s="511">
        <v>20</v>
      </c>
      <c r="J137" s="511">
        <v>2.2440000000000002</v>
      </c>
      <c r="K137" s="511">
        <v>0</v>
      </c>
      <c r="L137" s="512">
        <v>2.2440000000000002</v>
      </c>
      <c r="M137" s="513">
        <v>6470</v>
      </c>
      <c r="N137" s="511">
        <v>3.5000000000000003E-2</v>
      </c>
      <c r="O137" s="511">
        <v>2.2629999999999999</v>
      </c>
      <c r="P137" s="511">
        <v>0</v>
      </c>
    </row>
    <row r="138" spans="4:16">
      <c r="D138" s="470" t="s">
        <v>690</v>
      </c>
      <c r="E138" s="509" t="s">
        <v>693</v>
      </c>
      <c r="F138" s="510">
        <v>42103</v>
      </c>
      <c r="G138" s="478">
        <f t="shared" si="4"/>
        <v>2015</v>
      </c>
      <c r="H138" s="478">
        <f t="shared" si="5"/>
        <v>4</v>
      </c>
      <c r="I138" s="511">
        <v>12</v>
      </c>
      <c r="J138" s="511">
        <v>1.6539999999999999</v>
      </c>
      <c r="K138" s="511">
        <v>0</v>
      </c>
      <c r="L138" s="512">
        <v>1.6539999999999999</v>
      </c>
      <c r="M138" s="513">
        <v>5914</v>
      </c>
      <c r="N138" s="511">
        <v>2.8000000000000001E-2</v>
      </c>
      <c r="O138" s="511">
        <v>1.677</v>
      </c>
      <c r="P138" s="511">
        <v>0</v>
      </c>
    </row>
    <row r="139" spans="4:16">
      <c r="D139" s="470" t="s">
        <v>690</v>
      </c>
      <c r="E139" s="509" t="s">
        <v>693</v>
      </c>
      <c r="F139" s="510">
        <v>42152</v>
      </c>
      <c r="G139" s="478">
        <f t="shared" si="4"/>
        <v>2015</v>
      </c>
      <c r="H139" s="478">
        <f t="shared" si="5"/>
        <v>5</v>
      </c>
      <c r="I139" s="511">
        <v>16</v>
      </c>
      <c r="J139" s="511">
        <v>1.5660000000000001</v>
      </c>
      <c r="K139" s="511">
        <v>0</v>
      </c>
      <c r="L139" s="512">
        <v>1.5660000000000001</v>
      </c>
      <c r="M139" s="513">
        <v>6837</v>
      </c>
      <c r="N139" s="511">
        <v>2.3E-2</v>
      </c>
      <c r="O139" s="511">
        <v>1.587</v>
      </c>
      <c r="P139" s="511">
        <v>0</v>
      </c>
    </row>
    <row r="140" spans="4:16">
      <c r="D140" s="470" t="s">
        <v>690</v>
      </c>
      <c r="E140" s="509" t="s">
        <v>693</v>
      </c>
      <c r="F140" s="510">
        <v>42164</v>
      </c>
      <c r="G140" s="478">
        <f t="shared" si="4"/>
        <v>2015</v>
      </c>
      <c r="H140" s="478">
        <f t="shared" si="5"/>
        <v>6</v>
      </c>
      <c r="I140" s="511">
        <v>17</v>
      </c>
      <c r="J140" s="511">
        <v>2.0910000000000002</v>
      </c>
      <c r="K140" s="511">
        <v>0</v>
      </c>
      <c r="L140" s="512">
        <v>2.0910000000000002</v>
      </c>
      <c r="M140" s="513">
        <v>8136</v>
      </c>
      <c r="N140" s="511">
        <v>2.5999999999999999E-2</v>
      </c>
      <c r="O140" s="511">
        <v>2.12</v>
      </c>
      <c r="P140" s="511">
        <v>0</v>
      </c>
    </row>
    <row r="141" spans="4:16">
      <c r="D141" s="470" t="s">
        <v>690</v>
      </c>
      <c r="E141" s="509" t="s">
        <v>693</v>
      </c>
      <c r="F141" s="510">
        <v>42212</v>
      </c>
      <c r="G141" s="478">
        <f t="shared" si="4"/>
        <v>2015</v>
      </c>
      <c r="H141" s="478">
        <f t="shared" si="5"/>
        <v>7</v>
      </c>
      <c r="I141" s="511">
        <v>17</v>
      </c>
      <c r="J141" s="511">
        <v>2.1629999999999998</v>
      </c>
      <c r="K141" s="511">
        <v>0</v>
      </c>
      <c r="L141" s="512">
        <v>2.1629999999999998</v>
      </c>
      <c r="M141" s="513">
        <v>8769</v>
      </c>
      <c r="N141" s="511">
        <v>2.5000000000000001E-2</v>
      </c>
      <c r="O141" s="511">
        <v>2.1880000000000002</v>
      </c>
      <c r="P141" s="511">
        <v>0</v>
      </c>
    </row>
    <row r="142" spans="4:16">
      <c r="D142" s="470" t="s">
        <v>690</v>
      </c>
      <c r="E142" s="509" t="s">
        <v>693</v>
      </c>
      <c r="F142" s="510">
        <v>42230</v>
      </c>
      <c r="G142" s="478">
        <f t="shared" si="4"/>
        <v>2015</v>
      </c>
      <c r="H142" s="478">
        <f t="shared" si="5"/>
        <v>8</v>
      </c>
      <c r="I142" s="511">
        <v>16</v>
      </c>
      <c r="J142" s="511">
        <v>2.2050000000000001</v>
      </c>
      <c r="K142" s="511">
        <v>0</v>
      </c>
      <c r="L142" s="512">
        <v>2.2050000000000001</v>
      </c>
      <c r="M142" s="513">
        <v>8926</v>
      </c>
      <c r="N142" s="511">
        <v>2.5000000000000001E-2</v>
      </c>
      <c r="O142" s="511">
        <v>2.2320000000000002</v>
      </c>
      <c r="P142" s="511">
        <v>0</v>
      </c>
    </row>
    <row r="143" spans="4:16">
      <c r="D143" s="470" t="s">
        <v>690</v>
      </c>
      <c r="E143" s="509" t="s">
        <v>693</v>
      </c>
      <c r="F143" s="510">
        <v>42250</v>
      </c>
      <c r="G143" s="478">
        <f t="shared" si="4"/>
        <v>2015</v>
      </c>
      <c r="H143" s="478">
        <f t="shared" si="5"/>
        <v>9</v>
      </c>
      <c r="I143" s="511">
        <v>17</v>
      </c>
      <c r="J143" s="511">
        <v>2.2559999999999998</v>
      </c>
      <c r="K143" s="511">
        <v>0</v>
      </c>
      <c r="L143" s="512">
        <v>2.2559999999999998</v>
      </c>
      <c r="M143" s="513">
        <v>8657</v>
      </c>
      <c r="N143" s="511">
        <v>2.5999999999999999E-2</v>
      </c>
      <c r="O143" s="511">
        <v>2.2869999999999999</v>
      </c>
      <c r="P143" s="511">
        <v>0</v>
      </c>
    </row>
    <row r="144" spans="4:16">
      <c r="D144" s="470" t="s">
        <v>690</v>
      </c>
      <c r="E144" s="509" t="s">
        <v>693</v>
      </c>
      <c r="F144" s="510">
        <v>42285</v>
      </c>
      <c r="G144" s="478">
        <f t="shared" si="4"/>
        <v>2015</v>
      </c>
      <c r="H144" s="478">
        <f t="shared" si="5"/>
        <v>10</v>
      </c>
      <c r="I144" s="511">
        <v>12</v>
      </c>
      <c r="J144" s="511">
        <v>1.4370000000000001</v>
      </c>
      <c r="K144" s="511">
        <v>0</v>
      </c>
      <c r="L144" s="512">
        <v>1.4370000000000001</v>
      </c>
      <c r="M144" s="513">
        <v>5943</v>
      </c>
      <c r="N144" s="511">
        <v>2.4E-2</v>
      </c>
      <c r="O144" s="511">
        <v>1.34</v>
      </c>
      <c r="P144" s="511">
        <v>0</v>
      </c>
    </row>
    <row r="145" spans="4:16">
      <c r="D145" s="470" t="s">
        <v>690</v>
      </c>
      <c r="E145" s="509" t="s">
        <v>693</v>
      </c>
      <c r="F145" s="510">
        <v>42338</v>
      </c>
      <c r="G145" s="478">
        <f t="shared" si="4"/>
        <v>2015</v>
      </c>
      <c r="H145" s="478">
        <f t="shared" si="5"/>
        <v>11</v>
      </c>
      <c r="I145" s="511">
        <v>18</v>
      </c>
      <c r="J145" s="511">
        <v>1.9810000000000001</v>
      </c>
      <c r="K145" s="511">
        <v>0</v>
      </c>
      <c r="L145" s="512">
        <v>1.9810000000000001</v>
      </c>
      <c r="M145" s="513">
        <v>6574</v>
      </c>
      <c r="N145" s="511">
        <v>0.03</v>
      </c>
      <c r="O145" s="511">
        <v>2.0110000000000001</v>
      </c>
      <c r="P145" s="511">
        <v>0</v>
      </c>
    </row>
    <row r="146" spans="4:16">
      <c r="D146" s="470" t="s">
        <v>690</v>
      </c>
      <c r="E146" s="509" t="s">
        <v>693</v>
      </c>
      <c r="F146" s="510">
        <v>42355</v>
      </c>
      <c r="G146" s="478">
        <f t="shared" si="4"/>
        <v>2015</v>
      </c>
      <c r="H146" s="478">
        <f t="shared" si="5"/>
        <v>12</v>
      </c>
      <c r="I146" s="511">
        <v>18</v>
      </c>
      <c r="J146" s="511">
        <v>2.036</v>
      </c>
      <c r="K146" s="511">
        <v>0</v>
      </c>
      <c r="L146" s="512">
        <v>2.036</v>
      </c>
      <c r="M146" s="513">
        <v>6450</v>
      </c>
      <c r="N146" s="511">
        <v>3.2000000000000001E-2</v>
      </c>
      <c r="O146" s="511">
        <v>2.0739999999999998</v>
      </c>
      <c r="P146" s="511">
        <v>0</v>
      </c>
    </row>
    <row r="147" spans="4:16">
      <c r="D147" s="470" t="s">
        <v>690</v>
      </c>
      <c r="E147" s="476" t="s">
        <v>694</v>
      </c>
      <c r="F147" s="477">
        <v>40927</v>
      </c>
      <c r="G147" s="478">
        <f t="shared" si="4"/>
        <v>2012</v>
      </c>
      <c r="H147" s="478">
        <f t="shared" si="5"/>
        <v>1</v>
      </c>
      <c r="I147" s="479">
        <v>19</v>
      </c>
      <c r="J147" s="479">
        <v>4.556</v>
      </c>
      <c r="K147" s="479">
        <v>0.312</v>
      </c>
      <c r="L147" s="480">
        <v>2.8679999999999999</v>
      </c>
      <c r="M147" s="479">
        <v>6604</v>
      </c>
      <c r="N147" s="481">
        <v>6.9999999999999999E-4</v>
      </c>
      <c r="O147" s="479">
        <v>2.5870000000000002</v>
      </c>
      <c r="P147" s="479">
        <v>0.312</v>
      </c>
    </row>
    <row r="148" spans="4:16">
      <c r="D148" s="470" t="s">
        <v>690</v>
      </c>
      <c r="E148" s="476" t="s">
        <v>694</v>
      </c>
      <c r="F148" s="477">
        <v>40967</v>
      </c>
      <c r="G148" s="478">
        <f t="shared" si="4"/>
        <v>2012</v>
      </c>
      <c r="H148" s="478">
        <f t="shared" si="5"/>
        <v>2</v>
      </c>
      <c r="I148" s="479">
        <v>19</v>
      </c>
      <c r="J148" s="479">
        <v>4.3949999999999996</v>
      </c>
      <c r="K148" s="479">
        <v>0</v>
      </c>
      <c r="L148" s="480">
        <v>2.395</v>
      </c>
      <c r="M148" s="479">
        <v>6178</v>
      </c>
      <c r="N148" s="481">
        <v>6.9999999999999999E-4</v>
      </c>
      <c r="O148" s="479">
        <v>2.4249999999999998</v>
      </c>
      <c r="P148" s="479">
        <v>0</v>
      </c>
    </row>
    <row r="149" spans="4:16">
      <c r="D149" s="470" t="s">
        <v>690</v>
      </c>
      <c r="E149" s="476" t="s">
        <v>694</v>
      </c>
      <c r="F149" s="477">
        <v>40987</v>
      </c>
      <c r="G149" s="478">
        <f t="shared" si="4"/>
        <v>2012</v>
      </c>
      <c r="H149" s="478">
        <f t="shared" si="5"/>
        <v>3</v>
      </c>
      <c r="I149" s="479">
        <v>14</v>
      </c>
      <c r="J149" s="479">
        <v>4.0759999999999996</v>
      </c>
      <c r="K149" s="479">
        <v>0.72399999999999998</v>
      </c>
      <c r="L149" s="480">
        <v>3.8</v>
      </c>
      <c r="M149" s="479">
        <v>6170</v>
      </c>
      <c r="N149" s="481">
        <v>8.0000000000000004E-4</v>
      </c>
      <c r="O149" s="479">
        <v>3.1179999999999999</v>
      </c>
      <c r="P149" s="479">
        <v>0.72399999999999998</v>
      </c>
    </row>
    <row r="150" spans="4:16">
      <c r="D150" s="470" t="s">
        <v>690</v>
      </c>
      <c r="E150" s="476" t="s">
        <v>694</v>
      </c>
      <c r="F150" s="477">
        <v>41024</v>
      </c>
      <c r="G150" s="478">
        <f t="shared" si="4"/>
        <v>2012</v>
      </c>
      <c r="H150" s="478">
        <f t="shared" si="5"/>
        <v>4</v>
      </c>
      <c r="I150" s="479">
        <v>15</v>
      </c>
      <c r="J150" s="479">
        <v>3.806</v>
      </c>
      <c r="K150" s="479">
        <v>0.73599999999999999</v>
      </c>
      <c r="L150" s="480">
        <v>3.5419999999999998</v>
      </c>
      <c r="M150" s="479">
        <v>5813</v>
      </c>
      <c r="N150" s="481">
        <v>8.0000000000000004E-4</v>
      </c>
      <c r="O150" s="479">
        <v>2.847</v>
      </c>
      <c r="P150" s="479">
        <v>0.73599999999999999</v>
      </c>
    </row>
    <row r="151" spans="4:16">
      <c r="D151" s="470" t="s">
        <v>690</v>
      </c>
      <c r="E151" s="476" t="s">
        <v>694</v>
      </c>
      <c r="F151" s="477">
        <v>41047</v>
      </c>
      <c r="G151" s="478">
        <f t="shared" si="4"/>
        <v>2012</v>
      </c>
      <c r="H151" s="478">
        <f t="shared" si="5"/>
        <v>5</v>
      </c>
      <c r="I151" s="479">
        <v>17</v>
      </c>
      <c r="J151" s="479">
        <v>4.8780000000000001</v>
      </c>
      <c r="K151" s="479">
        <v>0.75700000000000001</v>
      </c>
      <c r="L151" s="480">
        <v>4.6349999999999998</v>
      </c>
      <c r="M151" s="479">
        <v>7203</v>
      </c>
      <c r="N151" s="481">
        <v>8.0000000000000004E-4</v>
      </c>
      <c r="O151" s="479">
        <v>3.9239999999999999</v>
      </c>
      <c r="P151" s="479">
        <v>0.75700000000000001</v>
      </c>
    </row>
    <row r="152" spans="4:16">
      <c r="D152" s="470" t="s">
        <v>690</v>
      </c>
      <c r="E152" s="476" t="s">
        <v>694</v>
      </c>
      <c r="F152" s="477">
        <v>41087</v>
      </c>
      <c r="G152" s="478">
        <f t="shared" si="4"/>
        <v>2012</v>
      </c>
      <c r="H152" s="478">
        <f t="shared" si="5"/>
        <v>6</v>
      </c>
      <c r="I152" s="479">
        <v>17</v>
      </c>
      <c r="J152" s="479">
        <v>6.1870000000000003</v>
      </c>
      <c r="K152" s="479">
        <v>0.68899999999999995</v>
      </c>
      <c r="L152" s="480">
        <v>5.8760000000000003</v>
      </c>
      <c r="M152" s="479">
        <v>8833</v>
      </c>
      <c r="N152" s="481">
        <v>8.0000000000000004E-4</v>
      </c>
      <c r="O152" s="479">
        <v>5.2430000000000003</v>
      </c>
      <c r="P152" s="479">
        <v>0.68899999999999995</v>
      </c>
    </row>
    <row r="153" spans="4:16">
      <c r="D153" s="470" t="s">
        <v>690</v>
      </c>
      <c r="E153" s="476" t="s">
        <v>694</v>
      </c>
      <c r="F153" s="477">
        <v>41092</v>
      </c>
      <c r="G153" s="478">
        <f t="shared" si="4"/>
        <v>2012</v>
      </c>
      <c r="H153" s="478">
        <f t="shared" si="5"/>
        <v>7</v>
      </c>
      <c r="I153" s="479">
        <v>17</v>
      </c>
      <c r="J153" s="479">
        <v>6.6539999999999999</v>
      </c>
      <c r="K153" s="479">
        <v>0.73</v>
      </c>
      <c r="L153" s="480">
        <v>5.3840000000000003</v>
      </c>
      <c r="M153" s="479">
        <v>9682</v>
      </c>
      <c r="N153" s="481">
        <v>8.0000000000000004E-4</v>
      </c>
      <c r="O153" s="479">
        <v>4.6950000000000003</v>
      </c>
      <c r="P153" s="479">
        <v>0.73</v>
      </c>
    </row>
    <row r="154" spans="4:16">
      <c r="D154" s="470" t="s">
        <v>690</v>
      </c>
      <c r="E154" s="476" t="s">
        <v>694</v>
      </c>
      <c r="F154" s="477">
        <v>41122</v>
      </c>
      <c r="G154" s="478">
        <f t="shared" si="4"/>
        <v>2012</v>
      </c>
      <c r="H154" s="478">
        <f t="shared" si="5"/>
        <v>8</v>
      </c>
      <c r="I154" s="479">
        <v>17</v>
      </c>
      <c r="J154" s="479">
        <v>7.3029999999999999</v>
      </c>
      <c r="K154" s="479">
        <v>0</v>
      </c>
      <c r="L154" s="480">
        <v>6.3029999999999999</v>
      </c>
      <c r="M154" s="479">
        <v>8979</v>
      </c>
      <c r="N154" s="481">
        <v>8.0000000000000004E-4</v>
      </c>
      <c r="O154" s="479">
        <v>6.3630000000000004</v>
      </c>
      <c r="P154" s="479">
        <v>0</v>
      </c>
    </row>
    <row r="155" spans="4:16">
      <c r="D155" s="470" t="s">
        <v>690</v>
      </c>
      <c r="E155" s="476" t="s">
        <v>694</v>
      </c>
      <c r="F155" s="477">
        <v>41156</v>
      </c>
      <c r="G155" s="478">
        <f t="shared" si="4"/>
        <v>2012</v>
      </c>
      <c r="H155" s="478">
        <f t="shared" si="5"/>
        <v>9</v>
      </c>
      <c r="I155" s="479">
        <v>16</v>
      </c>
      <c r="J155" s="479">
        <v>6.6070000000000002</v>
      </c>
      <c r="K155" s="479">
        <v>0</v>
      </c>
      <c r="L155" s="480">
        <v>5.6070000000000002</v>
      </c>
      <c r="M155" s="479">
        <v>8521</v>
      </c>
      <c r="N155" s="481">
        <v>8.0000000000000004E-4</v>
      </c>
      <c r="O155" s="479">
        <v>5.6829999999999998</v>
      </c>
      <c r="P155" s="479">
        <v>0</v>
      </c>
    </row>
    <row r="156" spans="4:16">
      <c r="D156" s="470" t="s">
        <v>690</v>
      </c>
      <c r="E156" s="476" t="s">
        <v>694</v>
      </c>
      <c r="F156" s="477">
        <v>41185</v>
      </c>
      <c r="G156" s="478">
        <f t="shared" si="4"/>
        <v>2012</v>
      </c>
      <c r="H156" s="478">
        <f t="shared" si="5"/>
        <v>10</v>
      </c>
      <c r="I156" s="479">
        <v>14</v>
      </c>
      <c r="J156" s="479">
        <v>4.3979999999999997</v>
      </c>
      <c r="K156" s="479">
        <v>0</v>
      </c>
      <c r="L156" s="480">
        <v>3.3980000000000001</v>
      </c>
      <c r="M156" s="479">
        <v>6122</v>
      </c>
      <c r="N156" s="481">
        <v>6.9999999999999999E-4</v>
      </c>
      <c r="O156" s="479">
        <v>3.45</v>
      </c>
      <c r="P156" s="479">
        <v>0</v>
      </c>
    </row>
    <row r="157" spans="4:16">
      <c r="D157" s="470" t="s">
        <v>690</v>
      </c>
      <c r="E157" s="476" t="s">
        <v>694</v>
      </c>
      <c r="F157" s="477">
        <v>41239</v>
      </c>
      <c r="G157" s="478">
        <f t="shared" si="4"/>
        <v>2012</v>
      </c>
      <c r="H157" s="478">
        <f t="shared" si="5"/>
        <v>11</v>
      </c>
      <c r="I157" s="479">
        <v>18</v>
      </c>
      <c r="J157" s="479">
        <v>4.5149999999999997</v>
      </c>
      <c r="K157" s="479">
        <v>0</v>
      </c>
      <c r="L157" s="480">
        <v>2.5150000000000001</v>
      </c>
      <c r="M157" s="479">
        <v>6416</v>
      </c>
      <c r="N157" s="481">
        <v>6.9999999999999999E-4</v>
      </c>
      <c r="O157" s="479">
        <v>2.556</v>
      </c>
      <c r="P157" s="479">
        <v>0</v>
      </c>
    </row>
    <row r="158" spans="4:16">
      <c r="D158" s="470" t="s">
        <v>690</v>
      </c>
      <c r="E158" s="476" t="s">
        <v>694</v>
      </c>
      <c r="F158" s="477">
        <v>41253</v>
      </c>
      <c r="G158" s="478">
        <f t="shared" si="4"/>
        <v>2012</v>
      </c>
      <c r="H158" s="478">
        <f t="shared" si="5"/>
        <v>12</v>
      </c>
      <c r="I158" s="479">
        <v>18</v>
      </c>
      <c r="J158" s="479">
        <v>4.7649999999999997</v>
      </c>
      <c r="K158" s="479">
        <v>0</v>
      </c>
      <c r="L158" s="480">
        <v>2.7650000000000001</v>
      </c>
      <c r="M158" s="479">
        <v>6609</v>
      </c>
      <c r="N158" s="481">
        <v>6.9999999999999999E-4</v>
      </c>
      <c r="O158" s="479">
        <v>2.8090000000000002</v>
      </c>
      <c r="P158" s="479">
        <v>0</v>
      </c>
    </row>
    <row r="159" spans="4:16">
      <c r="D159" s="470" t="s">
        <v>690</v>
      </c>
      <c r="E159" s="476" t="s">
        <v>694</v>
      </c>
      <c r="F159" s="477">
        <v>41295</v>
      </c>
      <c r="G159" s="478">
        <f t="shared" si="4"/>
        <v>2013</v>
      </c>
      <c r="H159" s="478">
        <f t="shared" si="5"/>
        <v>1</v>
      </c>
      <c r="I159" s="479">
        <v>19</v>
      </c>
      <c r="J159" s="479">
        <v>4.8570000000000002</v>
      </c>
      <c r="K159" s="479">
        <v>0</v>
      </c>
      <c r="L159" s="480">
        <v>2.8570000000000002</v>
      </c>
      <c r="M159" s="479">
        <v>6846</v>
      </c>
      <c r="N159" s="481">
        <v>6.9999999999999999E-4</v>
      </c>
      <c r="O159" s="479">
        <v>2.8959999999999999</v>
      </c>
      <c r="P159" s="479">
        <v>0</v>
      </c>
    </row>
    <row r="160" spans="4:16">
      <c r="D160" s="470" t="s">
        <v>690</v>
      </c>
      <c r="E160" s="476" t="s">
        <v>694</v>
      </c>
      <c r="F160" s="477">
        <v>41324</v>
      </c>
      <c r="G160" s="478">
        <f t="shared" si="4"/>
        <v>2013</v>
      </c>
      <c r="H160" s="478">
        <f t="shared" si="5"/>
        <v>2</v>
      </c>
      <c r="I160" s="479">
        <v>19</v>
      </c>
      <c r="J160" s="479">
        <v>4.67</v>
      </c>
      <c r="K160" s="479">
        <v>0</v>
      </c>
      <c r="L160" s="480">
        <v>2.67</v>
      </c>
      <c r="M160" s="479">
        <v>6511</v>
      </c>
      <c r="N160" s="481">
        <v>6.9999999999999999E-4</v>
      </c>
      <c r="O160" s="479">
        <v>2.871</v>
      </c>
      <c r="P160" s="479">
        <v>0</v>
      </c>
    </row>
    <row r="161" spans="4:16">
      <c r="D161" s="470" t="s">
        <v>690</v>
      </c>
      <c r="E161" s="476" t="s">
        <v>694</v>
      </c>
      <c r="F161" s="477">
        <v>41337</v>
      </c>
      <c r="G161" s="478">
        <f t="shared" si="4"/>
        <v>2013</v>
      </c>
      <c r="H161" s="478">
        <f t="shared" si="5"/>
        <v>3</v>
      </c>
      <c r="I161" s="479">
        <v>19</v>
      </c>
      <c r="J161" s="479">
        <v>4.1639999999999997</v>
      </c>
      <c r="K161" s="479">
        <v>0</v>
      </c>
      <c r="L161" s="480">
        <v>2.1640000000000001</v>
      </c>
      <c r="M161" s="479">
        <v>6172</v>
      </c>
      <c r="N161" s="481">
        <v>6.9999999999999999E-4</v>
      </c>
      <c r="O161" s="479">
        <v>2.206</v>
      </c>
      <c r="P161" s="479">
        <v>0</v>
      </c>
    </row>
    <row r="162" spans="4:16">
      <c r="D162" s="470" t="s">
        <v>690</v>
      </c>
      <c r="E162" s="476" t="s">
        <v>694</v>
      </c>
      <c r="F162" s="477">
        <v>41382</v>
      </c>
      <c r="G162" s="478">
        <f t="shared" si="4"/>
        <v>2013</v>
      </c>
      <c r="H162" s="478">
        <f t="shared" si="5"/>
        <v>4</v>
      </c>
      <c r="I162" s="479">
        <v>12</v>
      </c>
      <c r="J162" s="479">
        <v>3.8879999999999999</v>
      </c>
      <c r="K162" s="479">
        <v>0.67200000000000004</v>
      </c>
      <c r="L162" s="480">
        <v>4.5599999999999996</v>
      </c>
      <c r="M162" s="479">
        <v>5851</v>
      </c>
      <c r="N162" s="481">
        <v>8.0000000000000004E-4</v>
      </c>
      <c r="O162" s="479">
        <v>3.9289999999999998</v>
      </c>
      <c r="P162" s="479">
        <v>0.67200000000000004</v>
      </c>
    </row>
    <row r="163" spans="4:16">
      <c r="D163" s="470" t="s">
        <v>690</v>
      </c>
      <c r="E163" s="476" t="s">
        <v>694</v>
      </c>
      <c r="F163" s="477">
        <v>41408</v>
      </c>
      <c r="G163" s="478">
        <f t="shared" si="4"/>
        <v>2013</v>
      </c>
      <c r="H163" s="478">
        <f t="shared" si="5"/>
        <v>5</v>
      </c>
      <c r="I163" s="479">
        <v>17</v>
      </c>
      <c r="J163" s="479">
        <v>4.4669999999999996</v>
      </c>
      <c r="K163" s="479">
        <v>0.65600000000000003</v>
      </c>
      <c r="L163" s="480">
        <v>4.1230000000000002</v>
      </c>
      <c r="M163" s="479">
        <v>6516</v>
      </c>
      <c r="N163" s="481">
        <v>8.0000000000000004E-4</v>
      </c>
      <c r="O163" s="479">
        <v>3.4990000000000001</v>
      </c>
      <c r="P163" s="479">
        <v>0.65600000000000003</v>
      </c>
    </row>
    <row r="164" spans="4:16">
      <c r="D164" s="470" t="s">
        <v>690</v>
      </c>
      <c r="E164" s="476" t="s">
        <v>694</v>
      </c>
      <c r="F164" s="477">
        <v>41451</v>
      </c>
      <c r="G164" s="478">
        <f t="shared" si="4"/>
        <v>2013</v>
      </c>
      <c r="H164" s="478">
        <f t="shared" si="5"/>
        <v>6</v>
      </c>
      <c r="I164" s="479">
        <v>16</v>
      </c>
      <c r="J164" s="479">
        <v>6.1120000000000001</v>
      </c>
      <c r="K164" s="479">
        <v>0.66400000000000003</v>
      </c>
      <c r="L164" s="480">
        <v>5.7759999999999998</v>
      </c>
      <c r="M164" s="479">
        <v>8280</v>
      </c>
      <c r="N164" s="481">
        <v>8.0000000000000004E-4</v>
      </c>
      <c r="O164" s="479">
        <v>5.1779999999999999</v>
      </c>
      <c r="P164" s="479">
        <v>0.66400000000000003</v>
      </c>
    </row>
    <row r="165" spans="4:16">
      <c r="D165" s="470" t="s">
        <v>690</v>
      </c>
      <c r="E165" s="476" t="s">
        <v>694</v>
      </c>
      <c r="F165" s="477">
        <v>41473</v>
      </c>
      <c r="G165" s="478">
        <f t="shared" si="4"/>
        <v>2013</v>
      </c>
      <c r="H165" s="478">
        <f t="shared" si="5"/>
        <v>7</v>
      </c>
      <c r="I165" s="479">
        <v>17</v>
      </c>
      <c r="J165" s="479">
        <v>6.5549999999999997</v>
      </c>
      <c r="K165" s="479">
        <v>0.67600000000000005</v>
      </c>
      <c r="L165" s="480">
        <v>5.2309999999999999</v>
      </c>
      <c r="M165" s="479">
        <v>9566</v>
      </c>
      <c r="N165" s="481">
        <v>8.0000000000000004E-4</v>
      </c>
      <c r="O165" s="479">
        <v>6.6269999999999998</v>
      </c>
      <c r="P165" s="479">
        <v>0.67600000000000005</v>
      </c>
    </row>
    <row r="166" spans="4:16">
      <c r="D166" s="470" t="s">
        <v>690</v>
      </c>
      <c r="E166" s="476" t="s">
        <v>694</v>
      </c>
      <c r="F166" s="477">
        <v>41512</v>
      </c>
      <c r="G166" s="478">
        <f t="shared" si="4"/>
        <v>2013</v>
      </c>
      <c r="H166" s="478">
        <f t="shared" si="5"/>
        <v>8</v>
      </c>
      <c r="I166" s="479">
        <v>17</v>
      </c>
      <c r="J166" s="479">
        <v>7.3789999999999996</v>
      </c>
      <c r="K166" s="479">
        <v>0</v>
      </c>
      <c r="L166" s="480">
        <v>5.3789999999999996</v>
      </c>
      <c r="M166" s="479">
        <v>9821</v>
      </c>
      <c r="N166" s="481">
        <v>8.0000000000000004E-4</v>
      </c>
      <c r="O166" s="479">
        <v>7.46</v>
      </c>
      <c r="P166" s="479">
        <v>0</v>
      </c>
    </row>
    <row r="167" spans="4:16">
      <c r="D167" s="470" t="s">
        <v>690</v>
      </c>
      <c r="E167" s="476" t="s">
        <v>694</v>
      </c>
      <c r="F167" s="477">
        <v>41526</v>
      </c>
      <c r="G167" s="478">
        <f t="shared" si="4"/>
        <v>2013</v>
      </c>
      <c r="H167" s="478">
        <f t="shared" si="5"/>
        <v>9</v>
      </c>
      <c r="I167" s="479">
        <v>17</v>
      </c>
      <c r="J167" s="479">
        <v>7.0419999999999998</v>
      </c>
      <c r="K167" s="479">
        <v>0</v>
      </c>
      <c r="L167" s="480">
        <v>6.0419999999999998</v>
      </c>
      <c r="M167" s="479">
        <v>8781</v>
      </c>
      <c r="N167" s="481">
        <v>8.0000000000000004E-4</v>
      </c>
      <c r="O167" s="479">
        <v>7.1310000000000002</v>
      </c>
      <c r="P167" s="479">
        <v>0</v>
      </c>
    </row>
    <row r="168" spans="4:16">
      <c r="D168" s="470" t="s">
        <v>690</v>
      </c>
      <c r="E168" s="476" t="s">
        <v>694</v>
      </c>
      <c r="F168" s="477">
        <v>41548</v>
      </c>
      <c r="G168" s="478">
        <f t="shared" si="4"/>
        <v>2013</v>
      </c>
      <c r="H168" s="478">
        <f t="shared" si="5"/>
        <v>10</v>
      </c>
      <c r="I168" s="479">
        <v>14</v>
      </c>
      <c r="J168" s="479">
        <v>4.532</v>
      </c>
      <c r="K168" s="479">
        <v>0</v>
      </c>
      <c r="L168" s="480">
        <v>3.532</v>
      </c>
      <c r="M168" s="479">
        <v>6214</v>
      </c>
      <c r="N168" s="481">
        <v>6.9999999999999999E-4</v>
      </c>
      <c r="O168" s="479">
        <v>4.5869999999999997</v>
      </c>
      <c r="P168" s="479">
        <v>0</v>
      </c>
    </row>
    <row r="169" spans="4:16">
      <c r="D169" s="470" t="s">
        <v>690</v>
      </c>
      <c r="E169" s="476" t="s">
        <v>694</v>
      </c>
      <c r="F169" s="477">
        <v>41604</v>
      </c>
      <c r="G169" s="478">
        <f t="shared" si="4"/>
        <v>2013</v>
      </c>
      <c r="H169" s="478">
        <f t="shared" si="5"/>
        <v>11</v>
      </c>
      <c r="I169" s="479">
        <v>18</v>
      </c>
      <c r="J169" s="479">
        <v>4.3369999999999997</v>
      </c>
      <c r="K169" s="479">
        <v>0</v>
      </c>
      <c r="L169" s="480">
        <v>2.3370000000000002</v>
      </c>
      <c r="M169" s="479">
        <v>6372</v>
      </c>
      <c r="N169" s="481">
        <v>6.9999999999999999E-4</v>
      </c>
      <c r="O169" s="479">
        <v>4.3979999999999997</v>
      </c>
      <c r="P169" s="479">
        <v>0</v>
      </c>
    </row>
    <row r="170" spans="4:16">
      <c r="D170" s="470" t="s">
        <v>690</v>
      </c>
      <c r="E170" s="476" t="s">
        <v>694</v>
      </c>
      <c r="F170" s="477">
        <v>41619</v>
      </c>
      <c r="G170" s="478">
        <f t="shared" si="4"/>
        <v>2013</v>
      </c>
      <c r="H170" s="478">
        <f t="shared" si="5"/>
        <v>12</v>
      </c>
      <c r="I170" s="479">
        <v>18</v>
      </c>
      <c r="J170" s="479">
        <v>5.1180000000000003</v>
      </c>
      <c r="K170" s="479">
        <v>0</v>
      </c>
      <c r="L170" s="480">
        <v>3.1179999999999999</v>
      </c>
      <c r="M170" s="479">
        <v>6972</v>
      </c>
      <c r="N170" s="481">
        <v>6.9999999999999999E-4</v>
      </c>
      <c r="O170" s="479">
        <v>5.1820000000000004</v>
      </c>
      <c r="P170" s="479">
        <v>0</v>
      </c>
    </row>
    <row r="171" spans="4:16">
      <c r="D171" s="470" t="s">
        <v>690</v>
      </c>
      <c r="E171" s="509" t="s">
        <v>694</v>
      </c>
      <c r="F171" s="510">
        <v>41645</v>
      </c>
      <c r="G171" s="478">
        <f t="shared" si="4"/>
        <v>2014</v>
      </c>
      <c r="H171" s="478">
        <f t="shared" si="5"/>
        <v>1</v>
      </c>
      <c r="I171" s="511">
        <v>18</v>
      </c>
      <c r="J171" s="511">
        <v>5.4219999999999997</v>
      </c>
      <c r="K171" s="511">
        <v>0</v>
      </c>
      <c r="L171" s="512">
        <v>5.4219999999999997</v>
      </c>
      <c r="M171" s="513">
        <v>7188</v>
      </c>
      <c r="N171" s="511">
        <v>7.4999999999999997E-2</v>
      </c>
      <c r="O171" s="511">
        <v>5.48</v>
      </c>
      <c r="P171" s="511">
        <v>0</v>
      </c>
    </row>
    <row r="172" spans="4:16">
      <c r="D172" s="470" t="s">
        <v>690</v>
      </c>
      <c r="E172" s="509" t="s">
        <v>694</v>
      </c>
      <c r="F172" s="510">
        <v>41676</v>
      </c>
      <c r="G172" s="478">
        <f t="shared" si="4"/>
        <v>2014</v>
      </c>
      <c r="H172" s="478">
        <f t="shared" si="5"/>
        <v>2</v>
      </c>
      <c r="I172" s="511">
        <v>19</v>
      </c>
      <c r="J172" s="511">
        <v>4.95</v>
      </c>
      <c r="K172" s="511">
        <v>0</v>
      </c>
      <c r="L172" s="512">
        <v>4.95</v>
      </c>
      <c r="M172" s="513">
        <v>6743</v>
      </c>
      <c r="N172" s="511">
        <v>7.2999999999999995E-2</v>
      </c>
      <c r="O172" s="511">
        <v>4.8099999999999996</v>
      </c>
      <c r="P172" s="511">
        <v>0</v>
      </c>
    </row>
    <row r="173" spans="4:16">
      <c r="D173" s="470" t="s">
        <v>690</v>
      </c>
      <c r="E173" s="509" t="s">
        <v>694</v>
      </c>
      <c r="F173" s="510">
        <v>41701</v>
      </c>
      <c r="G173" s="478">
        <f t="shared" si="4"/>
        <v>2014</v>
      </c>
      <c r="H173" s="478">
        <f t="shared" si="5"/>
        <v>3</v>
      </c>
      <c r="I173" s="511">
        <v>19</v>
      </c>
      <c r="J173" s="511">
        <v>4.9400000000000004</v>
      </c>
      <c r="K173" s="511">
        <v>0</v>
      </c>
      <c r="L173" s="512">
        <v>4.9400000000000004</v>
      </c>
      <c r="M173" s="513">
        <v>6537</v>
      </c>
      <c r="N173" s="511">
        <v>7.5999999999999998E-2</v>
      </c>
      <c r="O173" s="511">
        <v>4.681</v>
      </c>
      <c r="P173" s="511">
        <v>0</v>
      </c>
    </row>
    <row r="174" spans="4:16">
      <c r="D174" s="470" t="s">
        <v>690</v>
      </c>
      <c r="E174" s="509" t="s">
        <v>694</v>
      </c>
      <c r="F174" s="510">
        <v>41730</v>
      </c>
      <c r="G174" s="478">
        <f t="shared" si="4"/>
        <v>2014</v>
      </c>
      <c r="H174" s="478">
        <f t="shared" si="5"/>
        <v>4</v>
      </c>
      <c r="I174" s="511">
        <v>11</v>
      </c>
      <c r="J174" s="511">
        <v>4.71</v>
      </c>
      <c r="K174" s="511">
        <v>0</v>
      </c>
      <c r="L174" s="512">
        <v>4.71</v>
      </c>
      <c r="M174" s="513">
        <v>5924</v>
      </c>
      <c r="N174" s="511">
        <v>0.08</v>
      </c>
      <c r="O174" s="511">
        <v>4.585</v>
      </c>
      <c r="P174" s="511">
        <v>0</v>
      </c>
    </row>
    <row r="175" spans="4:16">
      <c r="D175" s="470" t="s">
        <v>690</v>
      </c>
      <c r="E175" s="509" t="s">
        <v>694</v>
      </c>
      <c r="F175" s="510">
        <v>41789</v>
      </c>
      <c r="G175" s="478">
        <f t="shared" si="4"/>
        <v>2014</v>
      </c>
      <c r="H175" s="478">
        <f t="shared" si="5"/>
        <v>5</v>
      </c>
      <c r="I175" s="511">
        <v>16</v>
      </c>
      <c r="J175" s="511">
        <v>5.3719999999999999</v>
      </c>
      <c r="K175" s="511">
        <v>0.69099999999999995</v>
      </c>
      <c r="L175" s="512">
        <v>6.0629999999999997</v>
      </c>
      <c r="M175" s="513">
        <v>7422</v>
      </c>
      <c r="N175" s="511">
        <v>8.2000000000000003E-2</v>
      </c>
      <c r="O175" s="511">
        <v>5.4260000000000002</v>
      </c>
      <c r="P175" s="511">
        <v>0.69099999999999995</v>
      </c>
    </row>
    <row r="176" spans="4:16">
      <c r="D176" s="470" t="s">
        <v>690</v>
      </c>
      <c r="E176" s="509" t="s">
        <v>694</v>
      </c>
      <c r="F176" s="510">
        <v>41814</v>
      </c>
      <c r="G176" s="478">
        <f t="shared" si="4"/>
        <v>2014</v>
      </c>
      <c r="H176" s="478">
        <f t="shared" si="5"/>
        <v>6</v>
      </c>
      <c r="I176" s="511">
        <v>16</v>
      </c>
      <c r="J176" s="511">
        <v>5.3780000000000001</v>
      </c>
      <c r="K176" s="511">
        <v>0.50600000000000001</v>
      </c>
      <c r="L176" s="512">
        <v>5.8840000000000003</v>
      </c>
      <c r="M176" s="513">
        <v>7670</v>
      </c>
      <c r="N176" s="511">
        <v>7.6999999999999999E-2</v>
      </c>
      <c r="O176" s="511">
        <v>5.4320000000000004</v>
      </c>
      <c r="P176" s="511">
        <v>0.50600000000000001</v>
      </c>
    </row>
    <row r="177" spans="4:16">
      <c r="D177" s="470" t="s">
        <v>690</v>
      </c>
      <c r="E177" s="509" t="s">
        <v>694</v>
      </c>
      <c r="F177" s="510">
        <v>41841</v>
      </c>
      <c r="G177" s="478">
        <f t="shared" si="4"/>
        <v>2014</v>
      </c>
      <c r="H177" s="478">
        <f t="shared" si="5"/>
        <v>7</v>
      </c>
      <c r="I177" s="511">
        <v>17</v>
      </c>
      <c r="J177" s="511">
        <v>6.6</v>
      </c>
      <c r="K177" s="511">
        <v>0.622</v>
      </c>
      <c r="L177" s="512">
        <v>7.2220000000000004</v>
      </c>
      <c r="M177" s="513">
        <v>9150</v>
      </c>
      <c r="N177" s="511">
        <v>7.9000000000000001E-2</v>
      </c>
      <c r="O177" s="511">
        <v>6.43</v>
      </c>
      <c r="P177" s="511">
        <v>0.622</v>
      </c>
    </row>
    <row r="178" spans="4:16">
      <c r="D178" s="470" t="s">
        <v>690</v>
      </c>
      <c r="E178" s="509" t="s">
        <v>694</v>
      </c>
      <c r="F178" s="510">
        <v>41869</v>
      </c>
      <c r="G178" s="478">
        <f t="shared" si="4"/>
        <v>2014</v>
      </c>
      <c r="H178" s="478">
        <f t="shared" si="5"/>
        <v>8</v>
      </c>
      <c r="I178" s="511">
        <v>16</v>
      </c>
      <c r="J178" s="511">
        <v>6.0750000000000002</v>
      </c>
      <c r="K178" s="511">
        <v>0.72599999999999998</v>
      </c>
      <c r="L178" s="512">
        <v>6.8010000000000002</v>
      </c>
      <c r="M178" s="513">
        <v>8190</v>
      </c>
      <c r="N178" s="511">
        <v>8.3000000000000004E-2</v>
      </c>
      <c r="O178" s="511">
        <v>5.8959999999999999</v>
      </c>
      <c r="P178" s="511">
        <v>0.72599999999999998</v>
      </c>
    </row>
    <row r="179" spans="4:16">
      <c r="D179" s="470" t="s">
        <v>690</v>
      </c>
      <c r="E179" s="509" t="s">
        <v>694</v>
      </c>
      <c r="F179" s="510">
        <v>41886</v>
      </c>
      <c r="G179" s="478">
        <f t="shared" si="4"/>
        <v>2014</v>
      </c>
      <c r="H179" s="478">
        <f t="shared" si="5"/>
        <v>9</v>
      </c>
      <c r="I179" s="511">
        <v>15</v>
      </c>
      <c r="J179" s="511">
        <v>5.3470000000000004</v>
      </c>
      <c r="K179" s="511">
        <v>0.71199999999999997</v>
      </c>
      <c r="L179" s="512">
        <v>6.0590000000000002</v>
      </c>
      <c r="M179" s="513">
        <v>7758</v>
      </c>
      <c r="N179" s="511">
        <v>7.8E-2</v>
      </c>
      <c r="O179" s="511">
        <v>5.1929999999999996</v>
      </c>
      <c r="P179" s="511">
        <v>0.71199999999999997</v>
      </c>
    </row>
    <row r="180" spans="4:16">
      <c r="D180" s="470" t="s">
        <v>690</v>
      </c>
      <c r="E180" s="509" t="s">
        <v>694</v>
      </c>
      <c r="F180" s="510">
        <v>41942</v>
      </c>
      <c r="G180" s="478">
        <f t="shared" si="4"/>
        <v>2014</v>
      </c>
      <c r="H180" s="478">
        <f t="shared" si="5"/>
        <v>10</v>
      </c>
      <c r="I180" s="511">
        <v>20</v>
      </c>
      <c r="J180" s="511">
        <v>3.7450000000000001</v>
      </c>
      <c r="K180" s="511">
        <v>0</v>
      </c>
      <c r="L180" s="512">
        <v>3.7450000000000001</v>
      </c>
      <c r="M180" s="513">
        <v>5901</v>
      </c>
      <c r="N180" s="511">
        <v>6.3E-2</v>
      </c>
      <c r="O180" s="511">
        <v>3.718</v>
      </c>
      <c r="P180" s="511">
        <v>0</v>
      </c>
    </row>
    <row r="181" spans="4:16">
      <c r="D181" s="470" t="s">
        <v>690</v>
      </c>
      <c r="E181" s="509" t="s">
        <v>694</v>
      </c>
      <c r="F181" s="510">
        <v>41960</v>
      </c>
      <c r="G181" s="478">
        <f t="shared" si="4"/>
        <v>2014</v>
      </c>
      <c r="H181" s="478">
        <f t="shared" si="5"/>
        <v>11</v>
      </c>
      <c r="I181" s="511">
        <v>18</v>
      </c>
      <c r="J181" s="511">
        <v>4.8860000000000001</v>
      </c>
      <c r="K181" s="511">
        <v>0</v>
      </c>
      <c r="L181" s="512">
        <v>4.8860000000000001</v>
      </c>
      <c r="M181" s="513">
        <v>6677</v>
      </c>
      <c r="N181" s="511">
        <v>7.2999999999999995E-2</v>
      </c>
      <c r="O181" s="511">
        <v>4.8419999999999996</v>
      </c>
      <c r="P181" s="511">
        <v>0</v>
      </c>
    </row>
    <row r="182" spans="4:16">
      <c r="D182" s="470" t="s">
        <v>690</v>
      </c>
      <c r="E182" s="509" t="s">
        <v>694</v>
      </c>
      <c r="F182" s="510">
        <v>41974</v>
      </c>
      <c r="G182" s="478">
        <f t="shared" si="4"/>
        <v>2014</v>
      </c>
      <c r="H182" s="478">
        <f t="shared" si="5"/>
        <v>12</v>
      </c>
      <c r="I182" s="511">
        <v>18</v>
      </c>
      <c r="J182" s="511">
        <v>5.1340000000000003</v>
      </c>
      <c r="K182" s="511">
        <v>0</v>
      </c>
      <c r="L182" s="512">
        <v>5.1340000000000003</v>
      </c>
      <c r="M182" s="513">
        <v>6850</v>
      </c>
      <c r="N182" s="511">
        <v>7.4999999999999997E-2</v>
      </c>
      <c r="O182" s="511">
        <v>4.9550000000000001</v>
      </c>
      <c r="P182" s="511">
        <v>0</v>
      </c>
    </row>
    <row r="183" spans="4:16">
      <c r="D183" s="470" t="s">
        <v>690</v>
      </c>
      <c r="E183" s="509" t="s">
        <v>694</v>
      </c>
      <c r="F183" s="510">
        <v>42011</v>
      </c>
      <c r="G183" s="478">
        <f t="shared" si="4"/>
        <v>2015</v>
      </c>
      <c r="H183" s="478">
        <f t="shared" si="5"/>
        <v>1</v>
      </c>
      <c r="I183" s="511">
        <v>18</v>
      </c>
      <c r="J183" s="511">
        <v>5.1079999999999997</v>
      </c>
      <c r="K183" s="511">
        <v>0</v>
      </c>
      <c r="L183" s="512">
        <v>5.1079999999999997</v>
      </c>
      <c r="M183" s="513">
        <v>6978</v>
      </c>
      <c r="N183" s="511">
        <v>7.2999999999999995E-2</v>
      </c>
      <c r="O183" s="511">
        <v>4.9550000000000001</v>
      </c>
      <c r="P183" s="511">
        <v>0</v>
      </c>
    </row>
    <row r="184" spans="4:16">
      <c r="D184" s="470" t="s">
        <v>690</v>
      </c>
      <c r="E184" s="509" t="s">
        <v>694</v>
      </c>
      <c r="F184" s="510">
        <v>42053</v>
      </c>
      <c r="G184" s="478">
        <f t="shared" si="4"/>
        <v>2015</v>
      </c>
      <c r="H184" s="478">
        <f t="shared" si="5"/>
        <v>2</v>
      </c>
      <c r="I184" s="511">
        <v>19</v>
      </c>
      <c r="J184" s="511">
        <v>4.7789999999999999</v>
      </c>
      <c r="K184" s="511">
        <v>0</v>
      </c>
      <c r="L184" s="512">
        <v>4.7789999999999999</v>
      </c>
      <c r="M184" s="513">
        <v>6744</v>
      </c>
      <c r="N184" s="511">
        <v>7.0999999999999994E-2</v>
      </c>
      <c r="O184" s="511">
        <v>4.6340000000000003</v>
      </c>
      <c r="P184" s="511">
        <v>0</v>
      </c>
    </row>
    <row r="185" spans="4:16">
      <c r="D185" s="470" t="s">
        <v>690</v>
      </c>
      <c r="E185" s="509" t="s">
        <v>694</v>
      </c>
      <c r="F185" s="510">
        <v>42067</v>
      </c>
      <c r="G185" s="478">
        <f t="shared" si="4"/>
        <v>2015</v>
      </c>
      <c r="H185" s="478">
        <f t="shared" si="5"/>
        <v>3</v>
      </c>
      <c r="I185" s="511">
        <v>20</v>
      </c>
      <c r="J185" s="511">
        <v>4.6589999999999998</v>
      </c>
      <c r="K185" s="511">
        <v>0</v>
      </c>
      <c r="L185" s="512">
        <v>4.6589999999999998</v>
      </c>
      <c r="M185" s="513">
        <v>6470</v>
      </c>
      <c r="N185" s="511">
        <v>7.1999999999999995E-2</v>
      </c>
      <c r="O185" s="511">
        <v>4.4740000000000002</v>
      </c>
      <c r="P185" s="511">
        <v>0</v>
      </c>
    </row>
    <row r="186" spans="4:16">
      <c r="D186" s="470" t="s">
        <v>690</v>
      </c>
      <c r="E186" s="509" t="s">
        <v>694</v>
      </c>
      <c r="F186" s="510">
        <v>42103</v>
      </c>
      <c r="G186" s="478">
        <f t="shared" si="4"/>
        <v>2015</v>
      </c>
      <c r="H186" s="478">
        <f t="shared" si="5"/>
        <v>4</v>
      </c>
      <c r="I186" s="511">
        <v>12</v>
      </c>
      <c r="J186" s="511">
        <v>3.798</v>
      </c>
      <c r="K186" s="511">
        <v>0.7</v>
      </c>
      <c r="L186" s="512">
        <v>4.4980000000000002</v>
      </c>
      <c r="M186" s="513">
        <v>5914</v>
      </c>
      <c r="N186" s="511">
        <v>7.5999999999999998E-2</v>
      </c>
      <c r="O186" s="511">
        <v>3.6840000000000002</v>
      </c>
      <c r="P186" s="511">
        <v>0.7</v>
      </c>
    </row>
    <row r="187" spans="4:16">
      <c r="D187" s="470" t="s">
        <v>690</v>
      </c>
      <c r="E187" s="509" t="s">
        <v>694</v>
      </c>
      <c r="F187" s="510">
        <v>42152</v>
      </c>
      <c r="G187" s="478">
        <f t="shared" si="4"/>
        <v>2015</v>
      </c>
      <c r="H187" s="478">
        <f t="shared" si="5"/>
        <v>5</v>
      </c>
      <c r="I187" s="511">
        <v>16</v>
      </c>
      <c r="J187" s="511">
        <v>4.4969999999999999</v>
      </c>
      <c r="K187" s="511">
        <v>0.67100000000000004</v>
      </c>
      <c r="L187" s="512">
        <v>5.1680000000000001</v>
      </c>
      <c r="M187" s="513">
        <v>6837</v>
      </c>
      <c r="N187" s="511">
        <v>7.5999999999999998E-2</v>
      </c>
      <c r="O187" s="511">
        <v>4.3719999999999999</v>
      </c>
      <c r="P187" s="511">
        <v>0.67100000000000004</v>
      </c>
    </row>
    <row r="188" spans="4:16">
      <c r="D188" s="470" t="s">
        <v>690</v>
      </c>
      <c r="E188" s="509" t="s">
        <v>694</v>
      </c>
      <c r="F188" s="510">
        <v>42164</v>
      </c>
      <c r="G188" s="478">
        <f t="shared" si="4"/>
        <v>2015</v>
      </c>
      <c r="H188" s="478">
        <f t="shared" si="5"/>
        <v>6</v>
      </c>
      <c r="I188" s="511">
        <v>17</v>
      </c>
      <c r="J188" s="511">
        <v>6.1360000000000001</v>
      </c>
      <c r="K188" s="511">
        <v>0.66600000000000004</v>
      </c>
      <c r="L188" s="512">
        <v>6.8019999999999996</v>
      </c>
      <c r="M188" s="513">
        <v>8136</v>
      </c>
      <c r="N188" s="511">
        <v>8.4000000000000005E-2</v>
      </c>
      <c r="O188" s="511">
        <v>5.9660000000000002</v>
      </c>
      <c r="P188" s="511">
        <v>0.66600000000000004</v>
      </c>
    </row>
    <row r="189" spans="4:16">
      <c r="D189" s="470" t="s">
        <v>690</v>
      </c>
      <c r="E189" s="509" t="s">
        <v>694</v>
      </c>
      <c r="F189" s="510">
        <v>42212</v>
      </c>
      <c r="G189" s="478">
        <f t="shared" si="4"/>
        <v>2015</v>
      </c>
      <c r="H189" s="478">
        <f t="shared" si="5"/>
        <v>7</v>
      </c>
      <c r="I189" s="511">
        <v>17</v>
      </c>
      <c r="J189" s="511">
        <v>6.2430000000000003</v>
      </c>
      <c r="K189" s="511">
        <v>0.71499999999999997</v>
      </c>
      <c r="L189" s="512">
        <v>6.9580000000000002</v>
      </c>
      <c r="M189" s="513">
        <v>8769</v>
      </c>
      <c r="N189" s="511">
        <v>7.9000000000000001E-2</v>
      </c>
      <c r="O189" s="511">
        <v>5.9779999999999998</v>
      </c>
      <c r="P189" s="511">
        <v>0.71499999999999997</v>
      </c>
    </row>
    <row r="190" spans="4:16">
      <c r="D190" s="470" t="s">
        <v>690</v>
      </c>
      <c r="E190" s="509" t="s">
        <v>694</v>
      </c>
      <c r="F190" s="510">
        <v>42230</v>
      </c>
      <c r="G190" s="478">
        <f t="shared" si="4"/>
        <v>2015</v>
      </c>
      <c r="H190" s="478">
        <f t="shared" si="5"/>
        <v>8</v>
      </c>
      <c r="I190" s="511">
        <v>16</v>
      </c>
      <c r="J190" s="511">
        <v>6.915</v>
      </c>
      <c r="K190" s="511">
        <v>0</v>
      </c>
      <c r="L190" s="512">
        <v>6.915</v>
      </c>
      <c r="M190" s="513">
        <v>8926</v>
      </c>
      <c r="N190" s="511">
        <v>7.6999999999999999E-2</v>
      </c>
      <c r="O190" s="511">
        <v>6.6779999999999999</v>
      </c>
      <c r="P190" s="511">
        <v>0</v>
      </c>
    </row>
    <row r="191" spans="4:16">
      <c r="D191" s="470" t="s">
        <v>690</v>
      </c>
      <c r="E191" s="509" t="s">
        <v>694</v>
      </c>
      <c r="F191" s="510">
        <v>42250</v>
      </c>
      <c r="G191" s="478">
        <f t="shared" si="4"/>
        <v>2015</v>
      </c>
      <c r="H191" s="478">
        <f t="shared" si="5"/>
        <v>9</v>
      </c>
      <c r="I191" s="511">
        <v>17</v>
      </c>
      <c r="J191" s="511">
        <v>6.5209999999999999</v>
      </c>
      <c r="K191" s="511">
        <v>0.70499999999999996</v>
      </c>
      <c r="L191" s="512">
        <v>7.226</v>
      </c>
      <c r="M191" s="513">
        <v>8657</v>
      </c>
      <c r="N191" s="511">
        <v>8.3000000000000004E-2</v>
      </c>
      <c r="O191" s="511">
        <v>6.2590000000000003</v>
      </c>
      <c r="P191" s="511">
        <v>0.70499999999999996</v>
      </c>
    </row>
    <row r="192" spans="4:16">
      <c r="D192" s="470" t="s">
        <v>690</v>
      </c>
      <c r="E192" s="509" t="s">
        <v>694</v>
      </c>
      <c r="F192" s="510">
        <v>42285</v>
      </c>
      <c r="G192" s="478">
        <f t="shared" si="4"/>
        <v>2015</v>
      </c>
      <c r="H192" s="478">
        <f t="shared" si="5"/>
        <v>10</v>
      </c>
      <c r="I192" s="511">
        <v>12</v>
      </c>
      <c r="J192" s="511">
        <v>4.2690000000000001</v>
      </c>
      <c r="K192" s="511">
        <v>0</v>
      </c>
      <c r="L192" s="512">
        <v>4.2690000000000001</v>
      </c>
      <c r="M192" s="513">
        <v>5943</v>
      </c>
      <c r="N192" s="511">
        <v>7.1999999999999995E-2</v>
      </c>
      <c r="O192" s="511">
        <v>4.1379999999999999</v>
      </c>
      <c r="P192" s="511">
        <v>0</v>
      </c>
    </row>
    <row r="193" spans="4:16">
      <c r="D193" s="470" t="s">
        <v>690</v>
      </c>
      <c r="E193" s="509" t="s">
        <v>694</v>
      </c>
      <c r="F193" s="510">
        <v>42338</v>
      </c>
      <c r="G193" s="478">
        <f t="shared" si="4"/>
        <v>2015</v>
      </c>
      <c r="H193" s="478">
        <f t="shared" si="5"/>
        <v>11</v>
      </c>
      <c r="I193" s="511">
        <v>18</v>
      </c>
      <c r="J193" s="511">
        <v>3.6160000000000001</v>
      </c>
      <c r="K193" s="511">
        <v>0.76500000000000001</v>
      </c>
      <c r="L193" s="512">
        <v>4.3810000000000002</v>
      </c>
      <c r="M193" s="513">
        <v>6574</v>
      </c>
      <c r="N193" s="511">
        <v>6.7000000000000004E-2</v>
      </c>
      <c r="O193" s="511">
        <v>3.5259999999999998</v>
      </c>
      <c r="P193" s="511">
        <v>0.76500000000000001</v>
      </c>
    </row>
    <row r="194" spans="4:16">
      <c r="D194" s="470" t="s">
        <v>690</v>
      </c>
      <c r="E194" s="509" t="s">
        <v>694</v>
      </c>
      <c r="F194" s="510">
        <v>42355</v>
      </c>
      <c r="G194" s="478">
        <f t="shared" si="4"/>
        <v>2015</v>
      </c>
      <c r="H194" s="478">
        <f t="shared" si="5"/>
        <v>12</v>
      </c>
      <c r="I194" s="511">
        <v>18</v>
      </c>
      <c r="J194" s="511">
        <v>4.55</v>
      </c>
      <c r="K194" s="511">
        <v>0</v>
      </c>
      <c r="L194" s="512">
        <v>4.55</v>
      </c>
      <c r="M194" s="513">
        <v>6450</v>
      </c>
      <c r="N194" s="511">
        <v>7.0999999999999994E-2</v>
      </c>
      <c r="O194" s="511">
        <v>4.383</v>
      </c>
      <c r="P194" s="511">
        <v>0</v>
      </c>
    </row>
    <row r="195" spans="4:16">
      <c r="D195" s="470" t="s">
        <v>690</v>
      </c>
      <c r="E195" s="476" t="s">
        <v>695</v>
      </c>
      <c r="F195" s="477">
        <v>40927</v>
      </c>
      <c r="G195" s="478">
        <f t="shared" ref="G195:G258" si="6">YEAR(F195)</f>
        <v>2012</v>
      </c>
      <c r="H195" s="478">
        <f t="shared" ref="H195:H258" si="7">MONTH(F195)</f>
        <v>1</v>
      </c>
      <c r="I195" s="479">
        <v>19</v>
      </c>
      <c r="J195" s="479">
        <v>6.5119999999999996</v>
      </c>
      <c r="K195" s="479">
        <v>2.8460000000000001</v>
      </c>
      <c r="L195" s="480">
        <v>9.3580000000000005</v>
      </c>
      <c r="M195" s="479">
        <v>6604</v>
      </c>
      <c r="N195" s="481">
        <v>1.4E-3</v>
      </c>
      <c r="O195" s="479">
        <v>6.5940000000000003</v>
      </c>
      <c r="P195" s="479">
        <v>2.8460000000000001</v>
      </c>
    </row>
    <row r="196" spans="4:16">
      <c r="D196" s="470" t="s">
        <v>690</v>
      </c>
      <c r="E196" s="476" t="s">
        <v>695</v>
      </c>
      <c r="F196" s="477">
        <v>40967</v>
      </c>
      <c r="G196" s="478">
        <f t="shared" si="6"/>
        <v>2012</v>
      </c>
      <c r="H196" s="478">
        <f t="shared" si="7"/>
        <v>2</v>
      </c>
      <c r="I196" s="479">
        <v>19</v>
      </c>
      <c r="J196" s="479">
        <v>5.9139999999999997</v>
      </c>
      <c r="K196" s="479">
        <v>2.7850000000000001</v>
      </c>
      <c r="L196" s="480">
        <v>8.6989999999999998</v>
      </c>
      <c r="M196" s="479">
        <v>6178</v>
      </c>
      <c r="N196" s="481">
        <v>1.4E-3</v>
      </c>
      <c r="O196" s="479">
        <v>5.9880000000000004</v>
      </c>
      <c r="P196" s="479">
        <v>2.7850000000000001</v>
      </c>
    </row>
    <row r="197" spans="4:16">
      <c r="D197" s="470" t="s">
        <v>690</v>
      </c>
      <c r="E197" s="476" t="s">
        <v>695</v>
      </c>
      <c r="F197" s="477">
        <v>40987</v>
      </c>
      <c r="G197" s="478">
        <f t="shared" si="6"/>
        <v>2012</v>
      </c>
      <c r="H197" s="478">
        <f t="shared" si="7"/>
        <v>3</v>
      </c>
      <c r="I197" s="479">
        <v>14</v>
      </c>
      <c r="J197" s="479">
        <v>5.0599999999999996</v>
      </c>
      <c r="K197" s="479">
        <v>3.028</v>
      </c>
      <c r="L197" s="480">
        <v>8.0879999999999992</v>
      </c>
      <c r="M197" s="479">
        <v>6170</v>
      </c>
      <c r="N197" s="481">
        <v>1.2999999999999999E-3</v>
      </c>
      <c r="O197" s="479">
        <v>5.1100000000000003</v>
      </c>
      <c r="P197" s="479">
        <v>3.028</v>
      </c>
    </row>
    <row r="198" spans="4:16">
      <c r="D198" s="470" t="s">
        <v>690</v>
      </c>
      <c r="E198" s="476" t="s">
        <v>695</v>
      </c>
      <c r="F198" s="477">
        <v>41024</v>
      </c>
      <c r="G198" s="478">
        <f t="shared" si="6"/>
        <v>2012</v>
      </c>
      <c r="H198" s="478">
        <f t="shared" si="7"/>
        <v>4</v>
      </c>
      <c r="I198" s="479">
        <v>15</v>
      </c>
      <c r="J198" s="479">
        <v>4.9480000000000004</v>
      </c>
      <c r="K198" s="479">
        <v>2.7429999999999999</v>
      </c>
      <c r="L198" s="480">
        <v>7.6909999999999998</v>
      </c>
      <c r="M198" s="479">
        <v>5813</v>
      </c>
      <c r="N198" s="481">
        <v>1.2999999999999999E-3</v>
      </c>
      <c r="O198" s="479">
        <v>5.0069999999999997</v>
      </c>
      <c r="P198" s="479">
        <v>2.7429999999999999</v>
      </c>
    </row>
    <row r="199" spans="4:16">
      <c r="D199" s="470" t="s">
        <v>690</v>
      </c>
      <c r="E199" s="476" t="s">
        <v>695</v>
      </c>
      <c r="F199" s="477">
        <v>41047</v>
      </c>
      <c r="G199" s="478">
        <f t="shared" si="6"/>
        <v>2012</v>
      </c>
      <c r="H199" s="478">
        <f t="shared" si="7"/>
        <v>5</v>
      </c>
      <c r="I199" s="479">
        <v>17</v>
      </c>
      <c r="J199" s="479">
        <v>6.6539999999999999</v>
      </c>
      <c r="K199" s="479">
        <v>2.964</v>
      </c>
      <c r="L199" s="480">
        <v>9.6180000000000003</v>
      </c>
      <c r="M199" s="479">
        <v>7203</v>
      </c>
      <c r="N199" s="481">
        <v>1.2999999999999999E-3</v>
      </c>
      <c r="O199" s="479">
        <v>6.7210000000000001</v>
      </c>
      <c r="P199" s="479">
        <v>2.964</v>
      </c>
    </row>
    <row r="200" spans="4:16">
      <c r="D200" s="470" t="s">
        <v>690</v>
      </c>
      <c r="E200" s="476" t="s">
        <v>695</v>
      </c>
      <c r="F200" s="477">
        <v>41087</v>
      </c>
      <c r="G200" s="478">
        <f t="shared" si="6"/>
        <v>2012</v>
      </c>
      <c r="H200" s="478">
        <f t="shared" si="7"/>
        <v>6</v>
      </c>
      <c r="I200" s="479">
        <v>17</v>
      </c>
      <c r="J200" s="479">
        <v>10.6</v>
      </c>
      <c r="K200" s="479">
        <v>3.1</v>
      </c>
      <c r="L200" s="480">
        <v>13.7</v>
      </c>
      <c r="M200" s="479">
        <v>8833</v>
      </c>
      <c r="N200" s="481">
        <v>1.6000000000000001E-3</v>
      </c>
      <c r="O200" s="479">
        <v>10.72</v>
      </c>
      <c r="P200" s="479">
        <v>3.1</v>
      </c>
    </row>
    <row r="201" spans="4:16">
      <c r="D201" s="470" t="s">
        <v>690</v>
      </c>
      <c r="E201" s="476" t="s">
        <v>695</v>
      </c>
      <c r="F201" s="477">
        <v>41092</v>
      </c>
      <c r="G201" s="478">
        <f t="shared" si="6"/>
        <v>2012</v>
      </c>
      <c r="H201" s="478">
        <f t="shared" si="7"/>
        <v>7</v>
      </c>
      <c r="I201" s="479">
        <v>17</v>
      </c>
      <c r="J201" s="479">
        <v>16.855</v>
      </c>
      <c r="K201" s="479">
        <v>3.0859999999999999</v>
      </c>
      <c r="L201" s="480">
        <v>19.940999999999999</v>
      </c>
      <c r="M201" s="479">
        <v>9682</v>
      </c>
      <c r="N201" s="481">
        <v>2.0999999999999999E-3</v>
      </c>
      <c r="O201" s="479">
        <v>17.027000000000001</v>
      </c>
      <c r="P201" s="479">
        <v>3.0859999999999999</v>
      </c>
    </row>
    <row r="202" spans="4:16">
      <c r="D202" s="470" t="s">
        <v>690</v>
      </c>
      <c r="E202" s="476" t="s">
        <v>695</v>
      </c>
      <c r="F202" s="477">
        <v>41122</v>
      </c>
      <c r="G202" s="478">
        <f t="shared" si="6"/>
        <v>2012</v>
      </c>
      <c r="H202" s="478">
        <f t="shared" si="7"/>
        <v>8</v>
      </c>
      <c r="I202" s="479">
        <v>17</v>
      </c>
      <c r="J202" s="479">
        <v>18.501999999999999</v>
      </c>
      <c r="K202" s="479">
        <v>3.0640000000000001</v>
      </c>
      <c r="L202" s="480">
        <v>21.565999999999999</v>
      </c>
      <c r="M202" s="479">
        <v>8979</v>
      </c>
      <c r="N202" s="481">
        <v>2.3999999999999998E-3</v>
      </c>
      <c r="O202" s="479">
        <v>18.704000000000001</v>
      </c>
      <c r="P202" s="479">
        <v>3.0640000000000001</v>
      </c>
    </row>
    <row r="203" spans="4:16">
      <c r="D203" s="470" t="s">
        <v>690</v>
      </c>
      <c r="E203" s="476" t="s">
        <v>695</v>
      </c>
      <c r="F203" s="477">
        <v>41156</v>
      </c>
      <c r="G203" s="478">
        <f t="shared" si="6"/>
        <v>2012</v>
      </c>
      <c r="H203" s="478">
        <f t="shared" si="7"/>
        <v>9</v>
      </c>
      <c r="I203" s="479">
        <v>16</v>
      </c>
      <c r="J203" s="479">
        <v>14.412000000000001</v>
      </c>
      <c r="K203" s="479">
        <v>3.0219999999999998</v>
      </c>
      <c r="L203" s="480">
        <v>17.434000000000001</v>
      </c>
      <c r="M203" s="479">
        <v>8521</v>
      </c>
      <c r="N203" s="481">
        <v>2E-3</v>
      </c>
      <c r="O203" s="479">
        <v>14.622</v>
      </c>
      <c r="P203" s="479">
        <v>3.0219999999999998</v>
      </c>
    </row>
    <row r="204" spans="4:16">
      <c r="D204" s="470" t="s">
        <v>690</v>
      </c>
      <c r="E204" s="476" t="s">
        <v>695</v>
      </c>
      <c r="F204" s="477">
        <v>41185</v>
      </c>
      <c r="G204" s="478">
        <f t="shared" si="6"/>
        <v>2012</v>
      </c>
      <c r="H204" s="478">
        <f t="shared" si="7"/>
        <v>10</v>
      </c>
      <c r="I204" s="479">
        <v>14</v>
      </c>
      <c r="J204" s="479">
        <v>6.7279999999999998</v>
      </c>
      <c r="K204" s="479">
        <v>3.089</v>
      </c>
      <c r="L204" s="480">
        <v>9.8170000000000002</v>
      </c>
      <c r="M204" s="479">
        <v>6122</v>
      </c>
      <c r="N204" s="481">
        <v>1.6000000000000001E-3</v>
      </c>
      <c r="O204" s="479">
        <v>6.8259999999999996</v>
      </c>
      <c r="P204" s="479">
        <v>3.089</v>
      </c>
    </row>
    <row r="205" spans="4:16">
      <c r="D205" s="470" t="s">
        <v>690</v>
      </c>
      <c r="E205" s="476" t="s">
        <v>695</v>
      </c>
      <c r="F205" s="477">
        <v>41239</v>
      </c>
      <c r="G205" s="478">
        <f t="shared" si="6"/>
        <v>2012</v>
      </c>
      <c r="H205" s="478">
        <f t="shared" si="7"/>
        <v>11</v>
      </c>
      <c r="I205" s="479">
        <v>18</v>
      </c>
      <c r="J205" s="479">
        <v>6.0590000000000002</v>
      </c>
      <c r="K205" s="479">
        <v>3.032</v>
      </c>
      <c r="L205" s="480">
        <v>9.0909999999999993</v>
      </c>
      <c r="M205" s="479">
        <v>6416</v>
      </c>
      <c r="N205" s="481">
        <v>1.4E-3</v>
      </c>
      <c r="O205" s="479">
        <v>6.117</v>
      </c>
      <c r="P205" s="479">
        <v>3.032</v>
      </c>
    </row>
    <row r="206" spans="4:16">
      <c r="D206" s="470" t="s">
        <v>690</v>
      </c>
      <c r="E206" s="476" t="s">
        <v>695</v>
      </c>
      <c r="F206" s="477">
        <v>41253</v>
      </c>
      <c r="G206" s="478">
        <f t="shared" si="6"/>
        <v>2012</v>
      </c>
      <c r="H206" s="478">
        <f t="shared" si="7"/>
        <v>12</v>
      </c>
      <c r="I206" s="479">
        <v>18</v>
      </c>
      <c r="J206" s="479">
        <v>6.6429999999999998</v>
      </c>
      <c r="K206" s="479">
        <v>3.105</v>
      </c>
      <c r="L206" s="480">
        <v>9.7479999999999993</v>
      </c>
      <c r="M206" s="479">
        <v>6609</v>
      </c>
      <c r="N206" s="481">
        <v>1.5E-3</v>
      </c>
      <c r="O206" s="479">
        <v>6.7389999999999999</v>
      </c>
      <c r="P206" s="479">
        <v>3.105</v>
      </c>
    </row>
    <row r="207" spans="4:16">
      <c r="D207" s="470" t="s">
        <v>690</v>
      </c>
      <c r="E207" s="476" t="s">
        <v>695</v>
      </c>
      <c r="F207" s="477">
        <v>41295</v>
      </c>
      <c r="G207" s="478">
        <f t="shared" si="6"/>
        <v>2013</v>
      </c>
      <c r="H207" s="478">
        <f t="shared" si="7"/>
        <v>1</v>
      </c>
      <c r="I207" s="479">
        <v>19</v>
      </c>
      <c r="J207" s="479">
        <v>6.7839999999999998</v>
      </c>
      <c r="K207" s="479">
        <v>3.0529999999999999</v>
      </c>
      <c r="L207" s="480">
        <v>9.8369999999999997</v>
      </c>
      <c r="M207" s="479">
        <v>6846</v>
      </c>
      <c r="N207" s="481">
        <v>1.4E-3</v>
      </c>
      <c r="O207" s="479">
        <v>6.875</v>
      </c>
      <c r="P207" s="479">
        <v>3.0529999999999999</v>
      </c>
    </row>
    <row r="208" spans="4:16">
      <c r="D208" s="470" t="s">
        <v>690</v>
      </c>
      <c r="E208" s="476" t="s">
        <v>695</v>
      </c>
      <c r="F208" s="477">
        <v>41324</v>
      </c>
      <c r="G208" s="478">
        <f t="shared" si="6"/>
        <v>2013</v>
      </c>
      <c r="H208" s="478">
        <f t="shared" si="7"/>
        <v>2</v>
      </c>
      <c r="I208" s="479">
        <v>19</v>
      </c>
      <c r="J208" s="479">
        <v>6.7569999999999997</v>
      </c>
      <c r="K208" s="479">
        <v>2.6389999999999998</v>
      </c>
      <c r="L208" s="480">
        <v>9.3960000000000008</v>
      </c>
      <c r="M208" s="479">
        <v>6511</v>
      </c>
      <c r="N208" s="481">
        <v>1.4E-3</v>
      </c>
      <c r="O208" s="479">
        <v>6.8460000000000001</v>
      </c>
      <c r="P208" s="479">
        <v>2.6389999999999998</v>
      </c>
    </row>
    <row r="209" spans="4:16">
      <c r="D209" s="470" t="s">
        <v>690</v>
      </c>
      <c r="E209" s="476" t="s">
        <v>695</v>
      </c>
      <c r="F209" s="477">
        <v>41337</v>
      </c>
      <c r="G209" s="478">
        <f t="shared" si="6"/>
        <v>2013</v>
      </c>
      <c r="H209" s="478">
        <f t="shared" si="7"/>
        <v>3</v>
      </c>
      <c r="I209" s="479">
        <v>19</v>
      </c>
      <c r="J209" s="479">
        <v>5.8410000000000002</v>
      </c>
      <c r="K209" s="479">
        <v>3.1019999999999999</v>
      </c>
      <c r="L209" s="480">
        <v>8.9429999999999996</v>
      </c>
      <c r="M209" s="479">
        <v>6172</v>
      </c>
      <c r="N209" s="481">
        <v>1.4E-3</v>
      </c>
      <c r="O209" s="479">
        <v>5.9</v>
      </c>
      <c r="P209" s="479">
        <v>3.1019999999999999</v>
      </c>
    </row>
    <row r="210" spans="4:16">
      <c r="D210" s="470" t="s">
        <v>690</v>
      </c>
      <c r="E210" s="476" t="s">
        <v>695</v>
      </c>
      <c r="F210" s="477">
        <v>41382</v>
      </c>
      <c r="G210" s="478">
        <f t="shared" si="6"/>
        <v>2013</v>
      </c>
      <c r="H210" s="478">
        <f t="shared" si="7"/>
        <v>4</v>
      </c>
      <c r="I210" s="479">
        <v>12</v>
      </c>
      <c r="J210" s="479">
        <v>5.51</v>
      </c>
      <c r="K210" s="479">
        <v>3.1440000000000001</v>
      </c>
      <c r="L210" s="480">
        <v>8.6539999999999999</v>
      </c>
      <c r="M210" s="479">
        <v>5851</v>
      </c>
      <c r="N210" s="481">
        <v>1.5E-3</v>
      </c>
      <c r="O210" s="479">
        <v>5.5679999999999996</v>
      </c>
      <c r="P210" s="479">
        <v>3.1440000000000001</v>
      </c>
    </row>
    <row r="211" spans="4:16">
      <c r="D211" s="470" t="s">
        <v>690</v>
      </c>
      <c r="E211" s="476" t="s">
        <v>695</v>
      </c>
      <c r="F211" s="477">
        <v>41408</v>
      </c>
      <c r="G211" s="478">
        <f t="shared" si="6"/>
        <v>2013</v>
      </c>
      <c r="H211" s="478">
        <f t="shared" si="7"/>
        <v>5</v>
      </c>
      <c r="I211" s="479">
        <v>17</v>
      </c>
      <c r="J211" s="479">
        <v>5.8529999999999998</v>
      </c>
      <c r="K211" s="479">
        <v>2.988</v>
      </c>
      <c r="L211" s="480">
        <v>8.8409999999999993</v>
      </c>
      <c r="M211" s="479">
        <v>6516</v>
      </c>
      <c r="N211" s="481">
        <v>1.4E-3</v>
      </c>
      <c r="O211" s="479">
        <v>5.9260000000000002</v>
      </c>
      <c r="P211" s="479">
        <v>2.988</v>
      </c>
    </row>
    <row r="212" spans="4:16">
      <c r="D212" s="470" t="s">
        <v>690</v>
      </c>
      <c r="E212" s="476" t="s">
        <v>695</v>
      </c>
      <c r="F212" s="477">
        <v>41451</v>
      </c>
      <c r="G212" s="478">
        <f t="shared" si="6"/>
        <v>2013</v>
      </c>
      <c r="H212" s="478">
        <f t="shared" si="7"/>
        <v>6</v>
      </c>
      <c r="I212" s="479">
        <v>16</v>
      </c>
      <c r="J212" s="479">
        <v>10.445</v>
      </c>
      <c r="K212" s="479">
        <v>3.0680000000000001</v>
      </c>
      <c r="L212" s="480">
        <v>13.513</v>
      </c>
      <c r="M212" s="479">
        <v>8280</v>
      </c>
      <c r="N212" s="481">
        <v>1.6000000000000001E-3</v>
      </c>
      <c r="O212" s="479">
        <v>10.521000000000001</v>
      </c>
      <c r="P212" s="479">
        <v>3.0680000000000001</v>
      </c>
    </row>
    <row r="213" spans="4:16">
      <c r="D213" s="470" t="s">
        <v>690</v>
      </c>
      <c r="E213" s="476" t="s">
        <v>695</v>
      </c>
      <c r="F213" s="477">
        <v>41473</v>
      </c>
      <c r="G213" s="478">
        <f t="shared" si="6"/>
        <v>2013</v>
      </c>
      <c r="H213" s="478">
        <f t="shared" si="7"/>
        <v>7</v>
      </c>
      <c r="I213" s="479">
        <v>17</v>
      </c>
      <c r="J213" s="479">
        <v>13.795999999999999</v>
      </c>
      <c r="K213" s="479">
        <v>2.7719999999999998</v>
      </c>
      <c r="L213" s="480">
        <v>16.568000000000001</v>
      </c>
      <c r="M213" s="479">
        <v>9566</v>
      </c>
      <c r="N213" s="481">
        <v>1.6999999999999999E-3</v>
      </c>
      <c r="O213" s="479">
        <v>13.911</v>
      </c>
      <c r="P213" s="479">
        <v>2.7719999999999998</v>
      </c>
    </row>
    <row r="214" spans="4:16">
      <c r="D214" s="470" t="s">
        <v>690</v>
      </c>
      <c r="E214" s="476" t="s">
        <v>695</v>
      </c>
      <c r="F214" s="477">
        <v>41512</v>
      </c>
      <c r="G214" s="478">
        <f t="shared" si="6"/>
        <v>2013</v>
      </c>
      <c r="H214" s="478">
        <f t="shared" si="7"/>
        <v>8</v>
      </c>
      <c r="I214" s="479">
        <v>17</v>
      </c>
      <c r="J214" s="479">
        <v>19.170999999999999</v>
      </c>
      <c r="K214" s="479">
        <v>2.3959999999999999</v>
      </c>
      <c r="L214" s="480">
        <v>21.567</v>
      </c>
      <c r="M214" s="479">
        <v>9821</v>
      </c>
      <c r="N214" s="481">
        <v>2.2000000000000001E-3</v>
      </c>
      <c r="O214" s="479">
        <v>19.344999999999999</v>
      </c>
      <c r="P214" s="479">
        <v>2.3959999999999999</v>
      </c>
    </row>
    <row r="215" spans="4:16">
      <c r="D215" s="470" t="s">
        <v>690</v>
      </c>
      <c r="E215" s="476" t="s">
        <v>695</v>
      </c>
      <c r="F215" s="477">
        <v>41526</v>
      </c>
      <c r="G215" s="478">
        <f t="shared" si="6"/>
        <v>2013</v>
      </c>
      <c r="H215" s="478">
        <f t="shared" si="7"/>
        <v>9</v>
      </c>
      <c r="I215" s="479">
        <v>17</v>
      </c>
      <c r="J215" s="479">
        <v>17.827999999999999</v>
      </c>
      <c r="K215" s="479">
        <v>1.7829999999999999</v>
      </c>
      <c r="L215" s="480">
        <v>19.611000000000001</v>
      </c>
      <c r="M215" s="479">
        <v>8781</v>
      </c>
      <c r="N215" s="481">
        <v>2.2000000000000001E-3</v>
      </c>
      <c r="O215" s="479">
        <v>18.007999999999999</v>
      </c>
      <c r="P215" s="479">
        <v>1.7829999999999999</v>
      </c>
    </row>
    <row r="216" spans="4:16">
      <c r="D216" s="470" t="s">
        <v>690</v>
      </c>
      <c r="E216" s="476" t="s">
        <v>695</v>
      </c>
      <c r="F216" s="477">
        <v>41548</v>
      </c>
      <c r="G216" s="478">
        <f t="shared" si="6"/>
        <v>2013</v>
      </c>
      <c r="H216" s="478">
        <f t="shared" si="7"/>
        <v>10</v>
      </c>
      <c r="I216" s="479">
        <v>14</v>
      </c>
      <c r="J216" s="479">
        <v>11.746</v>
      </c>
      <c r="K216" s="479">
        <v>2.2869999999999999</v>
      </c>
      <c r="L216" s="480">
        <v>14.032999999999999</v>
      </c>
      <c r="M216" s="479">
        <v>6214</v>
      </c>
      <c r="N216" s="481">
        <v>2.3E-3</v>
      </c>
      <c r="O216" s="479">
        <v>11.94</v>
      </c>
      <c r="P216" s="479">
        <v>2.2869999999999999</v>
      </c>
    </row>
    <row r="217" spans="4:16">
      <c r="D217" s="470" t="s">
        <v>690</v>
      </c>
      <c r="E217" s="476" t="s">
        <v>695</v>
      </c>
      <c r="F217" s="477">
        <v>41604</v>
      </c>
      <c r="G217" s="478">
        <f t="shared" si="6"/>
        <v>2013</v>
      </c>
      <c r="H217" s="478">
        <f t="shared" si="7"/>
        <v>11</v>
      </c>
      <c r="I217" s="479">
        <v>18</v>
      </c>
      <c r="J217" s="479">
        <v>5.7809999999999997</v>
      </c>
      <c r="K217" s="479">
        <v>3.105</v>
      </c>
      <c r="L217" s="480">
        <v>8.8859999999999992</v>
      </c>
      <c r="M217" s="479">
        <v>6372</v>
      </c>
      <c r="N217" s="481">
        <v>1.4E-3</v>
      </c>
      <c r="O217" s="479">
        <v>5.8440000000000003</v>
      </c>
      <c r="P217" s="479">
        <v>3.105</v>
      </c>
    </row>
    <row r="218" spans="4:16">
      <c r="D218" s="470" t="s">
        <v>690</v>
      </c>
      <c r="E218" s="476" t="s">
        <v>695</v>
      </c>
      <c r="F218" s="477">
        <v>41619</v>
      </c>
      <c r="G218" s="478">
        <f t="shared" si="6"/>
        <v>2013</v>
      </c>
      <c r="H218" s="478">
        <f t="shared" si="7"/>
        <v>12</v>
      </c>
      <c r="I218" s="479">
        <v>18</v>
      </c>
      <c r="J218" s="479">
        <v>7.4790000000000001</v>
      </c>
      <c r="K218" s="479">
        <v>2.7349999999999999</v>
      </c>
      <c r="L218" s="480">
        <v>10.214</v>
      </c>
      <c r="M218" s="479">
        <v>6972</v>
      </c>
      <c r="N218" s="481">
        <v>1.5E-3</v>
      </c>
      <c r="O218" s="479">
        <v>7.569</v>
      </c>
      <c r="P218" s="479">
        <v>2.7349999999999999</v>
      </c>
    </row>
    <row r="219" spans="4:16">
      <c r="D219" s="470" t="s">
        <v>690</v>
      </c>
      <c r="E219" s="509" t="s">
        <v>695</v>
      </c>
      <c r="F219" s="510">
        <v>41645</v>
      </c>
      <c r="G219" s="478">
        <f t="shared" si="6"/>
        <v>2014</v>
      </c>
      <c r="H219" s="478">
        <f t="shared" si="7"/>
        <v>1</v>
      </c>
      <c r="I219" s="511">
        <v>18</v>
      </c>
      <c r="J219" s="511">
        <v>7.867</v>
      </c>
      <c r="K219" s="511">
        <v>2.8210000000000002</v>
      </c>
      <c r="L219" s="512">
        <v>10.688000000000001</v>
      </c>
      <c r="M219" s="513">
        <v>7188</v>
      </c>
      <c r="N219" s="511">
        <v>0.14899999999999999</v>
      </c>
      <c r="O219" s="511">
        <v>7.968</v>
      </c>
      <c r="P219" s="511">
        <v>2.8210000000000002</v>
      </c>
    </row>
    <row r="220" spans="4:16">
      <c r="D220" s="470" t="s">
        <v>690</v>
      </c>
      <c r="E220" s="509" t="s">
        <v>695</v>
      </c>
      <c r="F220" s="510">
        <v>41676</v>
      </c>
      <c r="G220" s="478">
        <f t="shared" si="6"/>
        <v>2014</v>
      </c>
      <c r="H220" s="478">
        <f t="shared" si="7"/>
        <v>2</v>
      </c>
      <c r="I220" s="511">
        <v>19</v>
      </c>
      <c r="J220" s="511">
        <v>6.9930000000000003</v>
      </c>
      <c r="K220" s="511">
        <v>2.6379999999999999</v>
      </c>
      <c r="L220" s="512">
        <v>9.6310000000000002</v>
      </c>
      <c r="M220" s="513">
        <v>6743</v>
      </c>
      <c r="N220" s="511">
        <v>0.14299999999999999</v>
      </c>
      <c r="O220" s="511">
        <v>7.0830000000000002</v>
      </c>
      <c r="P220" s="511">
        <v>2.6379999999999999</v>
      </c>
    </row>
    <row r="221" spans="4:16">
      <c r="D221" s="470" t="s">
        <v>690</v>
      </c>
      <c r="E221" s="509" t="s">
        <v>695</v>
      </c>
      <c r="F221" s="510">
        <v>41701</v>
      </c>
      <c r="G221" s="478">
        <f t="shared" si="6"/>
        <v>2014</v>
      </c>
      <c r="H221" s="478">
        <f t="shared" si="7"/>
        <v>3</v>
      </c>
      <c r="I221" s="511">
        <v>19</v>
      </c>
      <c r="J221" s="511">
        <v>6.7590000000000003</v>
      </c>
      <c r="K221" s="511">
        <v>2.3359999999999999</v>
      </c>
      <c r="L221" s="512">
        <v>9.0950000000000006</v>
      </c>
      <c r="M221" s="513">
        <v>6537</v>
      </c>
      <c r="N221" s="511">
        <v>0.13900000000000001</v>
      </c>
      <c r="O221" s="511">
        <v>6.8220000000000001</v>
      </c>
      <c r="P221" s="511">
        <v>2.3359999999999999</v>
      </c>
    </row>
    <row r="222" spans="4:16">
      <c r="D222" s="470" t="s">
        <v>690</v>
      </c>
      <c r="E222" s="509" t="s">
        <v>695</v>
      </c>
      <c r="F222" s="510">
        <v>41730</v>
      </c>
      <c r="G222" s="478">
        <f t="shared" si="6"/>
        <v>2014</v>
      </c>
      <c r="H222" s="478">
        <f t="shared" si="7"/>
        <v>4</v>
      </c>
      <c r="I222" s="511">
        <v>11</v>
      </c>
      <c r="J222" s="511">
        <v>3.2829999999999999</v>
      </c>
      <c r="K222" s="511">
        <v>5.4589999999999996</v>
      </c>
      <c r="L222" s="512">
        <v>8.7420000000000009</v>
      </c>
      <c r="M222" s="513">
        <v>5924</v>
      </c>
      <c r="N222" s="511">
        <v>0.14799999999999999</v>
      </c>
      <c r="O222" s="511">
        <v>3.387</v>
      </c>
      <c r="P222" s="511">
        <v>5.4589999999999996</v>
      </c>
    </row>
    <row r="223" spans="4:16">
      <c r="D223" s="470" t="s">
        <v>690</v>
      </c>
      <c r="E223" s="509" t="s">
        <v>695</v>
      </c>
      <c r="F223" s="510">
        <v>41789</v>
      </c>
      <c r="G223" s="478">
        <f t="shared" si="6"/>
        <v>2014</v>
      </c>
      <c r="H223" s="478">
        <f t="shared" si="7"/>
        <v>5</v>
      </c>
      <c r="I223" s="511">
        <v>16</v>
      </c>
      <c r="J223" s="511">
        <v>7.2290000000000001</v>
      </c>
      <c r="K223" s="511">
        <v>3.1459999999999999</v>
      </c>
      <c r="L223" s="512">
        <v>10.375</v>
      </c>
      <c r="M223" s="513">
        <v>7422</v>
      </c>
      <c r="N223" s="511">
        <v>0.14000000000000001</v>
      </c>
      <c r="O223" s="511">
        <v>7.2930000000000001</v>
      </c>
      <c r="P223" s="511">
        <v>3.1459999999999999</v>
      </c>
    </row>
    <row r="224" spans="4:16">
      <c r="D224" s="470" t="s">
        <v>690</v>
      </c>
      <c r="E224" s="509" t="s">
        <v>695</v>
      </c>
      <c r="F224" s="510">
        <v>41814</v>
      </c>
      <c r="G224" s="478">
        <f t="shared" si="6"/>
        <v>2014</v>
      </c>
      <c r="H224" s="478">
        <f t="shared" si="7"/>
        <v>6</v>
      </c>
      <c r="I224" s="511">
        <v>16</v>
      </c>
      <c r="J224" s="511">
        <v>9.048</v>
      </c>
      <c r="K224" s="511">
        <v>3.1070000000000002</v>
      </c>
      <c r="L224" s="512">
        <v>12.154999999999999</v>
      </c>
      <c r="M224" s="513">
        <v>7670</v>
      </c>
      <c r="N224" s="511">
        <v>0.158</v>
      </c>
      <c r="O224" s="511">
        <v>9.0969999999999995</v>
      </c>
      <c r="P224" s="511">
        <v>3.1070000000000002</v>
      </c>
    </row>
    <row r="225" spans="4:16">
      <c r="D225" s="470" t="s">
        <v>690</v>
      </c>
      <c r="E225" s="509" t="s">
        <v>695</v>
      </c>
      <c r="F225" s="510">
        <v>41841</v>
      </c>
      <c r="G225" s="478">
        <f t="shared" si="6"/>
        <v>2014</v>
      </c>
      <c r="H225" s="478">
        <f t="shared" si="7"/>
        <v>7</v>
      </c>
      <c r="I225" s="511">
        <v>17</v>
      </c>
      <c r="J225" s="511">
        <v>14.111000000000001</v>
      </c>
      <c r="K225" s="511">
        <v>3.0870000000000002</v>
      </c>
      <c r="L225" s="512">
        <v>17.198</v>
      </c>
      <c r="M225" s="513">
        <v>9150</v>
      </c>
      <c r="N225" s="511">
        <v>0.188</v>
      </c>
      <c r="O225" s="511">
        <v>14.202999999999999</v>
      </c>
      <c r="P225" s="511">
        <v>3.0870000000000002</v>
      </c>
    </row>
    <row r="226" spans="4:16">
      <c r="D226" s="470" t="s">
        <v>690</v>
      </c>
      <c r="E226" s="509" t="s">
        <v>695</v>
      </c>
      <c r="F226" s="510">
        <v>41869</v>
      </c>
      <c r="G226" s="478">
        <f t="shared" si="6"/>
        <v>2014</v>
      </c>
      <c r="H226" s="478">
        <f t="shared" si="7"/>
        <v>8</v>
      </c>
      <c r="I226" s="511">
        <v>16</v>
      </c>
      <c r="J226" s="511">
        <v>17.620999999999999</v>
      </c>
      <c r="K226" s="511">
        <v>2.3929999999999998</v>
      </c>
      <c r="L226" s="512">
        <v>20.013999999999999</v>
      </c>
      <c r="M226" s="513">
        <v>8190</v>
      </c>
      <c r="N226" s="511">
        <v>0.24399999999999999</v>
      </c>
      <c r="O226" s="511">
        <v>17.780999999999999</v>
      </c>
      <c r="P226" s="511">
        <v>2.3929999999999998</v>
      </c>
    </row>
    <row r="227" spans="4:16">
      <c r="D227" s="470" t="s">
        <v>690</v>
      </c>
      <c r="E227" s="509" t="s">
        <v>695</v>
      </c>
      <c r="F227" s="510">
        <v>41886</v>
      </c>
      <c r="G227" s="478">
        <f t="shared" si="6"/>
        <v>2014</v>
      </c>
      <c r="H227" s="478">
        <f t="shared" si="7"/>
        <v>9</v>
      </c>
      <c r="I227" s="511">
        <v>15</v>
      </c>
      <c r="J227" s="511">
        <v>13.897</v>
      </c>
      <c r="K227" s="511">
        <v>2.76</v>
      </c>
      <c r="L227" s="512">
        <v>16.657</v>
      </c>
      <c r="M227" s="513">
        <v>7758</v>
      </c>
      <c r="N227" s="511">
        <v>0.215</v>
      </c>
      <c r="O227" s="511">
        <v>14.141999999999999</v>
      </c>
      <c r="P227" s="511">
        <v>2.76</v>
      </c>
    </row>
    <row r="228" spans="4:16">
      <c r="D228" s="470" t="s">
        <v>690</v>
      </c>
      <c r="E228" s="509" t="s">
        <v>695</v>
      </c>
      <c r="F228" s="510">
        <v>41942</v>
      </c>
      <c r="G228" s="478">
        <f t="shared" si="6"/>
        <v>2014</v>
      </c>
      <c r="H228" s="478">
        <f t="shared" si="7"/>
        <v>10</v>
      </c>
      <c r="I228" s="511">
        <v>20</v>
      </c>
      <c r="J228" s="511">
        <v>5.3360000000000003</v>
      </c>
      <c r="K228" s="511">
        <v>3.0979999999999999</v>
      </c>
      <c r="L228" s="512">
        <v>8.4339999999999993</v>
      </c>
      <c r="M228" s="513">
        <v>5901</v>
      </c>
      <c r="N228" s="511">
        <v>0.14299999999999999</v>
      </c>
      <c r="O228" s="511">
        <v>5.407</v>
      </c>
      <c r="P228" s="511">
        <v>3.0979999999999999</v>
      </c>
    </row>
    <row r="229" spans="4:16">
      <c r="D229" s="470" t="s">
        <v>690</v>
      </c>
      <c r="E229" s="509" t="s">
        <v>695</v>
      </c>
      <c r="F229" s="510">
        <v>41960</v>
      </c>
      <c r="G229" s="478">
        <f t="shared" si="6"/>
        <v>2014</v>
      </c>
      <c r="H229" s="478">
        <f t="shared" si="7"/>
        <v>11</v>
      </c>
      <c r="I229" s="511">
        <v>18</v>
      </c>
      <c r="J229" s="511">
        <v>6.4240000000000004</v>
      </c>
      <c r="K229" s="511">
        <v>3.101</v>
      </c>
      <c r="L229" s="512">
        <v>9.5250000000000004</v>
      </c>
      <c r="M229" s="513">
        <v>6677</v>
      </c>
      <c r="N229" s="511">
        <v>0.14299999999999999</v>
      </c>
      <c r="O229" s="511">
        <v>6.4870000000000001</v>
      </c>
      <c r="P229" s="511">
        <v>3.101</v>
      </c>
    </row>
    <row r="230" spans="4:16">
      <c r="D230" s="470" t="s">
        <v>690</v>
      </c>
      <c r="E230" s="509" t="s">
        <v>695</v>
      </c>
      <c r="F230" s="510">
        <v>41974</v>
      </c>
      <c r="G230" s="478">
        <f t="shared" si="6"/>
        <v>2014</v>
      </c>
      <c r="H230" s="478">
        <f t="shared" si="7"/>
        <v>12</v>
      </c>
      <c r="I230" s="511">
        <v>18</v>
      </c>
      <c r="J230" s="511">
        <v>6.7640000000000002</v>
      </c>
      <c r="K230" s="511">
        <v>3.0939999999999999</v>
      </c>
      <c r="L230" s="512">
        <v>9.8580000000000005</v>
      </c>
      <c r="M230" s="513">
        <v>6850</v>
      </c>
      <c r="N230" s="511">
        <v>0.14399999999999999</v>
      </c>
      <c r="O230" s="511">
        <v>6.84</v>
      </c>
      <c r="P230" s="511">
        <v>3.0939999999999999</v>
      </c>
    </row>
    <row r="231" spans="4:16">
      <c r="D231" s="470" t="s">
        <v>690</v>
      </c>
      <c r="E231" s="509" t="s">
        <v>695</v>
      </c>
      <c r="F231" s="510">
        <v>42011</v>
      </c>
      <c r="G231" s="478">
        <f t="shared" si="6"/>
        <v>2015</v>
      </c>
      <c r="H231" s="478">
        <f t="shared" si="7"/>
        <v>1</v>
      </c>
      <c r="I231" s="511">
        <v>18</v>
      </c>
      <c r="J231" s="511">
        <v>7.2480000000000002</v>
      </c>
      <c r="K231" s="511">
        <v>2.9020000000000001</v>
      </c>
      <c r="L231" s="512">
        <v>10.15</v>
      </c>
      <c r="M231" s="513">
        <v>6978</v>
      </c>
      <c r="N231" s="511">
        <v>0.14499999999999999</v>
      </c>
      <c r="O231" s="511">
        <v>7.35</v>
      </c>
      <c r="P231" s="511">
        <v>2.9020000000000001</v>
      </c>
    </row>
    <row r="232" spans="4:16">
      <c r="D232" s="470" t="s">
        <v>690</v>
      </c>
      <c r="E232" s="509" t="s">
        <v>695</v>
      </c>
      <c r="F232" s="510">
        <v>42053</v>
      </c>
      <c r="G232" s="478">
        <f t="shared" si="6"/>
        <v>2015</v>
      </c>
      <c r="H232" s="478">
        <f t="shared" si="7"/>
        <v>2</v>
      </c>
      <c r="I232" s="511">
        <v>19</v>
      </c>
      <c r="J232" s="511">
        <v>6.8470000000000004</v>
      </c>
      <c r="K232" s="511">
        <v>2.9809999999999999</v>
      </c>
      <c r="L232" s="512">
        <v>9.8279999999999994</v>
      </c>
      <c r="M232" s="513">
        <v>6744</v>
      </c>
      <c r="N232" s="511">
        <v>0.14599999999999999</v>
      </c>
      <c r="O232" s="511">
        <v>6.9379999999999997</v>
      </c>
      <c r="P232" s="511">
        <v>2.9809999999999999</v>
      </c>
    </row>
    <row r="233" spans="4:16">
      <c r="D233" s="470" t="s">
        <v>690</v>
      </c>
      <c r="E233" s="509" t="s">
        <v>695</v>
      </c>
      <c r="F233" s="510">
        <v>42067</v>
      </c>
      <c r="G233" s="478">
        <f t="shared" si="6"/>
        <v>2015</v>
      </c>
      <c r="H233" s="478">
        <f t="shared" si="7"/>
        <v>3</v>
      </c>
      <c r="I233" s="511">
        <v>20</v>
      </c>
      <c r="J233" s="511">
        <v>6.218</v>
      </c>
      <c r="K233" s="511">
        <v>3.0579999999999998</v>
      </c>
      <c r="L233" s="512">
        <v>9.2759999999999998</v>
      </c>
      <c r="M233" s="513">
        <v>6470</v>
      </c>
      <c r="N233" s="511">
        <v>0.14299999999999999</v>
      </c>
      <c r="O233" s="511">
        <v>6.3</v>
      </c>
      <c r="P233" s="511">
        <v>3.0579999999999998</v>
      </c>
    </row>
    <row r="234" spans="4:16">
      <c r="D234" s="470" t="s">
        <v>690</v>
      </c>
      <c r="E234" s="509" t="s">
        <v>695</v>
      </c>
      <c r="F234" s="510">
        <v>42103</v>
      </c>
      <c r="G234" s="478">
        <f t="shared" si="6"/>
        <v>2015</v>
      </c>
      <c r="H234" s="478">
        <f t="shared" si="7"/>
        <v>4</v>
      </c>
      <c r="I234" s="511">
        <v>12</v>
      </c>
      <c r="J234" s="511">
        <v>5.7670000000000003</v>
      </c>
      <c r="K234" s="511">
        <v>2.5990000000000002</v>
      </c>
      <c r="L234" s="512">
        <v>8.3659999999999997</v>
      </c>
      <c r="M234" s="513">
        <v>5914</v>
      </c>
      <c r="N234" s="511">
        <v>0.14099999999999999</v>
      </c>
      <c r="O234" s="511">
        <v>5.8520000000000003</v>
      </c>
      <c r="P234" s="511">
        <v>2.5990000000000002</v>
      </c>
    </row>
    <row r="235" spans="4:16">
      <c r="D235" s="470" t="s">
        <v>690</v>
      </c>
      <c r="E235" s="509" t="s">
        <v>695</v>
      </c>
      <c r="F235" s="510">
        <v>42152</v>
      </c>
      <c r="G235" s="478">
        <f t="shared" si="6"/>
        <v>2015</v>
      </c>
      <c r="H235" s="478">
        <f t="shared" si="7"/>
        <v>5</v>
      </c>
      <c r="I235" s="511">
        <v>16</v>
      </c>
      <c r="J235" s="511">
        <v>6.633</v>
      </c>
      <c r="K235" s="511">
        <v>3.0630000000000002</v>
      </c>
      <c r="L235" s="512">
        <v>9.6959999999999997</v>
      </c>
      <c r="M235" s="513">
        <v>6837</v>
      </c>
      <c r="N235" s="511">
        <v>0.14199999999999999</v>
      </c>
      <c r="O235" s="511">
        <v>6.7</v>
      </c>
      <c r="P235" s="511">
        <v>3.0630000000000002</v>
      </c>
    </row>
    <row r="236" spans="4:16">
      <c r="D236" s="470" t="s">
        <v>690</v>
      </c>
      <c r="E236" s="509" t="s">
        <v>695</v>
      </c>
      <c r="F236" s="510">
        <v>42164</v>
      </c>
      <c r="G236" s="478">
        <f t="shared" si="6"/>
        <v>2015</v>
      </c>
      <c r="H236" s="478">
        <f t="shared" si="7"/>
        <v>6</v>
      </c>
      <c r="I236" s="511">
        <v>17</v>
      </c>
      <c r="J236" s="511">
        <v>9.8040000000000003</v>
      </c>
      <c r="K236" s="511">
        <v>2.641</v>
      </c>
      <c r="L236" s="512">
        <v>12.445</v>
      </c>
      <c r="M236" s="513">
        <v>8136</v>
      </c>
      <c r="N236" s="511">
        <v>0.153</v>
      </c>
      <c r="O236" s="511">
        <v>9.8710000000000004</v>
      </c>
      <c r="P236" s="511">
        <v>2.641</v>
      </c>
    </row>
    <row r="237" spans="4:16">
      <c r="D237" s="470" t="s">
        <v>690</v>
      </c>
      <c r="E237" s="509" t="s">
        <v>695</v>
      </c>
      <c r="F237" s="510">
        <v>42212</v>
      </c>
      <c r="G237" s="478">
        <f t="shared" si="6"/>
        <v>2015</v>
      </c>
      <c r="H237" s="478">
        <f t="shared" si="7"/>
        <v>7</v>
      </c>
      <c r="I237" s="511">
        <v>17</v>
      </c>
      <c r="J237" s="511">
        <v>11.95</v>
      </c>
      <c r="K237" s="511">
        <v>3.0609999999999999</v>
      </c>
      <c r="L237" s="512">
        <v>15.010999999999999</v>
      </c>
      <c r="M237" s="513">
        <v>8769</v>
      </c>
      <c r="N237" s="511">
        <v>0.17100000000000001</v>
      </c>
      <c r="O237" s="511">
        <v>12.054</v>
      </c>
      <c r="P237" s="511">
        <v>3.0609999999999999</v>
      </c>
    </row>
    <row r="238" spans="4:16">
      <c r="D238" s="470" t="s">
        <v>690</v>
      </c>
      <c r="E238" s="509" t="s">
        <v>695</v>
      </c>
      <c r="F238" s="510">
        <v>42230</v>
      </c>
      <c r="G238" s="478">
        <f t="shared" si="6"/>
        <v>2015</v>
      </c>
      <c r="H238" s="478">
        <f t="shared" si="7"/>
        <v>8</v>
      </c>
      <c r="I238" s="511">
        <v>16</v>
      </c>
      <c r="J238" s="511">
        <v>18.081</v>
      </c>
      <c r="K238" s="511">
        <v>3.06</v>
      </c>
      <c r="L238" s="512">
        <v>21.140999999999998</v>
      </c>
      <c r="M238" s="513">
        <v>8926</v>
      </c>
      <c r="N238" s="511">
        <v>0.23699999999999999</v>
      </c>
      <c r="O238" s="511">
        <v>18.231999999999999</v>
      </c>
      <c r="P238" s="511">
        <v>3.06</v>
      </c>
    </row>
    <row r="239" spans="4:16">
      <c r="D239" s="470" t="s">
        <v>690</v>
      </c>
      <c r="E239" s="509" t="s">
        <v>695</v>
      </c>
      <c r="F239" s="510">
        <v>42250</v>
      </c>
      <c r="G239" s="478">
        <f t="shared" si="6"/>
        <v>2015</v>
      </c>
      <c r="H239" s="478">
        <f t="shared" si="7"/>
        <v>9</v>
      </c>
      <c r="I239" s="511">
        <v>17</v>
      </c>
      <c r="J239" s="511">
        <v>18.384</v>
      </c>
      <c r="K239" s="511">
        <v>2.7770000000000001</v>
      </c>
      <c r="L239" s="512">
        <v>21.161000000000001</v>
      </c>
      <c r="M239" s="513">
        <v>8657</v>
      </c>
      <c r="N239" s="511">
        <v>0.24399999999999999</v>
      </c>
      <c r="O239" s="511">
        <v>18.547999999999998</v>
      </c>
      <c r="P239" s="511">
        <v>2.7770000000000001</v>
      </c>
    </row>
    <row r="240" spans="4:16">
      <c r="D240" s="470" t="s">
        <v>690</v>
      </c>
      <c r="E240" s="509" t="s">
        <v>695</v>
      </c>
      <c r="F240" s="510">
        <v>42285</v>
      </c>
      <c r="G240" s="478">
        <f t="shared" si="6"/>
        <v>2015</v>
      </c>
      <c r="H240" s="478">
        <f t="shared" si="7"/>
        <v>10</v>
      </c>
      <c r="I240" s="511">
        <v>12</v>
      </c>
      <c r="J240" s="511">
        <v>8.3539999999999992</v>
      </c>
      <c r="K240" s="511">
        <v>3.0619999999999998</v>
      </c>
      <c r="L240" s="512">
        <v>11.416</v>
      </c>
      <c r="M240" s="513">
        <v>5943</v>
      </c>
      <c r="N240" s="511">
        <v>0.192</v>
      </c>
      <c r="O240" s="511">
        <v>8.4450000000000003</v>
      </c>
      <c r="P240" s="511">
        <v>3.0619999999999998</v>
      </c>
    </row>
    <row r="241" spans="4:16">
      <c r="D241" s="470" t="s">
        <v>690</v>
      </c>
      <c r="E241" s="509" t="s">
        <v>695</v>
      </c>
      <c r="F241" s="510">
        <v>42338</v>
      </c>
      <c r="G241" s="478">
        <f t="shared" si="6"/>
        <v>2015</v>
      </c>
      <c r="H241" s="478">
        <f t="shared" si="7"/>
        <v>11</v>
      </c>
      <c r="I241" s="511">
        <v>18</v>
      </c>
      <c r="J241" s="511">
        <v>6.1550000000000002</v>
      </c>
      <c r="K241" s="511">
        <v>3.0950000000000002</v>
      </c>
      <c r="L241" s="512">
        <v>9.25</v>
      </c>
      <c r="M241" s="513">
        <v>6574</v>
      </c>
      <c r="N241" s="511">
        <v>0.14099999999999999</v>
      </c>
      <c r="O241" s="511">
        <v>6.23</v>
      </c>
      <c r="P241" s="511">
        <v>3.0950000000000002</v>
      </c>
    </row>
    <row r="242" spans="4:16">
      <c r="D242" s="470" t="s">
        <v>690</v>
      </c>
      <c r="E242" s="509" t="s">
        <v>695</v>
      </c>
      <c r="F242" s="510">
        <v>42355</v>
      </c>
      <c r="G242" s="478">
        <f t="shared" si="6"/>
        <v>2015</v>
      </c>
      <c r="H242" s="478">
        <f t="shared" si="7"/>
        <v>12</v>
      </c>
      <c r="I242" s="511">
        <v>18</v>
      </c>
      <c r="J242" s="511">
        <v>6.3479999999999999</v>
      </c>
      <c r="K242" s="511">
        <v>3.0419999999999998</v>
      </c>
      <c r="L242" s="512">
        <v>9.39</v>
      </c>
      <c r="M242" s="513">
        <v>6450</v>
      </c>
      <c r="N242" s="511">
        <v>0.14599999999999999</v>
      </c>
      <c r="O242" s="511">
        <v>6.4210000000000003</v>
      </c>
      <c r="P242" s="511">
        <v>3.0419999999999998</v>
      </c>
    </row>
    <row r="243" spans="4:16">
      <c r="D243" s="470" t="s">
        <v>690</v>
      </c>
      <c r="E243" s="476" t="s">
        <v>696</v>
      </c>
      <c r="F243" s="477">
        <v>40927</v>
      </c>
      <c r="G243" s="478">
        <f t="shared" si="6"/>
        <v>2012</v>
      </c>
      <c r="H243" s="478">
        <f t="shared" si="7"/>
        <v>1</v>
      </c>
      <c r="I243" s="479">
        <v>19</v>
      </c>
      <c r="J243" s="479">
        <v>1.9430000000000001</v>
      </c>
      <c r="K243" s="479">
        <v>0</v>
      </c>
      <c r="L243" s="480">
        <v>1.9430000000000001</v>
      </c>
      <c r="M243" s="479">
        <v>6604</v>
      </c>
      <c r="N243" s="481">
        <v>2.9999999999999997E-4</v>
      </c>
      <c r="O243" s="479">
        <v>1.97</v>
      </c>
      <c r="P243" s="479">
        <v>0</v>
      </c>
    </row>
    <row r="244" spans="4:16">
      <c r="D244" s="470" t="s">
        <v>690</v>
      </c>
      <c r="E244" s="476" t="s">
        <v>696</v>
      </c>
      <c r="F244" s="477">
        <v>40967</v>
      </c>
      <c r="G244" s="478">
        <f t="shared" si="6"/>
        <v>2012</v>
      </c>
      <c r="H244" s="478">
        <f t="shared" si="7"/>
        <v>2</v>
      </c>
      <c r="I244" s="479">
        <v>19</v>
      </c>
      <c r="J244" s="479">
        <v>1.768</v>
      </c>
      <c r="K244" s="479">
        <v>0</v>
      </c>
      <c r="L244" s="480">
        <v>1.768</v>
      </c>
      <c r="M244" s="479">
        <v>6178</v>
      </c>
      <c r="N244" s="481">
        <v>2.9999999999999997E-4</v>
      </c>
      <c r="O244" s="479">
        <v>1.796</v>
      </c>
      <c r="P244" s="479">
        <v>0</v>
      </c>
    </row>
    <row r="245" spans="4:16">
      <c r="D245" s="470" t="s">
        <v>690</v>
      </c>
      <c r="E245" s="476" t="s">
        <v>696</v>
      </c>
      <c r="F245" s="477">
        <v>40987</v>
      </c>
      <c r="G245" s="478">
        <f t="shared" si="6"/>
        <v>2012</v>
      </c>
      <c r="H245" s="478">
        <f t="shared" si="7"/>
        <v>3</v>
      </c>
      <c r="I245" s="479">
        <v>14</v>
      </c>
      <c r="J245" s="479">
        <v>1.3320000000000001</v>
      </c>
      <c r="K245" s="479">
        <v>0</v>
      </c>
      <c r="L245" s="480">
        <v>1.3320000000000001</v>
      </c>
      <c r="M245" s="479">
        <v>6170</v>
      </c>
      <c r="N245" s="481">
        <v>2.0000000000000001E-4</v>
      </c>
      <c r="O245" s="479">
        <v>1.351</v>
      </c>
      <c r="P245" s="479">
        <v>0</v>
      </c>
    </row>
    <row r="246" spans="4:16">
      <c r="D246" s="470" t="s">
        <v>690</v>
      </c>
      <c r="E246" s="476" t="s">
        <v>696</v>
      </c>
      <c r="F246" s="477">
        <v>41024</v>
      </c>
      <c r="G246" s="478">
        <f t="shared" si="6"/>
        <v>2012</v>
      </c>
      <c r="H246" s="478">
        <f t="shared" si="7"/>
        <v>4</v>
      </c>
      <c r="I246" s="479">
        <v>15</v>
      </c>
      <c r="J246" s="479">
        <v>1.2969999999999999</v>
      </c>
      <c r="K246" s="479">
        <v>0</v>
      </c>
      <c r="L246" s="480">
        <v>1.2969999999999999</v>
      </c>
      <c r="M246" s="479">
        <v>5813</v>
      </c>
      <c r="N246" s="481">
        <v>2.0000000000000001E-4</v>
      </c>
      <c r="O246" s="479">
        <v>1.3160000000000001</v>
      </c>
      <c r="P246" s="479">
        <v>0</v>
      </c>
    </row>
    <row r="247" spans="4:16">
      <c r="D247" s="470" t="s">
        <v>690</v>
      </c>
      <c r="E247" s="476" t="s">
        <v>696</v>
      </c>
      <c r="F247" s="477">
        <v>41047</v>
      </c>
      <c r="G247" s="478">
        <f t="shared" si="6"/>
        <v>2012</v>
      </c>
      <c r="H247" s="478">
        <f t="shared" si="7"/>
        <v>5</v>
      </c>
      <c r="I247" s="479">
        <v>17</v>
      </c>
      <c r="J247" s="479">
        <v>2.0640000000000001</v>
      </c>
      <c r="K247" s="479">
        <v>0</v>
      </c>
      <c r="L247" s="480">
        <v>2.0640000000000001</v>
      </c>
      <c r="M247" s="479">
        <v>7203</v>
      </c>
      <c r="N247" s="481">
        <v>2.9999999999999997E-4</v>
      </c>
      <c r="O247" s="479">
        <v>2.0939999999999999</v>
      </c>
      <c r="P247" s="479">
        <v>0</v>
      </c>
    </row>
    <row r="248" spans="4:16">
      <c r="D248" s="470" t="s">
        <v>690</v>
      </c>
      <c r="E248" s="476" t="s">
        <v>696</v>
      </c>
      <c r="F248" s="477">
        <v>41087</v>
      </c>
      <c r="G248" s="478">
        <f t="shared" si="6"/>
        <v>2012</v>
      </c>
      <c r="H248" s="478">
        <f t="shared" si="7"/>
        <v>6</v>
      </c>
      <c r="I248" s="479">
        <v>17</v>
      </c>
      <c r="J248" s="479">
        <v>3.0289999999999999</v>
      </c>
      <c r="K248" s="479">
        <v>0</v>
      </c>
      <c r="L248" s="480">
        <v>3.0289999999999999</v>
      </c>
      <c r="M248" s="479">
        <v>8833</v>
      </c>
      <c r="N248" s="481">
        <v>2.9999999999999997E-4</v>
      </c>
      <c r="O248" s="479">
        <v>3.0750000000000002</v>
      </c>
      <c r="P248" s="479">
        <v>0</v>
      </c>
    </row>
    <row r="249" spans="4:16">
      <c r="D249" s="470" t="s">
        <v>690</v>
      </c>
      <c r="E249" s="476" t="s">
        <v>696</v>
      </c>
      <c r="F249" s="477">
        <v>41092</v>
      </c>
      <c r="G249" s="478">
        <f t="shared" si="6"/>
        <v>2012</v>
      </c>
      <c r="H249" s="478">
        <f t="shared" si="7"/>
        <v>7</v>
      </c>
      <c r="I249" s="479">
        <v>17</v>
      </c>
      <c r="J249" s="479">
        <v>3.327</v>
      </c>
      <c r="K249" s="479">
        <v>0</v>
      </c>
      <c r="L249" s="480">
        <v>3.327</v>
      </c>
      <c r="M249" s="479">
        <v>9682</v>
      </c>
      <c r="N249" s="481">
        <v>2.9999999999999997E-4</v>
      </c>
      <c r="O249" s="479">
        <v>3.379</v>
      </c>
      <c r="P249" s="479">
        <v>0</v>
      </c>
    </row>
    <row r="250" spans="4:16">
      <c r="D250" s="470" t="s">
        <v>690</v>
      </c>
      <c r="E250" s="476" t="s">
        <v>696</v>
      </c>
      <c r="F250" s="477">
        <v>41122</v>
      </c>
      <c r="G250" s="478">
        <f t="shared" si="6"/>
        <v>2012</v>
      </c>
      <c r="H250" s="478">
        <f t="shared" si="7"/>
        <v>8</v>
      </c>
      <c r="I250" s="479">
        <v>17</v>
      </c>
      <c r="J250" s="479">
        <v>3.0059999999999998</v>
      </c>
      <c r="K250" s="479">
        <v>0</v>
      </c>
      <c r="L250" s="480">
        <v>3.0059999999999998</v>
      </c>
      <c r="M250" s="479">
        <v>8979</v>
      </c>
      <c r="N250" s="481">
        <v>2.9999999999999997E-4</v>
      </c>
      <c r="O250" s="479">
        <v>3.052</v>
      </c>
      <c r="P250" s="479">
        <v>0</v>
      </c>
    </row>
    <row r="251" spans="4:16">
      <c r="D251" s="470" t="s">
        <v>690</v>
      </c>
      <c r="E251" s="476" t="s">
        <v>696</v>
      </c>
      <c r="F251" s="477">
        <v>41156</v>
      </c>
      <c r="G251" s="478">
        <f t="shared" si="6"/>
        <v>2012</v>
      </c>
      <c r="H251" s="478">
        <f t="shared" si="7"/>
        <v>9</v>
      </c>
      <c r="I251" s="479">
        <v>16</v>
      </c>
      <c r="J251" s="479">
        <v>2.8119999999999998</v>
      </c>
      <c r="K251" s="479">
        <v>0</v>
      </c>
      <c r="L251" s="480">
        <v>2.8119999999999998</v>
      </c>
      <c r="M251" s="479">
        <v>8521</v>
      </c>
      <c r="N251" s="481">
        <v>2.9999999999999997E-4</v>
      </c>
      <c r="O251" s="479">
        <v>2.855</v>
      </c>
      <c r="P251" s="479">
        <v>0</v>
      </c>
    </row>
    <row r="252" spans="4:16">
      <c r="D252" s="470" t="s">
        <v>690</v>
      </c>
      <c r="E252" s="476" t="s">
        <v>696</v>
      </c>
      <c r="F252" s="477">
        <v>41185</v>
      </c>
      <c r="G252" s="478">
        <f t="shared" si="6"/>
        <v>2012</v>
      </c>
      <c r="H252" s="478">
        <f t="shared" si="7"/>
        <v>10</v>
      </c>
      <c r="I252" s="479">
        <v>14</v>
      </c>
      <c r="J252" s="479">
        <v>1.347</v>
      </c>
      <c r="K252" s="479">
        <v>0</v>
      </c>
      <c r="L252" s="480">
        <v>1.347</v>
      </c>
      <c r="M252" s="479">
        <v>6122</v>
      </c>
      <c r="N252" s="481">
        <v>2.0000000000000001E-4</v>
      </c>
      <c r="O252" s="479">
        <v>1.365</v>
      </c>
      <c r="P252" s="479">
        <v>0</v>
      </c>
    </row>
    <row r="253" spans="4:16">
      <c r="D253" s="470" t="s">
        <v>690</v>
      </c>
      <c r="E253" s="476" t="s">
        <v>696</v>
      </c>
      <c r="F253" s="477">
        <v>41239</v>
      </c>
      <c r="G253" s="478">
        <f t="shared" si="6"/>
        <v>2012</v>
      </c>
      <c r="H253" s="478">
        <f t="shared" si="7"/>
        <v>11</v>
      </c>
      <c r="I253" s="479">
        <v>18</v>
      </c>
      <c r="J253" s="479">
        <v>1.9810000000000001</v>
      </c>
      <c r="K253" s="479">
        <v>0</v>
      </c>
      <c r="L253" s="480">
        <v>1.9810000000000001</v>
      </c>
      <c r="M253" s="479">
        <v>6416</v>
      </c>
      <c r="N253" s="481">
        <v>2.9999999999999997E-4</v>
      </c>
      <c r="O253" s="479">
        <v>2.0070000000000001</v>
      </c>
      <c r="P253" s="479">
        <v>0</v>
      </c>
    </row>
    <row r="254" spans="4:16">
      <c r="D254" s="470" t="s">
        <v>690</v>
      </c>
      <c r="E254" s="476" t="s">
        <v>696</v>
      </c>
      <c r="F254" s="477">
        <v>41253</v>
      </c>
      <c r="G254" s="478">
        <f t="shared" si="6"/>
        <v>2012</v>
      </c>
      <c r="H254" s="478">
        <f t="shared" si="7"/>
        <v>12</v>
      </c>
      <c r="I254" s="479">
        <v>18</v>
      </c>
      <c r="J254" s="479">
        <v>2.0920000000000001</v>
      </c>
      <c r="K254" s="479">
        <v>0</v>
      </c>
      <c r="L254" s="480">
        <v>2.0920000000000001</v>
      </c>
      <c r="M254" s="479">
        <v>6609</v>
      </c>
      <c r="N254" s="481">
        <v>2.9999999999999997E-4</v>
      </c>
      <c r="O254" s="479">
        <v>2.1219999999999999</v>
      </c>
      <c r="P254" s="479">
        <v>0</v>
      </c>
    </row>
    <row r="255" spans="4:16">
      <c r="D255" s="470" t="s">
        <v>690</v>
      </c>
      <c r="E255" s="476" t="s">
        <v>696</v>
      </c>
      <c r="F255" s="477">
        <v>41295</v>
      </c>
      <c r="G255" s="478">
        <f t="shared" si="6"/>
        <v>2013</v>
      </c>
      <c r="H255" s="478">
        <f t="shared" si="7"/>
        <v>1</v>
      </c>
      <c r="I255" s="479">
        <v>19</v>
      </c>
      <c r="J255" s="479">
        <v>2.008</v>
      </c>
      <c r="K255" s="479">
        <v>0</v>
      </c>
      <c r="L255" s="480">
        <v>2.008</v>
      </c>
      <c r="M255" s="479">
        <v>6846</v>
      </c>
      <c r="N255" s="481">
        <v>2.9999999999999997E-4</v>
      </c>
      <c r="O255" s="479">
        <v>2.0390000000000001</v>
      </c>
      <c r="P255" s="479">
        <v>0</v>
      </c>
    </row>
    <row r="256" spans="4:16">
      <c r="D256" s="470" t="s">
        <v>690</v>
      </c>
      <c r="E256" s="476" t="s">
        <v>696</v>
      </c>
      <c r="F256" s="477">
        <v>41324</v>
      </c>
      <c r="G256" s="478">
        <f t="shared" si="6"/>
        <v>2013</v>
      </c>
      <c r="H256" s="478">
        <f t="shared" si="7"/>
        <v>2</v>
      </c>
      <c r="I256" s="479">
        <v>19</v>
      </c>
      <c r="J256" s="479">
        <v>1.9319999999999999</v>
      </c>
      <c r="K256" s="479">
        <v>0</v>
      </c>
      <c r="L256" s="480">
        <v>1.9319999999999999</v>
      </c>
      <c r="M256" s="479">
        <v>6511</v>
      </c>
      <c r="N256" s="481">
        <v>2.9999999999999997E-4</v>
      </c>
      <c r="O256" s="479">
        <v>1.9590000000000001</v>
      </c>
      <c r="P256" s="479">
        <v>0</v>
      </c>
    </row>
    <row r="257" spans="4:16">
      <c r="D257" s="470" t="s">
        <v>690</v>
      </c>
      <c r="E257" s="476" t="s">
        <v>696</v>
      </c>
      <c r="F257" s="477">
        <v>41337</v>
      </c>
      <c r="G257" s="478">
        <f t="shared" si="6"/>
        <v>2013</v>
      </c>
      <c r="H257" s="478">
        <f t="shared" si="7"/>
        <v>3</v>
      </c>
      <c r="I257" s="479">
        <v>19</v>
      </c>
      <c r="J257" s="479">
        <v>1.7110000000000001</v>
      </c>
      <c r="K257" s="479">
        <v>0</v>
      </c>
      <c r="L257" s="480">
        <v>1.7110000000000001</v>
      </c>
      <c r="M257" s="479">
        <v>6172</v>
      </c>
      <c r="N257" s="481">
        <v>2.9999999999999997E-4</v>
      </c>
      <c r="O257" s="479">
        <v>1.74</v>
      </c>
      <c r="P257" s="479">
        <v>0</v>
      </c>
    </row>
    <row r="258" spans="4:16">
      <c r="D258" s="470" t="s">
        <v>690</v>
      </c>
      <c r="E258" s="476" t="s">
        <v>696</v>
      </c>
      <c r="F258" s="477">
        <v>41382</v>
      </c>
      <c r="G258" s="478">
        <f t="shared" si="6"/>
        <v>2013</v>
      </c>
      <c r="H258" s="478">
        <f t="shared" si="7"/>
        <v>4</v>
      </c>
      <c r="I258" s="479">
        <v>12</v>
      </c>
      <c r="J258" s="479">
        <v>1.42</v>
      </c>
      <c r="K258" s="479">
        <v>0</v>
      </c>
      <c r="L258" s="480">
        <v>1.42</v>
      </c>
      <c r="M258" s="479">
        <v>5851</v>
      </c>
      <c r="N258" s="481">
        <v>2.0000000000000001E-4</v>
      </c>
      <c r="O258" s="479">
        <v>1.4410000000000001</v>
      </c>
      <c r="P258" s="479">
        <v>0</v>
      </c>
    </row>
    <row r="259" spans="4:16">
      <c r="D259" s="470" t="s">
        <v>690</v>
      </c>
      <c r="E259" s="476" t="s">
        <v>696</v>
      </c>
      <c r="F259" s="477">
        <v>41408</v>
      </c>
      <c r="G259" s="478">
        <f t="shared" ref="G259:G322" si="8">YEAR(F259)</f>
        <v>2013</v>
      </c>
      <c r="H259" s="478">
        <f t="shared" ref="H259:H322" si="9">MONTH(F259)</f>
        <v>5</v>
      </c>
      <c r="I259" s="479">
        <v>17</v>
      </c>
      <c r="J259" s="479">
        <v>1.7210000000000001</v>
      </c>
      <c r="K259" s="479">
        <v>0</v>
      </c>
      <c r="L259" s="480">
        <v>1.7210000000000001</v>
      </c>
      <c r="M259" s="479">
        <v>6516</v>
      </c>
      <c r="N259" s="481">
        <v>2.9999999999999997E-4</v>
      </c>
      <c r="O259" s="479">
        <v>1.742</v>
      </c>
      <c r="P259" s="479">
        <v>0</v>
      </c>
    </row>
    <row r="260" spans="4:16">
      <c r="D260" s="470" t="s">
        <v>690</v>
      </c>
      <c r="E260" s="476" t="s">
        <v>696</v>
      </c>
      <c r="F260" s="477">
        <v>41451</v>
      </c>
      <c r="G260" s="478">
        <f t="shared" si="8"/>
        <v>2013</v>
      </c>
      <c r="H260" s="478">
        <f t="shared" si="9"/>
        <v>6</v>
      </c>
      <c r="I260" s="479">
        <v>16</v>
      </c>
      <c r="J260" s="479">
        <v>2.5739999999999998</v>
      </c>
      <c r="K260" s="479">
        <v>0</v>
      </c>
      <c r="L260" s="480">
        <v>2.5739999999999998</v>
      </c>
      <c r="M260" s="479">
        <v>8280</v>
      </c>
      <c r="N260" s="481">
        <v>2.9999999999999997E-4</v>
      </c>
      <c r="O260" s="479">
        <v>2.6110000000000002</v>
      </c>
      <c r="P260" s="479">
        <v>0</v>
      </c>
    </row>
    <row r="261" spans="4:16">
      <c r="D261" s="470" t="s">
        <v>690</v>
      </c>
      <c r="E261" s="476" t="s">
        <v>696</v>
      </c>
      <c r="F261" s="477">
        <v>41473</v>
      </c>
      <c r="G261" s="478">
        <f t="shared" si="8"/>
        <v>2013</v>
      </c>
      <c r="H261" s="478">
        <f t="shared" si="9"/>
        <v>7</v>
      </c>
      <c r="I261" s="479">
        <v>17</v>
      </c>
      <c r="J261" s="479">
        <v>3.137</v>
      </c>
      <c r="K261" s="479">
        <v>0</v>
      </c>
      <c r="L261" s="480">
        <v>3.137</v>
      </c>
      <c r="M261" s="479">
        <v>9566</v>
      </c>
      <c r="N261" s="481">
        <v>2.9999999999999997E-4</v>
      </c>
      <c r="O261" s="479">
        <v>3.1829999999999998</v>
      </c>
      <c r="P261" s="479">
        <v>0</v>
      </c>
    </row>
    <row r="262" spans="4:16">
      <c r="D262" s="470" t="s">
        <v>690</v>
      </c>
      <c r="E262" s="476" t="s">
        <v>696</v>
      </c>
      <c r="F262" s="477">
        <v>41512</v>
      </c>
      <c r="G262" s="478">
        <f t="shared" si="8"/>
        <v>2013</v>
      </c>
      <c r="H262" s="478">
        <f t="shared" si="9"/>
        <v>8</v>
      </c>
      <c r="I262" s="479">
        <v>17</v>
      </c>
      <c r="J262" s="479">
        <v>3.153</v>
      </c>
      <c r="K262" s="479">
        <v>0</v>
      </c>
      <c r="L262" s="480">
        <v>3.153</v>
      </c>
      <c r="M262" s="479">
        <v>9821</v>
      </c>
      <c r="N262" s="481">
        <v>2.9999999999999997E-4</v>
      </c>
      <c r="O262" s="479">
        <v>3.1989999999999998</v>
      </c>
      <c r="P262" s="479">
        <v>0</v>
      </c>
    </row>
    <row r="263" spans="4:16">
      <c r="D263" s="470" t="s">
        <v>690</v>
      </c>
      <c r="E263" s="476" t="s">
        <v>696</v>
      </c>
      <c r="F263" s="477">
        <v>41526</v>
      </c>
      <c r="G263" s="478">
        <f t="shared" si="8"/>
        <v>2013</v>
      </c>
      <c r="H263" s="478">
        <f t="shared" si="9"/>
        <v>9</v>
      </c>
      <c r="I263" s="479">
        <v>17</v>
      </c>
      <c r="J263" s="479">
        <v>3.077</v>
      </c>
      <c r="K263" s="479">
        <v>0</v>
      </c>
      <c r="L263" s="480">
        <v>3.077</v>
      </c>
      <c r="M263" s="479">
        <v>8781</v>
      </c>
      <c r="N263" s="481">
        <v>4.0000000000000002E-4</v>
      </c>
      <c r="O263" s="479">
        <v>3.1219999999999999</v>
      </c>
      <c r="P263" s="479">
        <v>0</v>
      </c>
    </row>
    <row r="264" spans="4:16">
      <c r="D264" s="470" t="s">
        <v>690</v>
      </c>
      <c r="E264" s="476" t="s">
        <v>696</v>
      </c>
      <c r="F264" s="477">
        <v>41548</v>
      </c>
      <c r="G264" s="478">
        <f t="shared" si="8"/>
        <v>2013</v>
      </c>
      <c r="H264" s="478">
        <f t="shared" si="9"/>
        <v>10</v>
      </c>
      <c r="I264" s="479">
        <v>14</v>
      </c>
      <c r="J264" s="479">
        <v>1.409</v>
      </c>
      <c r="K264" s="479">
        <v>0</v>
      </c>
      <c r="L264" s="480">
        <v>1.409</v>
      </c>
      <c r="M264" s="479">
        <v>6214</v>
      </c>
      <c r="N264" s="481">
        <v>2.0000000000000001E-4</v>
      </c>
      <c r="O264" s="479">
        <v>1.429</v>
      </c>
      <c r="P264" s="479">
        <v>0</v>
      </c>
    </row>
    <row r="265" spans="4:16">
      <c r="D265" s="470" t="s">
        <v>690</v>
      </c>
      <c r="E265" s="476" t="s">
        <v>696</v>
      </c>
      <c r="F265" s="477">
        <v>41604</v>
      </c>
      <c r="G265" s="478">
        <f t="shared" si="8"/>
        <v>2013</v>
      </c>
      <c r="H265" s="478">
        <f t="shared" si="9"/>
        <v>11</v>
      </c>
      <c r="I265" s="479">
        <v>18</v>
      </c>
      <c r="J265" s="479">
        <v>1.9410000000000001</v>
      </c>
      <c r="K265" s="479">
        <v>0</v>
      </c>
      <c r="L265" s="480">
        <v>1.9410000000000001</v>
      </c>
      <c r="M265" s="479">
        <v>6372</v>
      </c>
      <c r="N265" s="481">
        <v>2.9999999999999997E-4</v>
      </c>
      <c r="O265" s="479">
        <v>1.9650000000000001</v>
      </c>
      <c r="P265" s="479">
        <v>0</v>
      </c>
    </row>
    <row r="266" spans="4:16">
      <c r="D266" s="470" t="s">
        <v>690</v>
      </c>
      <c r="E266" s="476" t="s">
        <v>696</v>
      </c>
      <c r="F266" s="477">
        <v>41619</v>
      </c>
      <c r="G266" s="478">
        <f t="shared" si="8"/>
        <v>2013</v>
      </c>
      <c r="H266" s="478">
        <f t="shared" si="9"/>
        <v>12</v>
      </c>
      <c r="I266" s="479">
        <v>18</v>
      </c>
      <c r="J266" s="479">
        <v>2.1120000000000001</v>
      </c>
      <c r="K266" s="479">
        <v>0</v>
      </c>
      <c r="L266" s="480">
        <v>2.1120000000000001</v>
      </c>
      <c r="M266" s="479">
        <v>6972</v>
      </c>
      <c r="N266" s="481">
        <v>2.9999999999999997E-4</v>
      </c>
      <c r="O266" s="479">
        <v>2.1360000000000001</v>
      </c>
      <c r="P266" s="479">
        <v>0</v>
      </c>
    </row>
    <row r="267" spans="4:16">
      <c r="D267" s="470" t="s">
        <v>690</v>
      </c>
      <c r="E267" s="509" t="s">
        <v>696</v>
      </c>
      <c r="F267" s="510">
        <v>41645</v>
      </c>
      <c r="G267" s="478">
        <f t="shared" si="8"/>
        <v>2014</v>
      </c>
      <c r="H267" s="478">
        <f t="shared" si="9"/>
        <v>1</v>
      </c>
      <c r="I267" s="511">
        <v>18</v>
      </c>
      <c r="J267" s="511">
        <v>2.2639999999999998</v>
      </c>
      <c r="K267" s="511">
        <v>0</v>
      </c>
      <c r="L267" s="512">
        <v>2.2639999999999998</v>
      </c>
      <c r="M267" s="513">
        <v>7188</v>
      </c>
      <c r="N267" s="511">
        <v>3.1E-2</v>
      </c>
      <c r="O267" s="511">
        <v>2.29</v>
      </c>
      <c r="P267" s="511">
        <v>0</v>
      </c>
    </row>
    <row r="268" spans="4:16">
      <c r="D268" s="470" t="s">
        <v>690</v>
      </c>
      <c r="E268" s="509" t="s">
        <v>696</v>
      </c>
      <c r="F268" s="510">
        <v>41676</v>
      </c>
      <c r="G268" s="478">
        <f t="shared" si="8"/>
        <v>2014</v>
      </c>
      <c r="H268" s="478">
        <f t="shared" si="9"/>
        <v>2</v>
      </c>
      <c r="I268" s="511">
        <v>19</v>
      </c>
      <c r="J268" s="511">
        <v>1.9239999999999999</v>
      </c>
      <c r="K268" s="511">
        <v>0</v>
      </c>
      <c r="L268" s="512">
        <v>1.9239999999999999</v>
      </c>
      <c r="M268" s="513">
        <v>6743</v>
      </c>
      <c r="N268" s="511">
        <v>2.9000000000000001E-2</v>
      </c>
      <c r="O268" s="511">
        <v>1.9550000000000001</v>
      </c>
      <c r="P268" s="511">
        <v>0</v>
      </c>
    </row>
    <row r="269" spans="4:16">
      <c r="D269" s="470" t="s">
        <v>690</v>
      </c>
      <c r="E269" s="509" t="s">
        <v>696</v>
      </c>
      <c r="F269" s="510">
        <v>41701</v>
      </c>
      <c r="G269" s="478">
        <f t="shared" si="8"/>
        <v>2014</v>
      </c>
      <c r="H269" s="478">
        <f t="shared" si="9"/>
        <v>3</v>
      </c>
      <c r="I269" s="511">
        <v>19</v>
      </c>
      <c r="J269" s="511">
        <v>1.88</v>
      </c>
      <c r="K269" s="511">
        <v>0</v>
      </c>
      <c r="L269" s="512">
        <v>1.88</v>
      </c>
      <c r="M269" s="513">
        <v>6537</v>
      </c>
      <c r="N269" s="511">
        <v>2.9000000000000001E-2</v>
      </c>
      <c r="O269" s="511">
        <v>1.9079999999999999</v>
      </c>
      <c r="P269" s="511">
        <v>0</v>
      </c>
    </row>
    <row r="270" spans="4:16">
      <c r="D270" s="470" t="s">
        <v>690</v>
      </c>
      <c r="E270" s="509" t="s">
        <v>696</v>
      </c>
      <c r="F270" s="510">
        <v>41730</v>
      </c>
      <c r="G270" s="478">
        <f t="shared" si="8"/>
        <v>2014</v>
      </c>
      <c r="H270" s="478">
        <f t="shared" si="9"/>
        <v>4</v>
      </c>
      <c r="I270" s="511">
        <v>11</v>
      </c>
      <c r="J270" s="511">
        <v>1.4670000000000001</v>
      </c>
      <c r="K270" s="511">
        <v>0</v>
      </c>
      <c r="L270" s="512">
        <v>1.4670000000000001</v>
      </c>
      <c r="M270" s="513">
        <v>5924</v>
      </c>
      <c r="N270" s="511">
        <v>2.5000000000000001E-2</v>
      </c>
      <c r="O270" s="511">
        <v>1.4870000000000001</v>
      </c>
      <c r="P270" s="511">
        <v>0</v>
      </c>
    </row>
    <row r="271" spans="4:16">
      <c r="D271" s="470" t="s">
        <v>690</v>
      </c>
      <c r="E271" s="509" t="s">
        <v>696</v>
      </c>
      <c r="F271" s="510">
        <v>41789</v>
      </c>
      <c r="G271" s="478">
        <f t="shared" si="8"/>
        <v>2014</v>
      </c>
      <c r="H271" s="478">
        <f t="shared" si="9"/>
        <v>5</v>
      </c>
      <c r="I271" s="511">
        <v>16</v>
      </c>
      <c r="J271" s="511">
        <v>2.0840000000000001</v>
      </c>
      <c r="K271" s="511">
        <v>0</v>
      </c>
      <c r="L271" s="512">
        <v>2.0840000000000001</v>
      </c>
      <c r="M271" s="513">
        <v>7422</v>
      </c>
      <c r="N271" s="511">
        <v>2.8000000000000001E-2</v>
      </c>
      <c r="O271" s="511">
        <v>2.1080000000000001</v>
      </c>
      <c r="P271" s="511">
        <v>0</v>
      </c>
    </row>
    <row r="272" spans="4:16">
      <c r="D272" s="470" t="s">
        <v>690</v>
      </c>
      <c r="E272" s="509" t="s">
        <v>696</v>
      </c>
      <c r="F272" s="510">
        <v>41814</v>
      </c>
      <c r="G272" s="478">
        <f t="shared" si="8"/>
        <v>2014</v>
      </c>
      <c r="H272" s="478">
        <f t="shared" si="9"/>
        <v>6</v>
      </c>
      <c r="I272" s="511">
        <v>16</v>
      </c>
      <c r="J272" s="511">
        <v>2.1309999999999998</v>
      </c>
      <c r="K272" s="511">
        <v>0</v>
      </c>
      <c r="L272" s="512">
        <v>2.1309999999999998</v>
      </c>
      <c r="M272" s="513">
        <v>7670</v>
      </c>
      <c r="N272" s="511">
        <v>2.8000000000000001E-2</v>
      </c>
      <c r="O272" s="511">
        <v>2.157</v>
      </c>
      <c r="P272" s="511">
        <v>0</v>
      </c>
    </row>
    <row r="273" spans="4:16">
      <c r="D273" s="470" t="s">
        <v>690</v>
      </c>
      <c r="E273" s="509" t="s">
        <v>696</v>
      </c>
      <c r="F273" s="510">
        <v>41841</v>
      </c>
      <c r="G273" s="478">
        <f t="shared" si="8"/>
        <v>2014</v>
      </c>
      <c r="H273" s="478">
        <f t="shared" si="9"/>
        <v>7</v>
      </c>
      <c r="I273" s="511">
        <v>17</v>
      </c>
      <c r="J273" s="511">
        <v>2.8570000000000002</v>
      </c>
      <c r="K273" s="511">
        <v>0</v>
      </c>
      <c r="L273" s="512">
        <v>2.8570000000000002</v>
      </c>
      <c r="M273" s="513">
        <v>9150</v>
      </c>
      <c r="N273" s="511">
        <v>3.1E-2</v>
      </c>
      <c r="O273" s="511">
        <v>2.8919999999999999</v>
      </c>
      <c r="P273" s="511">
        <v>0</v>
      </c>
    </row>
    <row r="274" spans="4:16">
      <c r="D274" s="470" t="s">
        <v>690</v>
      </c>
      <c r="E274" s="509" t="s">
        <v>696</v>
      </c>
      <c r="F274" s="510">
        <v>41869</v>
      </c>
      <c r="G274" s="478">
        <f t="shared" si="8"/>
        <v>2014</v>
      </c>
      <c r="H274" s="478">
        <f t="shared" si="9"/>
        <v>8</v>
      </c>
      <c r="I274" s="511">
        <v>16</v>
      </c>
      <c r="J274" s="511">
        <v>2.6389999999999998</v>
      </c>
      <c r="K274" s="511">
        <v>0</v>
      </c>
      <c r="L274" s="512">
        <v>2.6389999999999998</v>
      </c>
      <c r="M274" s="513">
        <v>8190</v>
      </c>
      <c r="N274" s="511">
        <v>3.2000000000000001E-2</v>
      </c>
      <c r="O274" s="511">
        <v>2.673</v>
      </c>
      <c r="P274" s="511">
        <v>0</v>
      </c>
    </row>
    <row r="275" spans="4:16">
      <c r="D275" s="470" t="s">
        <v>690</v>
      </c>
      <c r="E275" s="509" t="s">
        <v>696</v>
      </c>
      <c r="F275" s="510">
        <v>41886</v>
      </c>
      <c r="G275" s="478">
        <f t="shared" si="8"/>
        <v>2014</v>
      </c>
      <c r="H275" s="478">
        <f t="shared" si="9"/>
        <v>9</v>
      </c>
      <c r="I275" s="511">
        <v>15</v>
      </c>
      <c r="J275" s="511">
        <v>2.4180000000000001</v>
      </c>
      <c r="K275" s="511">
        <v>0</v>
      </c>
      <c r="L275" s="512">
        <v>2.4180000000000001</v>
      </c>
      <c r="M275" s="513">
        <v>7758</v>
      </c>
      <c r="N275" s="511">
        <v>3.1E-2</v>
      </c>
      <c r="O275" s="511">
        <v>2.4569999999999999</v>
      </c>
      <c r="P275" s="511">
        <v>0</v>
      </c>
    </row>
    <row r="276" spans="4:16">
      <c r="D276" s="470" t="s">
        <v>690</v>
      </c>
      <c r="E276" s="509" t="s">
        <v>696</v>
      </c>
      <c r="F276" s="510">
        <v>41942</v>
      </c>
      <c r="G276" s="478">
        <f t="shared" si="8"/>
        <v>2014</v>
      </c>
      <c r="H276" s="478">
        <f t="shared" si="9"/>
        <v>10</v>
      </c>
      <c r="I276" s="511">
        <v>20</v>
      </c>
      <c r="J276" s="511">
        <v>1.726</v>
      </c>
      <c r="K276" s="511">
        <v>0</v>
      </c>
      <c r="L276" s="512">
        <v>1.726</v>
      </c>
      <c r="M276" s="513">
        <v>5901</v>
      </c>
      <c r="N276" s="511">
        <v>2.9000000000000001E-2</v>
      </c>
      <c r="O276" s="511">
        <v>1.7509999999999999</v>
      </c>
      <c r="P276" s="511">
        <v>0</v>
      </c>
    </row>
    <row r="277" spans="4:16">
      <c r="D277" s="470" t="s">
        <v>690</v>
      </c>
      <c r="E277" s="509" t="s">
        <v>696</v>
      </c>
      <c r="F277" s="510">
        <v>41960</v>
      </c>
      <c r="G277" s="478">
        <f t="shared" si="8"/>
        <v>2014</v>
      </c>
      <c r="H277" s="478">
        <f t="shared" si="9"/>
        <v>11</v>
      </c>
      <c r="I277" s="511">
        <v>18</v>
      </c>
      <c r="J277" s="511">
        <v>1.9670000000000001</v>
      </c>
      <c r="K277" s="511">
        <v>0</v>
      </c>
      <c r="L277" s="512">
        <v>1.9670000000000001</v>
      </c>
      <c r="M277" s="513">
        <v>6677</v>
      </c>
      <c r="N277" s="511">
        <v>2.9000000000000001E-2</v>
      </c>
      <c r="O277" s="511">
        <v>1.9810000000000001</v>
      </c>
      <c r="P277" s="511">
        <v>0</v>
      </c>
    </row>
    <row r="278" spans="4:16">
      <c r="D278" s="470" t="s">
        <v>690</v>
      </c>
      <c r="E278" s="509" t="s">
        <v>696</v>
      </c>
      <c r="F278" s="510">
        <v>41974</v>
      </c>
      <c r="G278" s="478">
        <f t="shared" si="8"/>
        <v>2014</v>
      </c>
      <c r="H278" s="478">
        <f t="shared" si="9"/>
        <v>12</v>
      </c>
      <c r="I278" s="511">
        <v>18</v>
      </c>
      <c r="J278" s="511">
        <v>1.994</v>
      </c>
      <c r="K278" s="511">
        <v>0</v>
      </c>
      <c r="L278" s="512">
        <v>1.994</v>
      </c>
      <c r="M278" s="513">
        <v>6850</v>
      </c>
      <c r="N278" s="511">
        <v>2.9000000000000001E-2</v>
      </c>
      <c r="O278" s="511">
        <v>2.0049999999999999</v>
      </c>
      <c r="P278" s="511">
        <v>0</v>
      </c>
    </row>
    <row r="279" spans="4:16">
      <c r="D279" s="470" t="s">
        <v>690</v>
      </c>
      <c r="E279" s="509" t="s">
        <v>696</v>
      </c>
      <c r="F279" s="510">
        <v>42011</v>
      </c>
      <c r="G279" s="478">
        <f t="shared" si="8"/>
        <v>2015</v>
      </c>
      <c r="H279" s="478">
        <f t="shared" si="9"/>
        <v>1</v>
      </c>
      <c r="I279" s="511">
        <v>18</v>
      </c>
      <c r="J279" s="511">
        <v>2.0960000000000001</v>
      </c>
      <c r="K279" s="511">
        <v>0</v>
      </c>
      <c r="L279" s="512">
        <v>2.0960000000000001</v>
      </c>
      <c r="M279" s="513">
        <v>6978</v>
      </c>
      <c r="N279" s="511">
        <v>0.03</v>
      </c>
      <c r="O279" s="511">
        <v>2.1030000000000002</v>
      </c>
      <c r="P279" s="511">
        <v>0</v>
      </c>
    </row>
    <row r="280" spans="4:16">
      <c r="D280" s="470" t="s">
        <v>690</v>
      </c>
      <c r="E280" s="509" t="s">
        <v>696</v>
      </c>
      <c r="F280" s="510">
        <v>42053</v>
      </c>
      <c r="G280" s="478">
        <f t="shared" si="8"/>
        <v>2015</v>
      </c>
      <c r="H280" s="478">
        <f t="shared" si="9"/>
        <v>2</v>
      </c>
      <c r="I280" s="511">
        <v>19</v>
      </c>
      <c r="J280" s="511">
        <v>1.9630000000000001</v>
      </c>
      <c r="K280" s="511">
        <v>0</v>
      </c>
      <c r="L280" s="512">
        <v>1.9630000000000001</v>
      </c>
      <c r="M280" s="513">
        <v>6744</v>
      </c>
      <c r="N280" s="511">
        <v>2.9000000000000001E-2</v>
      </c>
      <c r="O280" s="511">
        <v>1.9950000000000001</v>
      </c>
      <c r="P280" s="511">
        <v>0</v>
      </c>
    </row>
    <row r="281" spans="4:16">
      <c r="D281" s="470" t="s">
        <v>690</v>
      </c>
      <c r="E281" s="509" t="s">
        <v>696</v>
      </c>
      <c r="F281" s="510">
        <v>42067</v>
      </c>
      <c r="G281" s="478">
        <f t="shared" si="8"/>
        <v>2015</v>
      </c>
      <c r="H281" s="478">
        <f t="shared" si="9"/>
        <v>3</v>
      </c>
      <c r="I281" s="511">
        <v>20</v>
      </c>
      <c r="J281" s="511">
        <v>1.804</v>
      </c>
      <c r="K281" s="511">
        <v>0</v>
      </c>
      <c r="L281" s="512">
        <v>1.804</v>
      </c>
      <c r="M281" s="513">
        <v>6470</v>
      </c>
      <c r="N281" s="511">
        <v>2.8000000000000001E-2</v>
      </c>
      <c r="O281" s="511">
        <v>1.835</v>
      </c>
      <c r="P281" s="511">
        <v>0</v>
      </c>
    </row>
    <row r="282" spans="4:16">
      <c r="D282" s="470" t="s">
        <v>690</v>
      </c>
      <c r="E282" s="509" t="s">
        <v>696</v>
      </c>
      <c r="F282" s="510">
        <v>42103</v>
      </c>
      <c r="G282" s="478">
        <f t="shared" si="8"/>
        <v>2015</v>
      </c>
      <c r="H282" s="478">
        <f t="shared" si="9"/>
        <v>4</v>
      </c>
      <c r="I282" s="511">
        <v>12</v>
      </c>
      <c r="J282" s="511">
        <v>1.3939999999999999</v>
      </c>
      <c r="K282" s="511">
        <v>0</v>
      </c>
      <c r="L282" s="512">
        <v>1.3939999999999999</v>
      </c>
      <c r="M282" s="513">
        <v>5914</v>
      </c>
      <c r="N282" s="511">
        <v>2.4E-2</v>
      </c>
      <c r="O282" s="511">
        <v>1.415</v>
      </c>
      <c r="P282" s="511">
        <v>0</v>
      </c>
    </row>
    <row r="283" spans="4:16">
      <c r="D283" s="470" t="s">
        <v>690</v>
      </c>
      <c r="E283" s="509" t="s">
        <v>696</v>
      </c>
      <c r="F283" s="510">
        <v>42152</v>
      </c>
      <c r="G283" s="478">
        <f t="shared" si="8"/>
        <v>2015</v>
      </c>
      <c r="H283" s="478">
        <f t="shared" si="9"/>
        <v>5</v>
      </c>
      <c r="I283" s="511">
        <v>16</v>
      </c>
      <c r="J283" s="511">
        <v>1.649</v>
      </c>
      <c r="K283" s="511">
        <v>0</v>
      </c>
      <c r="L283" s="512">
        <v>1.649</v>
      </c>
      <c r="M283" s="513">
        <v>6837</v>
      </c>
      <c r="N283" s="511">
        <v>2.4E-2</v>
      </c>
      <c r="O283" s="511">
        <v>1.671</v>
      </c>
      <c r="P283" s="511">
        <v>0</v>
      </c>
    </row>
    <row r="284" spans="4:16">
      <c r="D284" s="470" t="s">
        <v>690</v>
      </c>
      <c r="E284" s="509" t="s">
        <v>696</v>
      </c>
      <c r="F284" s="510">
        <v>42164</v>
      </c>
      <c r="G284" s="478">
        <f t="shared" si="8"/>
        <v>2015</v>
      </c>
      <c r="H284" s="478">
        <f t="shared" si="9"/>
        <v>6</v>
      </c>
      <c r="I284" s="511">
        <v>17</v>
      </c>
      <c r="J284" s="511">
        <v>2.5619999999999998</v>
      </c>
      <c r="K284" s="511">
        <v>0</v>
      </c>
      <c r="L284" s="512">
        <v>2.5619999999999998</v>
      </c>
      <c r="M284" s="513">
        <v>8136</v>
      </c>
      <c r="N284" s="511">
        <v>3.1E-2</v>
      </c>
      <c r="O284" s="511">
        <v>2.5950000000000002</v>
      </c>
      <c r="P284" s="511">
        <v>0</v>
      </c>
    </row>
    <row r="285" spans="4:16">
      <c r="D285" s="470" t="s">
        <v>690</v>
      </c>
      <c r="E285" s="509" t="s">
        <v>696</v>
      </c>
      <c r="F285" s="510">
        <v>42212</v>
      </c>
      <c r="G285" s="478">
        <f t="shared" si="8"/>
        <v>2015</v>
      </c>
      <c r="H285" s="478">
        <f t="shared" si="9"/>
        <v>7</v>
      </c>
      <c r="I285" s="511">
        <v>17</v>
      </c>
      <c r="J285" s="511">
        <v>2.6629999999999998</v>
      </c>
      <c r="K285" s="511">
        <v>0</v>
      </c>
      <c r="L285" s="512">
        <v>2.6629999999999998</v>
      </c>
      <c r="M285" s="513">
        <v>8769</v>
      </c>
      <c r="N285" s="511">
        <v>0.03</v>
      </c>
      <c r="O285" s="511">
        <v>2.702</v>
      </c>
      <c r="P285" s="511">
        <v>0</v>
      </c>
    </row>
    <row r="286" spans="4:16">
      <c r="D286" s="470" t="s">
        <v>690</v>
      </c>
      <c r="E286" s="509" t="s">
        <v>696</v>
      </c>
      <c r="F286" s="510">
        <v>42230</v>
      </c>
      <c r="G286" s="478">
        <f t="shared" si="8"/>
        <v>2015</v>
      </c>
      <c r="H286" s="478">
        <f t="shared" si="9"/>
        <v>8</v>
      </c>
      <c r="I286" s="511">
        <v>16</v>
      </c>
      <c r="J286" s="511">
        <v>2.9359999999999999</v>
      </c>
      <c r="K286" s="511">
        <v>0</v>
      </c>
      <c r="L286" s="512">
        <v>2.9359999999999999</v>
      </c>
      <c r="M286" s="513">
        <v>8926</v>
      </c>
      <c r="N286" s="511">
        <v>3.3000000000000002E-2</v>
      </c>
      <c r="O286" s="511">
        <v>2.9809999999999999</v>
      </c>
      <c r="P286" s="511">
        <v>0</v>
      </c>
    </row>
    <row r="287" spans="4:16">
      <c r="D287" s="470" t="s">
        <v>690</v>
      </c>
      <c r="E287" s="509" t="s">
        <v>696</v>
      </c>
      <c r="F287" s="510">
        <v>42250</v>
      </c>
      <c r="G287" s="478">
        <f t="shared" si="8"/>
        <v>2015</v>
      </c>
      <c r="H287" s="478">
        <f t="shared" si="9"/>
        <v>9</v>
      </c>
      <c r="I287" s="511">
        <v>17</v>
      </c>
      <c r="J287" s="511">
        <v>2.48</v>
      </c>
      <c r="K287" s="511">
        <v>0</v>
      </c>
      <c r="L287" s="512">
        <v>2.48</v>
      </c>
      <c r="M287" s="513">
        <v>8657</v>
      </c>
      <c r="N287" s="511">
        <v>2.9000000000000001E-2</v>
      </c>
      <c r="O287" s="511">
        <v>3.109</v>
      </c>
      <c r="P287" s="511">
        <v>0</v>
      </c>
    </row>
    <row r="288" spans="4:16">
      <c r="D288" s="470" t="s">
        <v>690</v>
      </c>
      <c r="E288" s="509" t="s">
        <v>696</v>
      </c>
      <c r="F288" s="510">
        <v>42285</v>
      </c>
      <c r="G288" s="478">
        <f t="shared" si="8"/>
        <v>2015</v>
      </c>
      <c r="H288" s="478">
        <f t="shared" si="9"/>
        <v>10</v>
      </c>
      <c r="I288" s="511">
        <v>12</v>
      </c>
      <c r="J288" s="511">
        <v>1.3240000000000001</v>
      </c>
      <c r="K288" s="511">
        <v>0</v>
      </c>
      <c r="L288" s="512">
        <v>1.3240000000000001</v>
      </c>
      <c r="M288" s="513">
        <v>5943</v>
      </c>
      <c r="N288" s="511">
        <v>2.1999999999999999E-2</v>
      </c>
      <c r="O288" s="511">
        <v>1.3420000000000001</v>
      </c>
      <c r="P288" s="511">
        <v>0</v>
      </c>
    </row>
    <row r="289" spans="4:16">
      <c r="D289" s="199" t="s">
        <v>690</v>
      </c>
      <c r="E289" s="514" t="s">
        <v>696</v>
      </c>
      <c r="F289" s="515">
        <v>42338</v>
      </c>
      <c r="G289" s="516">
        <f t="shared" si="8"/>
        <v>2015</v>
      </c>
      <c r="H289" s="516">
        <f t="shared" si="9"/>
        <v>11</v>
      </c>
      <c r="I289" s="517">
        <v>18</v>
      </c>
      <c r="J289" s="517">
        <v>1.907</v>
      </c>
      <c r="K289" s="517">
        <v>0</v>
      </c>
      <c r="L289" s="518">
        <v>1.907</v>
      </c>
      <c r="M289" s="519">
        <v>6574</v>
      </c>
      <c r="N289" s="517">
        <v>2.9000000000000001E-2</v>
      </c>
      <c r="O289" s="517">
        <v>1.9350000000000001</v>
      </c>
      <c r="P289" s="517">
        <v>0</v>
      </c>
    </row>
    <row r="290" spans="4:16">
      <c r="D290" s="470" t="s">
        <v>690</v>
      </c>
      <c r="E290" s="470" t="s">
        <v>696</v>
      </c>
      <c r="F290" s="520">
        <v>42355</v>
      </c>
      <c r="G290" s="521">
        <f t="shared" si="8"/>
        <v>2015</v>
      </c>
      <c r="H290" s="521">
        <f t="shared" si="9"/>
        <v>12</v>
      </c>
      <c r="I290" s="470">
        <v>18</v>
      </c>
      <c r="J290" s="470">
        <v>1.883</v>
      </c>
      <c r="K290" s="470">
        <v>0</v>
      </c>
      <c r="L290" s="522">
        <v>1.883</v>
      </c>
      <c r="M290" s="523">
        <v>6450</v>
      </c>
      <c r="N290" s="470">
        <v>2.9000000000000001E-2</v>
      </c>
      <c r="O290" s="470">
        <v>1.9119999999999999</v>
      </c>
      <c r="P290" s="470">
        <v>0</v>
      </c>
    </row>
    <row r="291" spans="4:16">
      <c r="D291" s="470" t="s">
        <v>690</v>
      </c>
      <c r="E291" s="524" t="s">
        <v>697</v>
      </c>
      <c r="F291" s="525">
        <v>40927</v>
      </c>
      <c r="G291" s="521">
        <f t="shared" si="8"/>
        <v>2012</v>
      </c>
      <c r="H291" s="521">
        <f t="shared" si="9"/>
        <v>1</v>
      </c>
      <c r="I291" s="524">
        <v>19</v>
      </c>
      <c r="J291" s="524">
        <v>5.4589999999999996</v>
      </c>
      <c r="K291" s="524">
        <v>0</v>
      </c>
      <c r="L291" s="526">
        <v>5.4589999999999996</v>
      </c>
      <c r="M291" s="524">
        <v>6604</v>
      </c>
      <c r="N291" s="527">
        <v>8.0000000000000004E-4</v>
      </c>
      <c r="O291" s="524">
        <v>5.5469999999999997</v>
      </c>
      <c r="P291" s="524">
        <v>0</v>
      </c>
    </row>
    <row r="292" spans="4:16">
      <c r="D292" s="470" t="s">
        <v>690</v>
      </c>
      <c r="E292" s="524" t="s">
        <v>697</v>
      </c>
      <c r="F292" s="525">
        <v>40967</v>
      </c>
      <c r="G292" s="521">
        <f t="shared" si="8"/>
        <v>2012</v>
      </c>
      <c r="H292" s="521">
        <f t="shared" si="9"/>
        <v>2</v>
      </c>
      <c r="I292" s="524">
        <v>19</v>
      </c>
      <c r="J292" s="524">
        <v>5.0599999999999996</v>
      </c>
      <c r="K292" s="524">
        <v>0</v>
      </c>
      <c r="L292" s="526">
        <v>5.0599999999999996</v>
      </c>
      <c r="M292" s="524">
        <v>6178</v>
      </c>
      <c r="N292" s="527">
        <v>8.0000000000000004E-4</v>
      </c>
      <c r="O292" s="524">
        <v>5.1180000000000003</v>
      </c>
      <c r="P292" s="524">
        <v>0</v>
      </c>
    </row>
    <row r="293" spans="4:16">
      <c r="D293" s="470" t="s">
        <v>690</v>
      </c>
      <c r="E293" s="524" t="s">
        <v>697</v>
      </c>
      <c r="F293" s="525">
        <v>40987</v>
      </c>
      <c r="G293" s="521">
        <f t="shared" si="8"/>
        <v>2012</v>
      </c>
      <c r="H293" s="521">
        <f t="shared" si="9"/>
        <v>3</v>
      </c>
      <c r="I293" s="524">
        <v>14</v>
      </c>
      <c r="J293" s="524">
        <v>4.117</v>
      </c>
      <c r="K293" s="524">
        <v>0</v>
      </c>
      <c r="L293" s="526">
        <v>4.117</v>
      </c>
      <c r="M293" s="524">
        <v>6170</v>
      </c>
      <c r="N293" s="527">
        <v>6.9999999999999999E-4</v>
      </c>
      <c r="O293" s="524">
        <v>4.1520000000000001</v>
      </c>
      <c r="P293" s="524">
        <v>0</v>
      </c>
    </row>
    <row r="294" spans="4:16">
      <c r="D294" s="470" t="s">
        <v>690</v>
      </c>
      <c r="E294" s="524" t="s">
        <v>697</v>
      </c>
      <c r="F294" s="525">
        <v>41024</v>
      </c>
      <c r="G294" s="521">
        <f t="shared" si="8"/>
        <v>2012</v>
      </c>
      <c r="H294" s="521">
        <f t="shared" si="9"/>
        <v>4</v>
      </c>
      <c r="I294" s="524">
        <v>15</v>
      </c>
      <c r="J294" s="524">
        <v>3.9140000000000001</v>
      </c>
      <c r="K294" s="524">
        <v>0</v>
      </c>
      <c r="L294" s="526">
        <v>3.9140000000000001</v>
      </c>
      <c r="M294" s="524">
        <v>5813</v>
      </c>
      <c r="N294" s="527">
        <v>6.9999999999999999E-4</v>
      </c>
      <c r="O294" s="524">
        <v>3.9569999999999999</v>
      </c>
      <c r="P294" s="524">
        <v>0</v>
      </c>
    </row>
    <row r="295" spans="4:16">
      <c r="D295" s="470" t="s">
        <v>690</v>
      </c>
      <c r="E295" s="524" t="s">
        <v>697</v>
      </c>
      <c r="F295" s="525">
        <v>41047</v>
      </c>
      <c r="G295" s="521">
        <f t="shared" si="8"/>
        <v>2012</v>
      </c>
      <c r="H295" s="521">
        <f t="shared" si="9"/>
        <v>5</v>
      </c>
      <c r="I295" s="524">
        <v>17</v>
      </c>
      <c r="J295" s="524">
        <v>5.7140000000000004</v>
      </c>
      <c r="K295" s="524">
        <v>0</v>
      </c>
      <c r="L295" s="526">
        <v>5.7140000000000004</v>
      </c>
      <c r="M295" s="524">
        <v>7203</v>
      </c>
      <c r="N295" s="527">
        <v>8.0000000000000004E-4</v>
      </c>
      <c r="O295" s="524">
        <v>5.76</v>
      </c>
      <c r="P295" s="524">
        <v>0</v>
      </c>
    </row>
    <row r="296" spans="4:16">
      <c r="D296" s="470" t="s">
        <v>690</v>
      </c>
      <c r="E296" s="524" t="s">
        <v>697</v>
      </c>
      <c r="F296" s="525">
        <v>41087</v>
      </c>
      <c r="G296" s="521">
        <f t="shared" si="8"/>
        <v>2012</v>
      </c>
      <c r="H296" s="521">
        <f t="shared" si="9"/>
        <v>6</v>
      </c>
      <c r="I296" s="524">
        <v>17</v>
      </c>
      <c r="J296" s="524">
        <v>8.766</v>
      </c>
      <c r="K296" s="524">
        <v>0</v>
      </c>
      <c r="L296" s="526">
        <v>8.766</v>
      </c>
      <c r="M296" s="524">
        <v>8833</v>
      </c>
      <c r="N296" s="527">
        <v>1E-3</v>
      </c>
      <c r="O296" s="524">
        <v>8.8659999999999997</v>
      </c>
      <c r="P296" s="524">
        <v>0</v>
      </c>
    </row>
    <row r="297" spans="4:16">
      <c r="D297" s="470" t="s">
        <v>690</v>
      </c>
      <c r="E297" s="524" t="s">
        <v>697</v>
      </c>
      <c r="F297" s="525">
        <v>41092</v>
      </c>
      <c r="G297" s="521">
        <f t="shared" si="8"/>
        <v>2012</v>
      </c>
      <c r="H297" s="521">
        <f t="shared" si="9"/>
        <v>7</v>
      </c>
      <c r="I297" s="524">
        <v>17</v>
      </c>
      <c r="J297" s="524">
        <v>9.3569999999999993</v>
      </c>
      <c r="K297" s="524">
        <v>0</v>
      </c>
      <c r="L297" s="526">
        <v>9.3569999999999993</v>
      </c>
      <c r="M297" s="524">
        <v>9682</v>
      </c>
      <c r="N297" s="527">
        <v>1E-3</v>
      </c>
      <c r="O297" s="524">
        <v>9.4459999999999997</v>
      </c>
      <c r="P297" s="524">
        <v>0</v>
      </c>
    </row>
    <row r="298" spans="4:16">
      <c r="D298" s="470" t="s">
        <v>690</v>
      </c>
      <c r="E298" s="524" t="s">
        <v>697</v>
      </c>
      <c r="F298" s="525">
        <v>41122</v>
      </c>
      <c r="G298" s="521">
        <f t="shared" si="8"/>
        <v>2012</v>
      </c>
      <c r="H298" s="521">
        <f t="shared" si="9"/>
        <v>8</v>
      </c>
      <c r="I298" s="524">
        <v>17</v>
      </c>
      <c r="J298" s="524">
        <v>8.5210000000000008</v>
      </c>
      <c r="K298" s="524">
        <v>0</v>
      </c>
      <c r="L298" s="526">
        <v>8.5210000000000008</v>
      </c>
      <c r="M298" s="524">
        <v>8979</v>
      </c>
      <c r="N298" s="527">
        <v>8.9999999999999998E-4</v>
      </c>
      <c r="O298" s="524">
        <v>8.6029999999999998</v>
      </c>
      <c r="P298" s="524">
        <v>0</v>
      </c>
    </row>
    <row r="299" spans="4:16">
      <c r="D299" s="470" t="s">
        <v>690</v>
      </c>
      <c r="E299" s="524" t="s">
        <v>697</v>
      </c>
      <c r="F299" s="525">
        <v>41156</v>
      </c>
      <c r="G299" s="521">
        <f t="shared" si="8"/>
        <v>2012</v>
      </c>
      <c r="H299" s="521">
        <f t="shared" si="9"/>
        <v>9</v>
      </c>
      <c r="I299" s="524">
        <v>16</v>
      </c>
      <c r="J299" s="524">
        <v>8.1349999999999998</v>
      </c>
      <c r="K299" s="524">
        <v>0</v>
      </c>
      <c r="L299" s="526">
        <v>8.1349999999999998</v>
      </c>
      <c r="M299" s="524">
        <v>8521</v>
      </c>
      <c r="N299" s="527">
        <v>1E-3</v>
      </c>
      <c r="O299" s="524">
        <v>8.2560000000000002</v>
      </c>
      <c r="P299" s="524">
        <v>0</v>
      </c>
    </row>
    <row r="300" spans="4:16">
      <c r="D300" s="470" t="s">
        <v>690</v>
      </c>
      <c r="E300" s="524" t="s">
        <v>697</v>
      </c>
      <c r="F300" s="525">
        <v>41185</v>
      </c>
      <c r="G300" s="521">
        <f t="shared" si="8"/>
        <v>2012</v>
      </c>
      <c r="H300" s="521">
        <f t="shared" si="9"/>
        <v>10</v>
      </c>
      <c r="I300" s="524">
        <v>14</v>
      </c>
      <c r="J300" s="524">
        <v>4.0270000000000001</v>
      </c>
      <c r="K300" s="524">
        <v>0</v>
      </c>
      <c r="L300" s="526">
        <v>4.0270000000000001</v>
      </c>
      <c r="M300" s="524">
        <v>6122</v>
      </c>
      <c r="N300" s="527">
        <v>6.9999999999999999E-4</v>
      </c>
      <c r="O300" s="524">
        <v>4.0590000000000002</v>
      </c>
      <c r="P300" s="524">
        <v>0</v>
      </c>
    </row>
    <row r="301" spans="4:16">
      <c r="D301" s="470" t="s">
        <v>690</v>
      </c>
      <c r="E301" s="524" t="s">
        <v>697</v>
      </c>
      <c r="F301" s="525">
        <v>41239</v>
      </c>
      <c r="G301" s="521">
        <f t="shared" si="8"/>
        <v>2012</v>
      </c>
      <c r="H301" s="521">
        <f t="shared" si="9"/>
        <v>11</v>
      </c>
      <c r="I301" s="524">
        <v>18</v>
      </c>
      <c r="J301" s="524">
        <v>5.2889999999999997</v>
      </c>
      <c r="K301" s="524">
        <v>0</v>
      </c>
      <c r="L301" s="526">
        <v>5.2889999999999997</v>
      </c>
      <c r="M301" s="524">
        <v>6416</v>
      </c>
      <c r="N301" s="527">
        <v>8.0000000000000004E-4</v>
      </c>
      <c r="O301" s="524">
        <v>5.407</v>
      </c>
      <c r="P301" s="524">
        <v>0</v>
      </c>
    </row>
    <row r="302" spans="4:16">
      <c r="D302" s="470" t="s">
        <v>690</v>
      </c>
      <c r="E302" s="524" t="s">
        <v>697</v>
      </c>
      <c r="F302" s="525">
        <v>41253</v>
      </c>
      <c r="G302" s="521">
        <f t="shared" si="8"/>
        <v>2012</v>
      </c>
      <c r="H302" s="521">
        <f t="shared" si="9"/>
        <v>12</v>
      </c>
      <c r="I302" s="524">
        <v>18</v>
      </c>
      <c r="J302" s="524">
        <v>5.4589999999999996</v>
      </c>
      <c r="K302" s="524">
        <v>0</v>
      </c>
      <c r="L302" s="526">
        <v>5.4589999999999996</v>
      </c>
      <c r="M302" s="524">
        <v>6609</v>
      </c>
      <c r="N302" s="527">
        <v>8.0000000000000004E-4</v>
      </c>
      <c r="O302" s="524">
        <v>5.56</v>
      </c>
      <c r="P302" s="524">
        <v>0</v>
      </c>
    </row>
    <row r="303" spans="4:16">
      <c r="D303" s="470" t="s">
        <v>690</v>
      </c>
      <c r="E303" s="524" t="s">
        <v>697</v>
      </c>
      <c r="F303" s="525">
        <v>41295</v>
      </c>
      <c r="G303" s="521">
        <f t="shared" si="8"/>
        <v>2013</v>
      </c>
      <c r="H303" s="521">
        <f t="shared" si="9"/>
        <v>1</v>
      </c>
      <c r="I303" s="524">
        <v>19</v>
      </c>
      <c r="J303" s="524">
        <v>5.8559999999999999</v>
      </c>
      <c r="K303" s="524">
        <v>0</v>
      </c>
      <c r="L303" s="526">
        <v>5.8559999999999999</v>
      </c>
      <c r="M303" s="524">
        <v>6846</v>
      </c>
      <c r="N303" s="527">
        <v>8.9999999999999998E-4</v>
      </c>
      <c r="O303" s="524">
        <v>5.9569999999999999</v>
      </c>
      <c r="P303" s="524">
        <v>0</v>
      </c>
    </row>
    <row r="304" spans="4:16">
      <c r="D304" s="470" t="s">
        <v>690</v>
      </c>
      <c r="E304" s="524" t="s">
        <v>697</v>
      </c>
      <c r="F304" s="525">
        <v>41324</v>
      </c>
      <c r="G304" s="521">
        <f t="shared" si="8"/>
        <v>2013</v>
      </c>
      <c r="H304" s="521">
        <f t="shared" si="9"/>
        <v>2</v>
      </c>
      <c r="I304" s="524">
        <v>19</v>
      </c>
      <c r="J304" s="524">
        <v>5.4690000000000003</v>
      </c>
      <c r="K304" s="524">
        <v>0</v>
      </c>
      <c r="L304" s="526">
        <v>5.4690000000000003</v>
      </c>
      <c r="M304" s="524">
        <v>6511</v>
      </c>
      <c r="N304" s="527">
        <v>8.0000000000000004E-4</v>
      </c>
      <c r="O304" s="524">
        <v>5.5750000000000002</v>
      </c>
      <c r="P304" s="524">
        <v>0</v>
      </c>
    </row>
    <row r="305" spans="4:16">
      <c r="D305" s="470" t="s">
        <v>690</v>
      </c>
      <c r="E305" s="524" t="s">
        <v>697</v>
      </c>
      <c r="F305" s="525">
        <v>41337</v>
      </c>
      <c r="G305" s="521">
        <f t="shared" si="8"/>
        <v>2013</v>
      </c>
      <c r="H305" s="521">
        <f t="shared" si="9"/>
        <v>3</v>
      </c>
      <c r="I305" s="524">
        <v>19</v>
      </c>
      <c r="J305" s="524">
        <v>4.9210000000000003</v>
      </c>
      <c r="K305" s="524">
        <v>0</v>
      </c>
      <c r="L305" s="526">
        <v>4.9210000000000003</v>
      </c>
      <c r="M305" s="524">
        <v>6172</v>
      </c>
      <c r="N305" s="527">
        <v>8.0000000000000004E-4</v>
      </c>
      <c r="O305" s="524">
        <v>5.024</v>
      </c>
      <c r="P305" s="524">
        <v>0</v>
      </c>
    </row>
    <row r="306" spans="4:16">
      <c r="D306" s="470" t="s">
        <v>690</v>
      </c>
      <c r="E306" s="524" t="s">
        <v>697</v>
      </c>
      <c r="F306" s="525">
        <v>41382</v>
      </c>
      <c r="G306" s="521">
        <f t="shared" si="8"/>
        <v>2013</v>
      </c>
      <c r="H306" s="521">
        <f t="shared" si="9"/>
        <v>4</v>
      </c>
      <c r="I306" s="524">
        <v>12</v>
      </c>
      <c r="J306" s="524">
        <v>4.0140000000000002</v>
      </c>
      <c r="K306" s="524">
        <v>0</v>
      </c>
      <c r="L306" s="526">
        <v>4.0140000000000002</v>
      </c>
      <c r="M306" s="524">
        <v>5851</v>
      </c>
      <c r="N306" s="527">
        <v>6.9999999999999999E-4</v>
      </c>
      <c r="O306" s="524">
        <v>4.0810000000000004</v>
      </c>
      <c r="P306" s="524">
        <v>0</v>
      </c>
    </row>
    <row r="307" spans="4:16">
      <c r="D307" s="470" t="s">
        <v>690</v>
      </c>
      <c r="E307" s="524" t="s">
        <v>697</v>
      </c>
      <c r="F307" s="525">
        <v>41408</v>
      </c>
      <c r="G307" s="521">
        <f t="shared" si="8"/>
        <v>2013</v>
      </c>
      <c r="H307" s="521">
        <f t="shared" si="9"/>
        <v>5</v>
      </c>
      <c r="I307" s="524">
        <v>17</v>
      </c>
      <c r="J307" s="524">
        <v>4.8659999999999997</v>
      </c>
      <c r="K307" s="524">
        <v>0</v>
      </c>
      <c r="L307" s="526">
        <v>4.8659999999999997</v>
      </c>
      <c r="M307" s="524">
        <v>6516</v>
      </c>
      <c r="N307" s="527">
        <v>6.9999999999999999E-4</v>
      </c>
      <c r="O307" s="524">
        <v>4.9279999999999999</v>
      </c>
      <c r="P307" s="524">
        <v>0</v>
      </c>
    </row>
    <row r="308" spans="4:16">
      <c r="D308" s="470" t="s">
        <v>690</v>
      </c>
      <c r="E308" s="524" t="s">
        <v>697</v>
      </c>
      <c r="F308" s="525">
        <v>41451</v>
      </c>
      <c r="G308" s="521">
        <f t="shared" si="8"/>
        <v>2013</v>
      </c>
      <c r="H308" s="521">
        <f t="shared" si="9"/>
        <v>6</v>
      </c>
      <c r="I308" s="524">
        <v>16</v>
      </c>
      <c r="J308" s="524">
        <v>4.9870000000000001</v>
      </c>
      <c r="K308" s="524">
        <v>0</v>
      </c>
      <c r="L308" s="526">
        <v>4.9870000000000001</v>
      </c>
      <c r="M308" s="524">
        <v>8280</v>
      </c>
      <c r="N308" s="527">
        <v>5.9999999999999995E-4</v>
      </c>
      <c r="O308" s="524">
        <v>7.0010000000000003</v>
      </c>
      <c r="P308" s="524">
        <v>0</v>
      </c>
    </row>
    <row r="309" spans="4:16">
      <c r="D309" s="470" t="s">
        <v>690</v>
      </c>
      <c r="E309" s="524" t="s">
        <v>697</v>
      </c>
      <c r="F309" s="525">
        <v>41473</v>
      </c>
      <c r="G309" s="521">
        <f t="shared" si="8"/>
        <v>2013</v>
      </c>
      <c r="H309" s="521">
        <f t="shared" si="9"/>
        <v>7</v>
      </c>
      <c r="I309" s="524">
        <v>17</v>
      </c>
      <c r="J309" s="524">
        <v>4.6420000000000003</v>
      </c>
      <c r="K309" s="524">
        <v>0</v>
      </c>
      <c r="L309" s="526">
        <v>4.6420000000000003</v>
      </c>
      <c r="M309" s="524">
        <v>9566</v>
      </c>
      <c r="N309" s="527">
        <v>5.0000000000000001E-4</v>
      </c>
      <c r="O309" s="524">
        <v>9.24</v>
      </c>
      <c r="P309" s="524">
        <v>0</v>
      </c>
    </row>
    <row r="310" spans="4:16">
      <c r="D310" s="470" t="s">
        <v>690</v>
      </c>
      <c r="E310" s="524" t="s">
        <v>697</v>
      </c>
      <c r="F310" s="525">
        <v>41512</v>
      </c>
      <c r="G310" s="521">
        <f t="shared" si="8"/>
        <v>2013</v>
      </c>
      <c r="H310" s="521">
        <f t="shared" si="9"/>
        <v>8</v>
      </c>
      <c r="I310" s="524">
        <v>17</v>
      </c>
      <c r="J310" s="524">
        <v>9.2859999999999996</v>
      </c>
      <c r="K310" s="524">
        <v>0</v>
      </c>
      <c r="L310" s="526">
        <v>9.2859999999999996</v>
      </c>
      <c r="M310" s="524">
        <v>9821</v>
      </c>
      <c r="N310" s="527">
        <v>8.9999999999999998E-4</v>
      </c>
      <c r="O310" s="524">
        <v>9.3689999999999998</v>
      </c>
      <c r="P310" s="524">
        <v>0</v>
      </c>
    </row>
    <row r="311" spans="4:16">
      <c r="D311" s="470" t="s">
        <v>690</v>
      </c>
      <c r="E311" s="524" t="s">
        <v>697</v>
      </c>
      <c r="F311" s="525">
        <v>41526</v>
      </c>
      <c r="G311" s="521">
        <f t="shared" si="8"/>
        <v>2013</v>
      </c>
      <c r="H311" s="521">
        <f t="shared" si="9"/>
        <v>9</v>
      </c>
      <c r="I311" s="524">
        <v>17</v>
      </c>
      <c r="J311" s="524">
        <v>8.6739999999999995</v>
      </c>
      <c r="K311" s="524">
        <v>0</v>
      </c>
      <c r="L311" s="526">
        <v>8.6739999999999995</v>
      </c>
      <c r="M311" s="524">
        <v>8781</v>
      </c>
      <c r="N311" s="527">
        <v>1E-3</v>
      </c>
      <c r="O311" s="524">
        <v>8.766</v>
      </c>
      <c r="P311" s="524">
        <v>0</v>
      </c>
    </row>
    <row r="312" spans="4:16">
      <c r="D312" s="470" t="s">
        <v>690</v>
      </c>
      <c r="E312" s="524" t="s">
        <v>697</v>
      </c>
      <c r="F312" s="525">
        <v>41548</v>
      </c>
      <c r="G312" s="521">
        <f t="shared" si="8"/>
        <v>2013</v>
      </c>
      <c r="H312" s="521">
        <f t="shared" si="9"/>
        <v>10</v>
      </c>
      <c r="I312" s="524">
        <v>14</v>
      </c>
      <c r="J312" s="524">
        <v>4.1669999999999998</v>
      </c>
      <c r="K312" s="524">
        <v>0</v>
      </c>
      <c r="L312" s="526">
        <v>4.1669999999999998</v>
      </c>
      <c r="M312" s="524">
        <v>6214</v>
      </c>
      <c r="N312" s="527">
        <v>6.9999999999999999E-4</v>
      </c>
      <c r="O312" s="524">
        <v>4.4009999999999998</v>
      </c>
      <c r="P312" s="524">
        <v>0</v>
      </c>
    </row>
    <row r="313" spans="4:16">
      <c r="D313" s="470" t="s">
        <v>690</v>
      </c>
      <c r="E313" s="524" t="s">
        <v>697</v>
      </c>
      <c r="F313" s="525">
        <v>41604</v>
      </c>
      <c r="G313" s="521">
        <f t="shared" si="8"/>
        <v>2013</v>
      </c>
      <c r="H313" s="521">
        <f t="shared" si="9"/>
        <v>11</v>
      </c>
      <c r="I313" s="524">
        <v>18</v>
      </c>
      <c r="J313" s="524">
        <v>5.1920000000000002</v>
      </c>
      <c r="K313" s="524">
        <v>0</v>
      </c>
      <c r="L313" s="526">
        <v>5.1920000000000002</v>
      </c>
      <c r="M313" s="524">
        <v>6372</v>
      </c>
      <c r="N313" s="527">
        <v>8.0000000000000004E-4</v>
      </c>
      <c r="O313" s="524">
        <v>5.2779999999999996</v>
      </c>
      <c r="P313" s="524">
        <v>0</v>
      </c>
    </row>
    <row r="314" spans="4:16">
      <c r="D314" s="470" t="s">
        <v>690</v>
      </c>
      <c r="E314" s="524" t="s">
        <v>697</v>
      </c>
      <c r="F314" s="525">
        <v>41619</v>
      </c>
      <c r="G314" s="521">
        <f t="shared" si="8"/>
        <v>2013</v>
      </c>
      <c r="H314" s="521">
        <f t="shared" si="9"/>
        <v>12</v>
      </c>
      <c r="I314" s="524">
        <v>18</v>
      </c>
      <c r="J314" s="524">
        <v>5.6970000000000001</v>
      </c>
      <c r="K314" s="524">
        <v>0</v>
      </c>
      <c r="L314" s="526">
        <v>5.6970000000000001</v>
      </c>
      <c r="M314" s="524">
        <v>6972</v>
      </c>
      <c r="N314" s="527">
        <v>8.0000000000000004E-4</v>
      </c>
      <c r="O314" s="524">
        <v>5.7990000000000004</v>
      </c>
      <c r="P314" s="524">
        <v>0</v>
      </c>
    </row>
    <row r="315" spans="4:16">
      <c r="D315" s="470" t="s">
        <v>690</v>
      </c>
      <c r="E315" s="470" t="s">
        <v>697</v>
      </c>
      <c r="F315" s="520">
        <v>41645</v>
      </c>
      <c r="G315" s="521">
        <f t="shared" si="8"/>
        <v>2014</v>
      </c>
      <c r="H315" s="521">
        <f t="shared" si="9"/>
        <v>1</v>
      </c>
      <c r="I315" s="470">
        <v>18</v>
      </c>
      <c r="J315" s="470">
        <v>6.1189999999999998</v>
      </c>
      <c r="K315" s="470">
        <v>0</v>
      </c>
      <c r="L315" s="522">
        <v>6.1189999999999998</v>
      </c>
      <c r="M315" s="523">
        <v>7188</v>
      </c>
      <c r="N315" s="470">
        <v>8.5000000000000006E-2</v>
      </c>
      <c r="O315" s="470">
        <v>6.24</v>
      </c>
      <c r="P315" s="470">
        <v>0</v>
      </c>
    </row>
    <row r="316" spans="4:16">
      <c r="D316" s="470" t="s">
        <v>690</v>
      </c>
      <c r="E316" s="470" t="s">
        <v>697</v>
      </c>
      <c r="F316" s="520">
        <v>41676</v>
      </c>
      <c r="G316" s="521">
        <f t="shared" si="8"/>
        <v>2014</v>
      </c>
      <c r="H316" s="521">
        <f t="shared" si="9"/>
        <v>2</v>
      </c>
      <c r="I316" s="470">
        <v>19</v>
      </c>
      <c r="J316" s="470">
        <v>5.4370000000000003</v>
      </c>
      <c r="K316" s="470">
        <v>0</v>
      </c>
      <c r="L316" s="522">
        <v>5.4370000000000003</v>
      </c>
      <c r="M316" s="523">
        <v>6743</v>
      </c>
      <c r="N316" s="470">
        <v>8.1000000000000003E-2</v>
      </c>
      <c r="O316" s="470">
        <v>5.54</v>
      </c>
      <c r="P316" s="470">
        <v>0</v>
      </c>
    </row>
    <row r="317" spans="4:16">
      <c r="D317" s="470" t="s">
        <v>690</v>
      </c>
      <c r="E317" s="470" t="s">
        <v>697</v>
      </c>
      <c r="F317" s="520">
        <v>41701</v>
      </c>
      <c r="G317" s="521">
        <f t="shared" si="8"/>
        <v>2014</v>
      </c>
      <c r="H317" s="521">
        <f t="shared" si="9"/>
        <v>3</v>
      </c>
      <c r="I317" s="470">
        <v>19</v>
      </c>
      <c r="J317" s="470">
        <v>5.3529999999999998</v>
      </c>
      <c r="K317" s="470">
        <v>0</v>
      </c>
      <c r="L317" s="522">
        <v>5.3529999999999998</v>
      </c>
      <c r="M317" s="523">
        <v>6537</v>
      </c>
      <c r="N317" s="470">
        <v>8.2000000000000003E-2</v>
      </c>
      <c r="O317" s="470">
        <v>5.4569999999999999</v>
      </c>
      <c r="P317" s="470">
        <v>0</v>
      </c>
    </row>
    <row r="318" spans="4:16">
      <c r="D318" s="470" t="s">
        <v>690</v>
      </c>
      <c r="E318" s="470" t="s">
        <v>697</v>
      </c>
      <c r="F318" s="520">
        <v>41730</v>
      </c>
      <c r="G318" s="521">
        <f t="shared" si="8"/>
        <v>2014</v>
      </c>
      <c r="H318" s="521">
        <f t="shared" si="9"/>
        <v>4</v>
      </c>
      <c r="I318" s="470">
        <v>11</v>
      </c>
      <c r="J318" s="470">
        <v>4.0419999999999998</v>
      </c>
      <c r="K318" s="470">
        <v>0</v>
      </c>
      <c r="L318" s="522">
        <v>4.0419999999999998</v>
      </c>
      <c r="M318" s="523">
        <v>5924</v>
      </c>
      <c r="N318" s="470">
        <v>6.8000000000000005E-2</v>
      </c>
      <c r="O318" s="470">
        <v>4.1230000000000002</v>
      </c>
      <c r="P318" s="470">
        <v>0</v>
      </c>
    </row>
    <row r="319" spans="4:16">
      <c r="D319" s="470" t="s">
        <v>690</v>
      </c>
      <c r="E319" s="470" t="s">
        <v>697</v>
      </c>
      <c r="F319" s="520">
        <v>41789</v>
      </c>
      <c r="G319" s="521">
        <f t="shared" si="8"/>
        <v>2014</v>
      </c>
      <c r="H319" s="521">
        <f t="shared" si="9"/>
        <v>5</v>
      </c>
      <c r="I319" s="470">
        <v>16</v>
      </c>
      <c r="J319" s="470">
        <v>6.26</v>
      </c>
      <c r="K319" s="470">
        <v>0</v>
      </c>
      <c r="L319" s="522">
        <v>6.26</v>
      </c>
      <c r="M319" s="523">
        <v>7422</v>
      </c>
      <c r="N319" s="470">
        <v>8.4000000000000005E-2</v>
      </c>
      <c r="O319" s="470">
        <v>6.2729999999999997</v>
      </c>
      <c r="P319" s="470">
        <v>0</v>
      </c>
    </row>
    <row r="320" spans="4:16">
      <c r="D320" s="470" t="s">
        <v>690</v>
      </c>
      <c r="E320" s="470" t="s">
        <v>697</v>
      </c>
      <c r="F320" s="520">
        <v>41814</v>
      </c>
      <c r="G320" s="521">
        <f t="shared" si="8"/>
        <v>2014</v>
      </c>
      <c r="H320" s="521">
        <f t="shared" si="9"/>
        <v>6</v>
      </c>
      <c r="I320" s="470">
        <v>16</v>
      </c>
      <c r="J320" s="470">
        <v>6.7590000000000003</v>
      </c>
      <c r="K320" s="470">
        <v>0</v>
      </c>
      <c r="L320" s="522">
        <v>6.7590000000000003</v>
      </c>
      <c r="M320" s="523">
        <v>7670</v>
      </c>
      <c r="N320" s="470">
        <v>8.7999999999999995E-2</v>
      </c>
      <c r="O320" s="470">
        <v>6.83</v>
      </c>
      <c r="P320" s="470">
        <v>0</v>
      </c>
    </row>
    <row r="321" spans="4:16">
      <c r="D321" s="470" t="s">
        <v>690</v>
      </c>
      <c r="E321" s="470" t="s">
        <v>697</v>
      </c>
      <c r="F321" s="520">
        <v>41841</v>
      </c>
      <c r="G321" s="521">
        <f t="shared" si="8"/>
        <v>2014</v>
      </c>
      <c r="H321" s="521">
        <f t="shared" si="9"/>
        <v>7</v>
      </c>
      <c r="I321" s="470">
        <v>17</v>
      </c>
      <c r="J321" s="470">
        <v>8.8849999999999998</v>
      </c>
      <c r="K321" s="470">
        <v>0</v>
      </c>
      <c r="L321" s="522">
        <v>8.8849999999999998</v>
      </c>
      <c r="M321" s="523">
        <v>9150</v>
      </c>
      <c r="N321" s="470">
        <v>9.7000000000000003E-2</v>
      </c>
      <c r="O321" s="470">
        <v>8.9629999999999992</v>
      </c>
      <c r="P321" s="470">
        <v>0</v>
      </c>
    </row>
    <row r="322" spans="4:16">
      <c r="D322" s="470" t="s">
        <v>690</v>
      </c>
      <c r="E322" s="470" t="s">
        <v>697</v>
      </c>
      <c r="F322" s="520">
        <v>41869</v>
      </c>
      <c r="G322" s="521">
        <f t="shared" si="8"/>
        <v>2014</v>
      </c>
      <c r="H322" s="521">
        <f t="shared" si="9"/>
        <v>8</v>
      </c>
      <c r="I322" s="470">
        <v>16</v>
      </c>
      <c r="J322" s="470">
        <v>7.9710000000000001</v>
      </c>
      <c r="K322" s="470">
        <v>0</v>
      </c>
      <c r="L322" s="522">
        <v>7.9710000000000001</v>
      </c>
      <c r="M322" s="523">
        <v>8190</v>
      </c>
      <c r="N322" s="470">
        <v>9.7000000000000003E-2</v>
      </c>
      <c r="O322" s="470">
        <v>8.1010000000000009</v>
      </c>
      <c r="P322" s="470">
        <v>0</v>
      </c>
    </row>
    <row r="323" spans="4:16">
      <c r="D323" s="470" t="s">
        <v>690</v>
      </c>
      <c r="E323" s="470" t="s">
        <v>697</v>
      </c>
      <c r="F323" s="520">
        <v>41886</v>
      </c>
      <c r="G323" s="521">
        <f t="shared" ref="G323:G386" si="10">YEAR(F323)</f>
        <v>2014</v>
      </c>
      <c r="H323" s="521">
        <f t="shared" ref="H323:H386" si="11">MONTH(F323)</f>
        <v>9</v>
      </c>
      <c r="I323" s="470">
        <v>15</v>
      </c>
      <c r="J323" s="470">
        <v>7.1289999999999996</v>
      </c>
      <c r="K323" s="470">
        <v>0</v>
      </c>
      <c r="L323" s="522">
        <v>7.1289999999999996</v>
      </c>
      <c r="M323" s="523">
        <v>7758</v>
      </c>
      <c r="N323" s="470">
        <v>9.1999999999999998E-2</v>
      </c>
      <c r="O323" s="470">
        <v>7.1890000000000001</v>
      </c>
      <c r="P323" s="470">
        <v>0</v>
      </c>
    </row>
    <row r="324" spans="4:16">
      <c r="D324" s="470" t="s">
        <v>690</v>
      </c>
      <c r="E324" s="470" t="s">
        <v>697</v>
      </c>
      <c r="F324" s="520">
        <v>41942</v>
      </c>
      <c r="G324" s="521">
        <f t="shared" si="10"/>
        <v>2014</v>
      </c>
      <c r="H324" s="521">
        <f t="shared" si="11"/>
        <v>10</v>
      </c>
      <c r="I324" s="470">
        <v>20</v>
      </c>
      <c r="J324" s="470">
        <v>4.5869999999999997</v>
      </c>
      <c r="K324" s="470">
        <v>0</v>
      </c>
      <c r="L324" s="522">
        <v>4.5869999999999997</v>
      </c>
      <c r="M324" s="523">
        <v>5901</v>
      </c>
      <c r="N324" s="470">
        <v>7.8E-2</v>
      </c>
      <c r="O324" s="470">
        <v>4.6189999999999998</v>
      </c>
      <c r="P324" s="470">
        <v>0</v>
      </c>
    </row>
    <row r="325" spans="4:16">
      <c r="D325" s="470" t="s">
        <v>690</v>
      </c>
      <c r="E325" s="470" t="s">
        <v>697</v>
      </c>
      <c r="F325" s="520">
        <v>41960</v>
      </c>
      <c r="G325" s="521">
        <f t="shared" si="10"/>
        <v>2014</v>
      </c>
      <c r="H325" s="521">
        <f t="shared" si="11"/>
        <v>11</v>
      </c>
      <c r="I325" s="470">
        <v>18</v>
      </c>
      <c r="J325" s="470">
        <v>6.0030000000000001</v>
      </c>
      <c r="K325" s="470">
        <v>0</v>
      </c>
      <c r="L325" s="522">
        <v>6.0030000000000001</v>
      </c>
      <c r="M325" s="523">
        <v>6677</v>
      </c>
      <c r="N325" s="470">
        <v>0.09</v>
      </c>
      <c r="O325" s="470">
        <v>6.1379999999999999</v>
      </c>
      <c r="P325" s="470">
        <v>0</v>
      </c>
    </row>
    <row r="326" spans="4:16">
      <c r="D326" s="470" t="s">
        <v>690</v>
      </c>
      <c r="E326" s="470" t="s">
        <v>697</v>
      </c>
      <c r="F326" s="520">
        <v>41974</v>
      </c>
      <c r="G326" s="521">
        <f t="shared" si="10"/>
        <v>2014</v>
      </c>
      <c r="H326" s="521">
        <f t="shared" si="11"/>
        <v>12</v>
      </c>
      <c r="I326" s="470">
        <v>18</v>
      </c>
      <c r="J326" s="470">
        <v>5.4530000000000003</v>
      </c>
      <c r="K326" s="470">
        <v>0</v>
      </c>
      <c r="L326" s="522">
        <v>5.4530000000000003</v>
      </c>
      <c r="M326" s="523">
        <v>6850</v>
      </c>
      <c r="N326" s="470">
        <v>0.08</v>
      </c>
      <c r="O326" s="470">
        <v>5.5830000000000002</v>
      </c>
      <c r="P326" s="470">
        <v>0</v>
      </c>
    </row>
    <row r="327" spans="4:16">
      <c r="D327" s="470" t="s">
        <v>690</v>
      </c>
      <c r="E327" s="470" t="s">
        <v>697</v>
      </c>
      <c r="F327" s="520">
        <v>42011</v>
      </c>
      <c r="G327" s="521">
        <f t="shared" si="10"/>
        <v>2015</v>
      </c>
      <c r="H327" s="521">
        <f t="shared" si="11"/>
        <v>1</v>
      </c>
      <c r="I327" s="470">
        <v>18</v>
      </c>
      <c r="J327" s="470">
        <v>5.5979999999999999</v>
      </c>
      <c r="K327" s="470">
        <v>0</v>
      </c>
      <c r="L327" s="522">
        <v>5.5979999999999999</v>
      </c>
      <c r="M327" s="523">
        <v>6978</v>
      </c>
      <c r="N327" s="470">
        <v>0.08</v>
      </c>
      <c r="O327" s="470">
        <v>5.6909999999999998</v>
      </c>
      <c r="P327" s="470">
        <v>0</v>
      </c>
    </row>
    <row r="328" spans="4:16">
      <c r="D328" s="470" t="s">
        <v>690</v>
      </c>
      <c r="E328" s="470" t="s">
        <v>697</v>
      </c>
      <c r="F328" s="520">
        <v>42053</v>
      </c>
      <c r="G328" s="521">
        <f t="shared" si="10"/>
        <v>2015</v>
      </c>
      <c r="H328" s="521">
        <f t="shared" si="11"/>
        <v>2</v>
      </c>
      <c r="I328" s="470">
        <v>19</v>
      </c>
      <c r="J328" s="470">
        <v>5.258</v>
      </c>
      <c r="K328" s="470">
        <v>0</v>
      </c>
      <c r="L328" s="522">
        <v>5.258</v>
      </c>
      <c r="M328" s="523">
        <v>6744</v>
      </c>
      <c r="N328" s="470">
        <v>7.8E-2</v>
      </c>
      <c r="O328" s="470">
        <v>5.359</v>
      </c>
      <c r="P328" s="470">
        <v>0</v>
      </c>
    </row>
    <row r="329" spans="4:16">
      <c r="D329" s="470" t="s">
        <v>690</v>
      </c>
      <c r="E329" s="470" t="s">
        <v>697</v>
      </c>
      <c r="F329" s="520">
        <v>42067</v>
      </c>
      <c r="G329" s="521">
        <f t="shared" si="10"/>
        <v>2015</v>
      </c>
      <c r="H329" s="521">
        <f t="shared" si="11"/>
        <v>3</v>
      </c>
      <c r="I329" s="470">
        <v>20</v>
      </c>
      <c r="J329" s="470">
        <v>4.9029999999999996</v>
      </c>
      <c r="K329" s="470">
        <v>0</v>
      </c>
      <c r="L329" s="522">
        <v>4.9029999999999996</v>
      </c>
      <c r="M329" s="523">
        <v>6470</v>
      </c>
      <c r="N329" s="470">
        <v>7.5999999999999998E-2</v>
      </c>
      <c r="O329" s="470">
        <v>4.9770000000000003</v>
      </c>
      <c r="P329" s="470">
        <v>0</v>
      </c>
    </row>
    <row r="330" spans="4:16">
      <c r="D330" s="470" t="s">
        <v>690</v>
      </c>
      <c r="E330" s="470" t="s">
        <v>697</v>
      </c>
      <c r="F330" s="520">
        <v>42103</v>
      </c>
      <c r="G330" s="521">
        <f t="shared" si="10"/>
        <v>2015</v>
      </c>
      <c r="H330" s="521">
        <f t="shared" si="11"/>
        <v>4</v>
      </c>
      <c r="I330" s="470">
        <v>12</v>
      </c>
      <c r="J330" s="470">
        <v>3.7759999999999998</v>
      </c>
      <c r="K330" s="470">
        <v>0</v>
      </c>
      <c r="L330" s="522">
        <v>3.7759999999999998</v>
      </c>
      <c r="M330" s="523">
        <v>5914</v>
      </c>
      <c r="N330" s="470">
        <v>6.4000000000000001E-2</v>
      </c>
      <c r="O330" s="470">
        <v>3.8140000000000001</v>
      </c>
      <c r="P330" s="470">
        <v>0</v>
      </c>
    </row>
    <row r="331" spans="4:16">
      <c r="D331" s="470" t="s">
        <v>690</v>
      </c>
      <c r="E331" s="470" t="s">
        <v>697</v>
      </c>
      <c r="F331" s="520">
        <v>42152</v>
      </c>
      <c r="G331" s="521">
        <f t="shared" si="10"/>
        <v>2015</v>
      </c>
      <c r="H331" s="521">
        <f t="shared" si="11"/>
        <v>5</v>
      </c>
      <c r="I331" s="470">
        <v>16</v>
      </c>
      <c r="J331" s="470">
        <v>4.9969999999999999</v>
      </c>
      <c r="K331" s="470">
        <v>0</v>
      </c>
      <c r="L331" s="522">
        <v>4.9969999999999999</v>
      </c>
      <c r="M331" s="523">
        <v>6837</v>
      </c>
      <c r="N331" s="470">
        <v>7.2999999999999995E-2</v>
      </c>
      <c r="O331" s="470">
        <v>5.0540000000000003</v>
      </c>
      <c r="P331" s="470">
        <v>0</v>
      </c>
    </row>
    <row r="332" spans="4:16">
      <c r="D332" s="470" t="s">
        <v>690</v>
      </c>
      <c r="E332" s="470" t="s">
        <v>697</v>
      </c>
      <c r="F332" s="520">
        <v>42164</v>
      </c>
      <c r="G332" s="521">
        <f t="shared" si="10"/>
        <v>2015</v>
      </c>
      <c r="H332" s="521">
        <f t="shared" si="11"/>
        <v>6</v>
      </c>
      <c r="I332" s="470">
        <v>17</v>
      </c>
      <c r="J332" s="470">
        <v>6.952</v>
      </c>
      <c r="K332" s="470">
        <v>0</v>
      </c>
      <c r="L332" s="522">
        <v>6.952</v>
      </c>
      <c r="M332" s="523">
        <v>8136</v>
      </c>
      <c r="N332" s="470">
        <v>8.5000000000000006E-2</v>
      </c>
      <c r="O332" s="470">
        <v>7.0359999999999996</v>
      </c>
      <c r="P332" s="470">
        <v>0</v>
      </c>
    </row>
    <row r="333" spans="4:16">
      <c r="D333" s="470" t="s">
        <v>690</v>
      </c>
      <c r="E333" s="470" t="s">
        <v>697</v>
      </c>
      <c r="F333" s="520">
        <v>42212</v>
      </c>
      <c r="G333" s="521">
        <f t="shared" si="10"/>
        <v>2015</v>
      </c>
      <c r="H333" s="521">
        <f t="shared" si="11"/>
        <v>7</v>
      </c>
      <c r="I333" s="470">
        <v>17</v>
      </c>
      <c r="J333" s="470">
        <v>7.24</v>
      </c>
      <c r="K333" s="470">
        <v>0</v>
      </c>
      <c r="L333" s="522">
        <v>7.24</v>
      </c>
      <c r="M333" s="523">
        <v>8769</v>
      </c>
      <c r="N333" s="470">
        <v>8.3000000000000004E-2</v>
      </c>
      <c r="O333" s="470">
        <v>7.3659999999999997</v>
      </c>
      <c r="P333" s="470">
        <v>0</v>
      </c>
    </row>
    <row r="334" spans="4:16">
      <c r="D334" s="470" t="s">
        <v>690</v>
      </c>
      <c r="E334" s="470" t="s">
        <v>697</v>
      </c>
      <c r="F334" s="520">
        <v>42230</v>
      </c>
      <c r="G334" s="521">
        <f t="shared" si="10"/>
        <v>2015</v>
      </c>
      <c r="H334" s="521">
        <f t="shared" si="11"/>
        <v>8</v>
      </c>
      <c r="I334" s="470">
        <v>16</v>
      </c>
      <c r="J334" s="470">
        <v>8.1720000000000006</v>
      </c>
      <c r="K334" s="470">
        <v>0</v>
      </c>
      <c r="L334" s="522">
        <v>8.1720000000000006</v>
      </c>
      <c r="M334" s="523">
        <v>8926</v>
      </c>
      <c r="N334" s="470">
        <v>9.1999999999999998E-2</v>
      </c>
      <c r="O334" s="470">
        <v>8.2550000000000008</v>
      </c>
      <c r="P334" s="470">
        <v>0</v>
      </c>
    </row>
    <row r="335" spans="4:16">
      <c r="D335" s="470" t="s">
        <v>690</v>
      </c>
      <c r="E335" s="470" t="s">
        <v>697</v>
      </c>
      <c r="F335" s="520">
        <v>42250</v>
      </c>
      <c r="G335" s="521">
        <f t="shared" si="10"/>
        <v>2015</v>
      </c>
      <c r="H335" s="521">
        <f t="shared" si="11"/>
        <v>9</v>
      </c>
      <c r="I335" s="470">
        <v>17</v>
      </c>
      <c r="J335" s="470">
        <v>8.3439999999999994</v>
      </c>
      <c r="K335" s="470">
        <v>0</v>
      </c>
      <c r="L335" s="522">
        <v>8.3439999999999994</v>
      </c>
      <c r="M335" s="523">
        <v>8657</v>
      </c>
      <c r="N335" s="470">
        <v>9.6000000000000002E-2</v>
      </c>
      <c r="O335" s="470">
        <v>8.4510000000000005</v>
      </c>
      <c r="P335" s="470">
        <v>0</v>
      </c>
    </row>
    <row r="336" spans="4:16">
      <c r="D336" s="470" t="s">
        <v>690</v>
      </c>
      <c r="E336" s="470" t="s">
        <v>697</v>
      </c>
      <c r="F336" s="520">
        <v>42285</v>
      </c>
      <c r="G336" s="521">
        <f t="shared" si="10"/>
        <v>2015</v>
      </c>
      <c r="H336" s="521">
        <f t="shared" si="11"/>
        <v>10</v>
      </c>
      <c r="I336" s="470">
        <v>12</v>
      </c>
      <c r="J336" s="470">
        <v>4.0990000000000002</v>
      </c>
      <c r="K336" s="470">
        <v>0</v>
      </c>
      <c r="L336" s="522">
        <v>4.0990000000000002</v>
      </c>
      <c r="M336" s="523">
        <v>5943</v>
      </c>
      <c r="N336" s="470">
        <v>6.9000000000000006E-2</v>
      </c>
      <c r="O336" s="470">
        <v>4.1660000000000004</v>
      </c>
      <c r="P336" s="470">
        <v>0</v>
      </c>
    </row>
    <row r="337" spans="4:16">
      <c r="D337" s="470" t="s">
        <v>690</v>
      </c>
      <c r="E337" s="470" t="s">
        <v>697</v>
      </c>
      <c r="F337" s="520">
        <v>42338</v>
      </c>
      <c r="G337" s="521">
        <f t="shared" si="10"/>
        <v>2015</v>
      </c>
      <c r="H337" s="521">
        <f t="shared" si="11"/>
        <v>11</v>
      </c>
      <c r="I337" s="470">
        <v>18</v>
      </c>
      <c r="J337" s="470">
        <v>4.9619999999999997</v>
      </c>
      <c r="K337" s="470">
        <v>0</v>
      </c>
      <c r="L337" s="522">
        <v>4.9619999999999997</v>
      </c>
      <c r="M337" s="523">
        <v>6574</v>
      </c>
      <c r="N337" s="470">
        <v>7.4999999999999997E-2</v>
      </c>
      <c r="O337" s="470">
        <v>5.0990000000000002</v>
      </c>
      <c r="P337" s="470">
        <v>0</v>
      </c>
    </row>
    <row r="338" spans="4:16">
      <c r="D338" s="470" t="s">
        <v>690</v>
      </c>
      <c r="E338" s="470" t="s">
        <v>697</v>
      </c>
      <c r="F338" s="520">
        <v>42355</v>
      </c>
      <c r="G338" s="521">
        <f t="shared" si="10"/>
        <v>2015</v>
      </c>
      <c r="H338" s="521">
        <f t="shared" si="11"/>
        <v>12</v>
      </c>
      <c r="I338" s="470">
        <v>18</v>
      </c>
      <c r="J338" s="470">
        <v>5.04</v>
      </c>
      <c r="K338" s="470">
        <v>0</v>
      </c>
      <c r="L338" s="522">
        <v>5.04</v>
      </c>
      <c r="M338" s="523">
        <v>6450</v>
      </c>
      <c r="N338" s="470">
        <v>7.8E-2</v>
      </c>
      <c r="O338" s="470">
        <v>5.1470000000000002</v>
      </c>
      <c r="P338" s="470">
        <v>0</v>
      </c>
    </row>
    <row r="339" spans="4:16">
      <c r="D339" s="470" t="s">
        <v>690</v>
      </c>
      <c r="E339" s="524" t="s">
        <v>698</v>
      </c>
      <c r="F339" s="525">
        <v>40927</v>
      </c>
      <c r="G339" s="521">
        <f t="shared" si="10"/>
        <v>2012</v>
      </c>
      <c r="H339" s="521">
        <f t="shared" si="11"/>
        <v>1</v>
      </c>
      <c r="I339" s="524">
        <v>19</v>
      </c>
      <c r="J339" s="524">
        <v>2.0830000000000002</v>
      </c>
      <c r="K339" s="524">
        <v>0</v>
      </c>
      <c r="L339" s="526">
        <v>2.0830000000000002</v>
      </c>
      <c r="M339" s="524">
        <v>6604</v>
      </c>
      <c r="N339" s="527">
        <v>2.9999999999999997E-4</v>
      </c>
      <c r="O339" s="524">
        <v>2.1269999999999998</v>
      </c>
      <c r="P339" s="524">
        <v>0</v>
      </c>
    </row>
    <row r="340" spans="4:16">
      <c r="D340" s="470" t="s">
        <v>690</v>
      </c>
      <c r="E340" s="524" t="s">
        <v>698</v>
      </c>
      <c r="F340" s="525">
        <v>40967</v>
      </c>
      <c r="G340" s="521">
        <f t="shared" si="10"/>
        <v>2012</v>
      </c>
      <c r="H340" s="521">
        <f t="shared" si="11"/>
        <v>2</v>
      </c>
      <c r="I340" s="524">
        <v>19</v>
      </c>
      <c r="J340" s="524">
        <v>1.929</v>
      </c>
      <c r="K340" s="524">
        <v>0</v>
      </c>
      <c r="L340" s="526">
        <v>1.929</v>
      </c>
      <c r="M340" s="524">
        <v>6178</v>
      </c>
      <c r="N340" s="527">
        <v>2.9999999999999997E-4</v>
      </c>
      <c r="O340" s="524">
        <v>1.9790000000000001</v>
      </c>
      <c r="P340" s="524">
        <v>0</v>
      </c>
    </row>
    <row r="341" spans="4:16">
      <c r="D341" s="470" t="s">
        <v>690</v>
      </c>
      <c r="E341" s="524" t="s">
        <v>698</v>
      </c>
      <c r="F341" s="525">
        <v>40987</v>
      </c>
      <c r="G341" s="521">
        <f t="shared" si="10"/>
        <v>2012</v>
      </c>
      <c r="H341" s="521">
        <f t="shared" si="11"/>
        <v>3</v>
      </c>
      <c r="I341" s="524">
        <v>14</v>
      </c>
      <c r="J341" s="524">
        <v>2.6070000000000002</v>
      </c>
      <c r="K341" s="524">
        <v>0</v>
      </c>
      <c r="L341" s="526">
        <v>2.6070000000000002</v>
      </c>
      <c r="M341" s="524">
        <v>6170</v>
      </c>
      <c r="N341" s="527">
        <v>4.0000000000000002E-4</v>
      </c>
      <c r="O341" s="524">
        <v>2.6520000000000001</v>
      </c>
      <c r="P341" s="524">
        <v>0</v>
      </c>
    </row>
    <row r="342" spans="4:16">
      <c r="D342" s="470" t="s">
        <v>690</v>
      </c>
      <c r="E342" s="524" t="s">
        <v>698</v>
      </c>
      <c r="F342" s="525">
        <v>41024</v>
      </c>
      <c r="G342" s="521">
        <f t="shared" si="10"/>
        <v>2012</v>
      </c>
      <c r="H342" s="521">
        <f t="shared" si="11"/>
        <v>4</v>
      </c>
      <c r="I342" s="524">
        <v>15</v>
      </c>
      <c r="J342" s="524">
        <v>2.419</v>
      </c>
      <c r="K342" s="524">
        <v>0</v>
      </c>
      <c r="L342" s="526">
        <v>2.419</v>
      </c>
      <c r="M342" s="524">
        <v>5813</v>
      </c>
      <c r="N342" s="527">
        <v>4.0000000000000002E-4</v>
      </c>
      <c r="O342" s="524">
        <v>2.4620000000000002</v>
      </c>
      <c r="P342" s="524">
        <v>0</v>
      </c>
    </row>
    <row r="343" spans="4:16">
      <c r="D343" s="470" t="s">
        <v>690</v>
      </c>
      <c r="E343" s="524" t="s">
        <v>698</v>
      </c>
      <c r="F343" s="525">
        <v>41047</v>
      </c>
      <c r="G343" s="521">
        <f t="shared" si="10"/>
        <v>2012</v>
      </c>
      <c r="H343" s="521">
        <f t="shared" si="11"/>
        <v>5</v>
      </c>
      <c r="I343" s="524">
        <v>17</v>
      </c>
      <c r="J343" s="524">
        <v>2.0979999999999999</v>
      </c>
      <c r="K343" s="524">
        <v>0</v>
      </c>
      <c r="L343" s="526">
        <v>2.0979999999999999</v>
      </c>
      <c r="M343" s="524">
        <v>7203</v>
      </c>
      <c r="N343" s="527">
        <v>2.9999999999999997E-4</v>
      </c>
      <c r="O343" s="524">
        <v>2.1469999999999998</v>
      </c>
      <c r="P343" s="524">
        <v>0</v>
      </c>
    </row>
    <row r="344" spans="4:16">
      <c r="D344" s="470" t="s">
        <v>690</v>
      </c>
      <c r="E344" s="524" t="s">
        <v>698</v>
      </c>
      <c r="F344" s="525">
        <v>41087</v>
      </c>
      <c r="G344" s="521">
        <f t="shared" si="10"/>
        <v>2012</v>
      </c>
      <c r="H344" s="521">
        <f t="shared" si="11"/>
        <v>6</v>
      </c>
      <c r="I344" s="524">
        <v>17</v>
      </c>
      <c r="J344" s="524">
        <v>3.3740000000000001</v>
      </c>
      <c r="K344" s="524">
        <v>0</v>
      </c>
      <c r="L344" s="526">
        <v>3.3740000000000001</v>
      </c>
      <c r="M344" s="524">
        <v>8833</v>
      </c>
      <c r="N344" s="527">
        <v>4.0000000000000002E-4</v>
      </c>
      <c r="O344" s="524">
        <v>3.456</v>
      </c>
      <c r="P344" s="524">
        <v>0</v>
      </c>
    </row>
    <row r="345" spans="4:16">
      <c r="D345" s="470" t="s">
        <v>690</v>
      </c>
      <c r="E345" s="524" t="s">
        <v>698</v>
      </c>
      <c r="F345" s="525">
        <v>41092</v>
      </c>
      <c r="G345" s="521">
        <f t="shared" si="10"/>
        <v>2012</v>
      </c>
      <c r="H345" s="521">
        <f t="shared" si="11"/>
        <v>7</v>
      </c>
      <c r="I345" s="524">
        <v>17</v>
      </c>
      <c r="J345" s="524">
        <v>3.3460000000000001</v>
      </c>
      <c r="K345" s="524">
        <v>0</v>
      </c>
      <c r="L345" s="526">
        <v>3.3460000000000001</v>
      </c>
      <c r="M345" s="524">
        <v>9682</v>
      </c>
      <c r="N345" s="527">
        <v>2.9999999999999997E-4</v>
      </c>
      <c r="O345" s="524">
        <v>3.411</v>
      </c>
      <c r="P345" s="524">
        <v>0</v>
      </c>
    </row>
    <row r="346" spans="4:16">
      <c r="D346" s="470" t="s">
        <v>690</v>
      </c>
      <c r="E346" s="524" t="s">
        <v>698</v>
      </c>
      <c r="F346" s="525">
        <v>41122</v>
      </c>
      <c r="G346" s="521">
        <f t="shared" si="10"/>
        <v>2012</v>
      </c>
      <c r="H346" s="521">
        <f t="shared" si="11"/>
        <v>8</v>
      </c>
      <c r="I346" s="524">
        <v>17</v>
      </c>
      <c r="J346" s="524">
        <v>3.4350000000000001</v>
      </c>
      <c r="K346" s="524">
        <v>0</v>
      </c>
      <c r="L346" s="526">
        <v>3.4350000000000001</v>
      </c>
      <c r="M346" s="524">
        <v>8979</v>
      </c>
      <c r="N346" s="527">
        <v>4.0000000000000002E-4</v>
      </c>
      <c r="O346" s="524">
        <v>3.5049999999999999</v>
      </c>
      <c r="P346" s="524">
        <v>0</v>
      </c>
    </row>
    <row r="347" spans="4:16">
      <c r="D347" s="470" t="s">
        <v>690</v>
      </c>
      <c r="E347" s="524" t="s">
        <v>698</v>
      </c>
      <c r="F347" s="525">
        <v>41156</v>
      </c>
      <c r="G347" s="521">
        <f t="shared" si="10"/>
        <v>2012</v>
      </c>
      <c r="H347" s="521">
        <f t="shared" si="11"/>
        <v>9</v>
      </c>
      <c r="I347" s="524">
        <v>16</v>
      </c>
      <c r="J347" s="524">
        <v>3.5510000000000002</v>
      </c>
      <c r="K347" s="524">
        <v>0</v>
      </c>
      <c r="L347" s="526">
        <v>3.5510000000000002</v>
      </c>
      <c r="M347" s="524">
        <v>8521</v>
      </c>
      <c r="N347" s="527">
        <v>4.0000000000000002E-4</v>
      </c>
      <c r="O347" s="524">
        <v>3.625</v>
      </c>
      <c r="P347" s="524">
        <v>0</v>
      </c>
    </row>
    <row r="348" spans="4:16">
      <c r="D348" s="470" t="s">
        <v>690</v>
      </c>
      <c r="E348" s="524" t="s">
        <v>698</v>
      </c>
      <c r="F348" s="525">
        <v>41185</v>
      </c>
      <c r="G348" s="521">
        <f t="shared" si="10"/>
        <v>2012</v>
      </c>
      <c r="H348" s="521">
        <f t="shared" si="11"/>
        <v>10</v>
      </c>
      <c r="I348" s="524">
        <v>14</v>
      </c>
      <c r="J348" s="524">
        <v>2.5920000000000001</v>
      </c>
      <c r="K348" s="524">
        <v>0</v>
      </c>
      <c r="L348" s="526">
        <v>2.5920000000000001</v>
      </c>
      <c r="M348" s="524">
        <v>6122</v>
      </c>
      <c r="N348" s="527">
        <v>4.0000000000000002E-4</v>
      </c>
      <c r="O348" s="524">
        <v>2.6419999999999999</v>
      </c>
      <c r="P348" s="524">
        <v>0</v>
      </c>
    </row>
    <row r="349" spans="4:16">
      <c r="D349" s="470" t="s">
        <v>690</v>
      </c>
      <c r="E349" s="524" t="s">
        <v>698</v>
      </c>
      <c r="F349" s="525">
        <v>41239</v>
      </c>
      <c r="G349" s="521">
        <f t="shared" si="10"/>
        <v>2012</v>
      </c>
      <c r="H349" s="521">
        <f t="shared" si="11"/>
        <v>11</v>
      </c>
      <c r="I349" s="524">
        <v>18</v>
      </c>
      <c r="J349" s="524">
        <v>2.3940000000000001</v>
      </c>
      <c r="K349" s="524">
        <v>0</v>
      </c>
      <c r="L349" s="526">
        <v>2.3940000000000001</v>
      </c>
      <c r="M349" s="524">
        <v>6416</v>
      </c>
      <c r="N349" s="527">
        <v>4.0000000000000002E-4</v>
      </c>
      <c r="O349" s="524">
        <v>2.4529999999999998</v>
      </c>
      <c r="P349" s="524">
        <v>0</v>
      </c>
    </row>
    <row r="350" spans="4:16">
      <c r="D350" s="470" t="s">
        <v>690</v>
      </c>
      <c r="E350" s="524" t="s">
        <v>698</v>
      </c>
      <c r="F350" s="525">
        <v>41253</v>
      </c>
      <c r="G350" s="521">
        <f t="shared" si="10"/>
        <v>2012</v>
      </c>
      <c r="H350" s="521">
        <f t="shared" si="11"/>
        <v>12</v>
      </c>
      <c r="I350" s="524">
        <v>18</v>
      </c>
      <c r="J350" s="524">
        <v>2.5859999999999999</v>
      </c>
      <c r="K350" s="524">
        <v>0</v>
      </c>
      <c r="L350" s="526">
        <v>2.5859999999999999</v>
      </c>
      <c r="M350" s="524">
        <v>6609</v>
      </c>
      <c r="N350" s="527">
        <v>4.0000000000000002E-4</v>
      </c>
      <c r="O350" s="524">
        <v>2.6320000000000001</v>
      </c>
      <c r="P350" s="524">
        <v>0</v>
      </c>
    </row>
    <row r="351" spans="4:16">
      <c r="D351" s="470" t="s">
        <v>690</v>
      </c>
      <c r="E351" s="524" t="s">
        <v>698</v>
      </c>
      <c r="F351" s="525">
        <v>41295</v>
      </c>
      <c r="G351" s="521">
        <f t="shared" si="10"/>
        <v>2013</v>
      </c>
      <c r="H351" s="521">
        <f t="shared" si="11"/>
        <v>1</v>
      </c>
      <c r="I351" s="524">
        <v>19</v>
      </c>
      <c r="J351" s="524">
        <v>2.4609999999999999</v>
      </c>
      <c r="K351" s="524">
        <v>0</v>
      </c>
      <c r="L351" s="526">
        <v>2.4609999999999999</v>
      </c>
      <c r="M351" s="524">
        <v>6846</v>
      </c>
      <c r="N351" s="527">
        <v>4.0000000000000002E-4</v>
      </c>
      <c r="O351" s="524">
        <v>2.5089999999999999</v>
      </c>
      <c r="P351" s="524">
        <v>0</v>
      </c>
    </row>
    <row r="352" spans="4:16">
      <c r="D352" s="470" t="s">
        <v>690</v>
      </c>
      <c r="E352" s="524" t="s">
        <v>698</v>
      </c>
      <c r="F352" s="525">
        <v>41324</v>
      </c>
      <c r="G352" s="521">
        <f t="shared" si="10"/>
        <v>2013</v>
      </c>
      <c r="H352" s="521">
        <f t="shared" si="11"/>
        <v>2</v>
      </c>
      <c r="I352" s="524">
        <v>19</v>
      </c>
      <c r="J352" s="524">
        <v>2.2149999999999999</v>
      </c>
      <c r="K352" s="524">
        <v>0</v>
      </c>
      <c r="L352" s="526">
        <v>2.2149999999999999</v>
      </c>
      <c r="M352" s="524">
        <v>6511</v>
      </c>
      <c r="N352" s="527">
        <v>2.9999999999999997E-4</v>
      </c>
      <c r="O352" s="524">
        <v>2.2650000000000001</v>
      </c>
      <c r="P352" s="524">
        <v>0</v>
      </c>
    </row>
    <row r="353" spans="4:16">
      <c r="D353" s="470" t="s">
        <v>690</v>
      </c>
      <c r="E353" s="524" t="s">
        <v>698</v>
      </c>
      <c r="F353" s="525">
        <v>41337</v>
      </c>
      <c r="G353" s="521">
        <f t="shared" si="10"/>
        <v>2013</v>
      </c>
      <c r="H353" s="521">
        <f t="shared" si="11"/>
        <v>3</v>
      </c>
      <c r="I353" s="524">
        <v>19</v>
      </c>
      <c r="J353" s="524">
        <v>2.31</v>
      </c>
      <c r="K353" s="524">
        <v>0</v>
      </c>
      <c r="L353" s="526">
        <v>2.31</v>
      </c>
      <c r="M353" s="524">
        <v>6172</v>
      </c>
      <c r="N353" s="527">
        <v>4.0000000000000002E-4</v>
      </c>
      <c r="O353" s="524">
        <v>2.117</v>
      </c>
      <c r="P353" s="524">
        <v>0</v>
      </c>
    </row>
    <row r="354" spans="4:16">
      <c r="D354" s="470" t="s">
        <v>690</v>
      </c>
      <c r="E354" s="524" t="s">
        <v>698</v>
      </c>
      <c r="F354" s="525">
        <v>41382</v>
      </c>
      <c r="G354" s="521">
        <f t="shared" si="10"/>
        <v>2013</v>
      </c>
      <c r="H354" s="521">
        <f t="shared" si="11"/>
        <v>4</v>
      </c>
      <c r="I354" s="524">
        <v>12</v>
      </c>
      <c r="J354" s="524">
        <v>1.1970000000000001</v>
      </c>
      <c r="K354" s="524">
        <v>2.4540000000000002</v>
      </c>
      <c r="L354" s="526">
        <v>3.6509999999999998</v>
      </c>
      <c r="M354" s="524">
        <v>5851</v>
      </c>
      <c r="N354" s="527">
        <v>5.9999999999999995E-4</v>
      </c>
      <c r="O354" s="524">
        <v>1.2230000000000001</v>
      </c>
      <c r="P354" s="524">
        <v>2.4540000000000002</v>
      </c>
    </row>
    <row r="355" spans="4:16">
      <c r="D355" s="470" t="s">
        <v>690</v>
      </c>
      <c r="E355" s="524" t="s">
        <v>698</v>
      </c>
      <c r="F355" s="525">
        <v>41408</v>
      </c>
      <c r="G355" s="521">
        <f t="shared" si="10"/>
        <v>2013</v>
      </c>
      <c r="H355" s="521">
        <f t="shared" si="11"/>
        <v>5</v>
      </c>
      <c r="I355" s="524">
        <v>17</v>
      </c>
      <c r="J355" s="524">
        <v>2.177</v>
      </c>
      <c r="K355" s="524">
        <v>0</v>
      </c>
      <c r="L355" s="526">
        <v>2.177</v>
      </c>
      <c r="M355" s="524">
        <v>6516</v>
      </c>
      <c r="N355" s="527">
        <v>2.9999999999999997E-4</v>
      </c>
      <c r="O355" s="524">
        <v>2.2080000000000002</v>
      </c>
      <c r="P355" s="524">
        <v>0</v>
      </c>
    </row>
    <row r="356" spans="4:16">
      <c r="D356" s="470" t="s">
        <v>690</v>
      </c>
      <c r="E356" s="524" t="s">
        <v>698</v>
      </c>
      <c r="F356" s="525">
        <v>41451</v>
      </c>
      <c r="G356" s="521">
        <f t="shared" si="10"/>
        <v>2013</v>
      </c>
      <c r="H356" s="521">
        <f t="shared" si="11"/>
        <v>6</v>
      </c>
      <c r="I356" s="524">
        <v>16</v>
      </c>
      <c r="J356" s="524">
        <v>3.3450000000000002</v>
      </c>
      <c r="K356" s="524">
        <v>0</v>
      </c>
      <c r="L356" s="526">
        <v>3.3450000000000002</v>
      </c>
      <c r="M356" s="524">
        <v>8280</v>
      </c>
      <c r="N356" s="527">
        <v>4.0000000000000002E-4</v>
      </c>
      <c r="O356" s="524">
        <v>3.375</v>
      </c>
      <c r="P356" s="524">
        <v>0</v>
      </c>
    </row>
    <row r="357" spans="4:16">
      <c r="D357" s="470" t="s">
        <v>690</v>
      </c>
      <c r="E357" s="524" t="s">
        <v>698</v>
      </c>
      <c r="F357" s="525">
        <v>41473</v>
      </c>
      <c r="G357" s="521">
        <f t="shared" si="10"/>
        <v>2013</v>
      </c>
      <c r="H357" s="521">
        <f t="shared" si="11"/>
        <v>7</v>
      </c>
      <c r="I357" s="524">
        <v>17</v>
      </c>
      <c r="J357" s="524">
        <v>3.73</v>
      </c>
      <c r="K357" s="524">
        <v>0</v>
      </c>
      <c r="L357" s="526">
        <v>3.73</v>
      </c>
      <c r="M357" s="524">
        <v>9566</v>
      </c>
      <c r="N357" s="527">
        <v>4.0000000000000002E-4</v>
      </c>
      <c r="O357" s="524">
        <v>3.7850000000000001</v>
      </c>
      <c r="P357" s="524">
        <v>0</v>
      </c>
    </row>
    <row r="358" spans="4:16">
      <c r="D358" s="470" t="s">
        <v>690</v>
      </c>
      <c r="E358" s="524" t="s">
        <v>698</v>
      </c>
      <c r="F358" s="525">
        <v>41512</v>
      </c>
      <c r="G358" s="521">
        <f t="shared" si="10"/>
        <v>2013</v>
      </c>
      <c r="H358" s="521">
        <f t="shared" si="11"/>
        <v>8</v>
      </c>
      <c r="I358" s="524">
        <v>17</v>
      </c>
      <c r="J358" s="524">
        <v>3.4460000000000002</v>
      </c>
      <c r="K358" s="524">
        <v>0.26100000000000001</v>
      </c>
      <c r="L358" s="526">
        <v>3.7069999999999999</v>
      </c>
      <c r="M358" s="524">
        <v>9821</v>
      </c>
      <c r="N358" s="527">
        <v>4.0000000000000002E-4</v>
      </c>
      <c r="O358" s="524">
        <v>3.2789999999999999</v>
      </c>
      <c r="P358" s="524">
        <v>0.26100000000000001</v>
      </c>
    </row>
    <row r="359" spans="4:16">
      <c r="D359" s="470" t="s">
        <v>690</v>
      </c>
      <c r="E359" s="524" t="s">
        <v>698</v>
      </c>
      <c r="F359" s="525">
        <v>41526</v>
      </c>
      <c r="G359" s="521">
        <f t="shared" si="10"/>
        <v>2013</v>
      </c>
      <c r="H359" s="521">
        <f t="shared" si="11"/>
        <v>9</v>
      </c>
      <c r="I359" s="524">
        <v>17</v>
      </c>
      <c r="J359" s="524">
        <v>3.169</v>
      </c>
      <c r="K359" s="524">
        <v>0</v>
      </c>
      <c r="L359" s="526">
        <v>3.169</v>
      </c>
      <c r="M359" s="524">
        <v>8781</v>
      </c>
      <c r="N359" s="527">
        <v>4.0000000000000002E-4</v>
      </c>
      <c r="O359" s="524">
        <v>3.2130000000000001</v>
      </c>
      <c r="P359" s="524">
        <v>0</v>
      </c>
    </row>
    <row r="360" spans="4:16">
      <c r="D360" s="470" t="s">
        <v>690</v>
      </c>
      <c r="E360" s="524" t="s">
        <v>698</v>
      </c>
      <c r="F360" s="525">
        <v>41548</v>
      </c>
      <c r="G360" s="521">
        <f t="shared" si="10"/>
        <v>2013</v>
      </c>
      <c r="H360" s="521">
        <f t="shared" si="11"/>
        <v>10</v>
      </c>
      <c r="I360" s="524">
        <v>14</v>
      </c>
      <c r="J360" s="524">
        <v>2.4990000000000001</v>
      </c>
      <c r="K360" s="524">
        <v>0</v>
      </c>
      <c r="L360" s="526">
        <v>2.4990000000000001</v>
      </c>
      <c r="M360" s="524">
        <v>6214</v>
      </c>
      <c r="N360" s="527">
        <v>4.0000000000000002E-4</v>
      </c>
      <c r="O360" s="524">
        <v>2.528</v>
      </c>
      <c r="P360" s="524">
        <v>0</v>
      </c>
    </row>
    <row r="361" spans="4:16">
      <c r="D361" s="470" t="s">
        <v>690</v>
      </c>
      <c r="E361" s="524" t="s">
        <v>698</v>
      </c>
      <c r="F361" s="525">
        <v>41604</v>
      </c>
      <c r="G361" s="521">
        <f t="shared" si="10"/>
        <v>2013</v>
      </c>
      <c r="H361" s="521">
        <f t="shared" si="11"/>
        <v>11</v>
      </c>
      <c r="I361" s="524">
        <v>18</v>
      </c>
      <c r="J361" s="524">
        <v>2.6150000000000002</v>
      </c>
      <c r="K361" s="524">
        <v>0</v>
      </c>
      <c r="L361" s="526">
        <v>2.6150000000000002</v>
      </c>
      <c r="M361" s="524">
        <v>6372</v>
      </c>
      <c r="N361" s="527">
        <v>4.0000000000000002E-4</v>
      </c>
      <c r="O361" s="524">
        <v>2.6440000000000001</v>
      </c>
      <c r="P361" s="524">
        <v>0</v>
      </c>
    </row>
    <row r="362" spans="4:16">
      <c r="D362" s="470" t="s">
        <v>690</v>
      </c>
      <c r="E362" s="524" t="s">
        <v>698</v>
      </c>
      <c r="F362" s="525">
        <v>41619</v>
      </c>
      <c r="G362" s="521">
        <f t="shared" si="10"/>
        <v>2013</v>
      </c>
      <c r="H362" s="521">
        <f t="shared" si="11"/>
        <v>12</v>
      </c>
      <c r="I362" s="524">
        <v>18</v>
      </c>
      <c r="J362" s="524">
        <v>2.4060000000000001</v>
      </c>
      <c r="K362" s="524">
        <v>0</v>
      </c>
      <c r="L362" s="526">
        <v>2.4060000000000001</v>
      </c>
      <c r="M362" s="524">
        <v>6972</v>
      </c>
      <c r="N362" s="527">
        <v>2.9999999999999997E-4</v>
      </c>
      <c r="O362" s="524">
        <v>2.4289999999999998</v>
      </c>
      <c r="P362" s="524">
        <v>0</v>
      </c>
    </row>
    <row r="363" spans="4:16">
      <c r="D363" s="470" t="s">
        <v>690</v>
      </c>
      <c r="E363" s="470" t="s">
        <v>698</v>
      </c>
      <c r="F363" s="520">
        <v>41645</v>
      </c>
      <c r="G363" s="521">
        <f t="shared" si="10"/>
        <v>2014</v>
      </c>
      <c r="H363" s="521">
        <f t="shared" si="11"/>
        <v>1</v>
      </c>
      <c r="I363" s="470">
        <v>18</v>
      </c>
      <c r="J363" s="470">
        <v>2.4750000000000001</v>
      </c>
      <c r="K363" s="470">
        <v>0</v>
      </c>
      <c r="L363" s="522">
        <v>2.4750000000000001</v>
      </c>
      <c r="M363" s="523">
        <v>7188</v>
      </c>
      <c r="N363" s="470">
        <v>3.4000000000000002E-2</v>
      </c>
      <c r="O363" s="470">
        <v>2.4889999999999999</v>
      </c>
      <c r="P363" s="470">
        <v>0</v>
      </c>
    </row>
    <row r="364" spans="4:16">
      <c r="D364" s="470" t="s">
        <v>690</v>
      </c>
      <c r="E364" s="470" t="s">
        <v>698</v>
      </c>
      <c r="F364" s="520">
        <v>41676</v>
      </c>
      <c r="G364" s="521">
        <f t="shared" si="10"/>
        <v>2014</v>
      </c>
      <c r="H364" s="521">
        <f t="shared" si="11"/>
        <v>2</v>
      </c>
      <c r="I364" s="470">
        <v>19</v>
      </c>
      <c r="J364" s="470">
        <v>2.3149999999999999</v>
      </c>
      <c r="K364" s="470">
        <v>0</v>
      </c>
      <c r="L364" s="522">
        <v>2.3149999999999999</v>
      </c>
      <c r="M364" s="523">
        <v>6743</v>
      </c>
      <c r="N364" s="470">
        <v>3.4000000000000002E-2</v>
      </c>
      <c r="O364" s="470">
        <v>2.3319999999999999</v>
      </c>
      <c r="P364" s="470">
        <v>0</v>
      </c>
    </row>
    <row r="365" spans="4:16">
      <c r="D365" s="470" t="s">
        <v>690</v>
      </c>
      <c r="E365" s="470" t="s">
        <v>698</v>
      </c>
      <c r="F365" s="520">
        <v>41701</v>
      </c>
      <c r="G365" s="521">
        <f t="shared" si="10"/>
        <v>2014</v>
      </c>
      <c r="H365" s="521">
        <f t="shared" si="11"/>
        <v>3</v>
      </c>
      <c r="I365" s="470">
        <v>19</v>
      </c>
      <c r="J365" s="470">
        <v>2.2730000000000001</v>
      </c>
      <c r="K365" s="470">
        <v>0</v>
      </c>
      <c r="L365" s="522">
        <v>2.2730000000000001</v>
      </c>
      <c r="M365" s="523">
        <v>6537</v>
      </c>
      <c r="N365" s="470">
        <v>3.5000000000000003E-2</v>
      </c>
      <c r="O365" s="470">
        <v>2.282</v>
      </c>
      <c r="P365" s="470">
        <v>0</v>
      </c>
    </row>
    <row r="366" spans="4:16">
      <c r="D366" s="470" t="s">
        <v>690</v>
      </c>
      <c r="E366" s="470" t="s">
        <v>698</v>
      </c>
      <c r="F366" s="520">
        <v>41730</v>
      </c>
      <c r="G366" s="521">
        <f t="shared" si="10"/>
        <v>2014</v>
      </c>
      <c r="H366" s="521">
        <f t="shared" si="11"/>
        <v>4</v>
      </c>
      <c r="I366" s="470">
        <v>11</v>
      </c>
      <c r="J366" s="470">
        <v>2.4510000000000001</v>
      </c>
      <c r="K366" s="470">
        <v>0</v>
      </c>
      <c r="L366" s="522">
        <v>2.4510000000000001</v>
      </c>
      <c r="M366" s="523">
        <v>5924</v>
      </c>
      <c r="N366" s="470">
        <v>4.1000000000000002E-2</v>
      </c>
      <c r="O366" s="470">
        <v>2.4710000000000001</v>
      </c>
      <c r="P366" s="470">
        <v>0</v>
      </c>
    </row>
    <row r="367" spans="4:16">
      <c r="D367" s="470" t="s">
        <v>690</v>
      </c>
      <c r="E367" s="470" t="s">
        <v>698</v>
      </c>
      <c r="F367" s="520">
        <v>41789</v>
      </c>
      <c r="G367" s="521">
        <f t="shared" si="10"/>
        <v>2014</v>
      </c>
      <c r="H367" s="521">
        <f t="shared" si="11"/>
        <v>5</v>
      </c>
      <c r="I367" s="470">
        <v>16</v>
      </c>
      <c r="J367" s="470">
        <v>2.3450000000000002</v>
      </c>
      <c r="K367" s="470">
        <v>0</v>
      </c>
      <c r="L367" s="522">
        <v>2.3450000000000002</v>
      </c>
      <c r="M367" s="523">
        <v>7422</v>
      </c>
      <c r="N367" s="470">
        <v>3.2000000000000001E-2</v>
      </c>
      <c r="O367" s="470">
        <v>2.3679999999999999</v>
      </c>
      <c r="P367" s="470">
        <v>0</v>
      </c>
    </row>
    <row r="368" spans="4:16">
      <c r="D368" s="470" t="s">
        <v>690</v>
      </c>
      <c r="E368" s="470" t="s">
        <v>698</v>
      </c>
      <c r="F368" s="520">
        <v>41814</v>
      </c>
      <c r="G368" s="521">
        <f t="shared" si="10"/>
        <v>2014</v>
      </c>
      <c r="H368" s="521">
        <f t="shared" si="11"/>
        <v>6</v>
      </c>
      <c r="I368" s="470">
        <v>16</v>
      </c>
      <c r="J368" s="470">
        <v>2.7770000000000001</v>
      </c>
      <c r="K368" s="470">
        <v>0</v>
      </c>
      <c r="L368" s="522">
        <v>2.7770000000000001</v>
      </c>
      <c r="M368" s="523">
        <v>7670</v>
      </c>
      <c r="N368" s="470">
        <v>3.5999999999999997E-2</v>
      </c>
      <c r="O368" s="470">
        <v>2.8050000000000002</v>
      </c>
      <c r="P368" s="470">
        <v>0</v>
      </c>
    </row>
    <row r="369" spans="4:16">
      <c r="D369" s="470" t="s">
        <v>690</v>
      </c>
      <c r="E369" s="470" t="s">
        <v>698</v>
      </c>
      <c r="F369" s="520">
        <v>41841</v>
      </c>
      <c r="G369" s="521">
        <f t="shared" si="10"/>
        <v>2014</v>
      </c>
      <c r="H369" s="521">
        <f t="shared" si="11"/>
        <v>7</v>
      </c>
      <c r="I369" s="470">
        <v>17</v>
      </c>
      <c r="J369" s="470">
        <v>3.09</v>
      </c>
      <c r="K369" s="470">
        <v>0</v>
      </c>
      <c r="L369" s="522">
        <v>3.09</v>
      </c>
      <c r="M369" s="523">
        <v>9150</v>
      </c>
      <c r="N369" s="470">
        <v>3.4000000000000002E-2</v>
      </c>
      <c r="O369" s="470">
        <v>3.4689999999999999</v>
      </c>
      <c r="P369" s="470">
        <v>0</v>
      </c>
    </row>
    <row r="370" spans="4:16">
      <c r="D370" s="470" t="s">
        <v>690</v>
      </c>
      <c r="E370" s="470" t="s">
        <v>698</v>
      </c>
      <c r="F370" s="520">
        <v>41869</v>
      </c>
      <c r="G370" s="521">
        <f t="shared" si="10"/>
        <v>2014</v>
      </c>
      <c r="H370" s="521">
        <f t="shared" si="11"/>
        <v>8</v>
      </c>
      <c r="I370" s="470">
        <v>16</v>
      </c>
      <c r="J370" s="470">
        <v>3.26</v>
      </c>
      <c r="K370" s="470">
        <v>0</v>
      </c>
      <c r="L370" s="522">
        <v>3.26</v>
      </c>
      <c r="M370" s="523">
        <v>8190</v>
      </c>
      <c r="N370" s="470">
        <v>0.04</v>
      </c>
      <c r="O370" s="470">
        <v>3.2930000000000001</v>
      </c>
      <c r="P370" s="470">
        <v>0</v>
      </c>
    </row>
    <row r="371" spans="4:16">
      <c r="D371" s="470" t="s">
        <v>690</v>
      </c>
      <c r="E371" s="470" t="s">
        <v>698</v>
      </c>
      <c r="F371" s="520">
        <v>41886</v>
      </c>
      <c r="G371" s="521">
        <f t="shared" si="10"/>
        <v>2014</v>
      </c>
      <c r="H371" s="521">
        <f t="shared" si="11"/>
        <v>9</v>
      </c>
      <c r="I371" s="470">
        <v>15</v>
      </c>
      <c r="J371" s="470">
        <v>3.2639999999999998</v>
      </c>
      <c r="K371" s="470">
        <v>0</v>
      </c>
      <c r="L371" s="522">
        <v>3.2639999999999998</v>
      </c>
      <c r="M371" s="523">
        <v>7758</v>
      </c>
      <c r="N371" s="470">
        <v>4.2000000000000003E-2</v>
      </c>
      <c r="O371" s="470">
        <v>3.2919999999999998</v>
      </c>
      <c r="P371" s="470">
        <v>0</v>
      </c>
    </row>
    <row r="372" spans="4:16">
      <c r="D372" s="470" t="s">
        <v>690</v>
      </c>
      <c r="E372" s="470" t="s">
        <v>698</v>
      </c>
      <c r="F372" s="520">
        <v>41942</v>
      </c>
      <c r="G372" s="521">
        <f t="shared" si="10"/>
        <v>2014</v>
      </c>
      <c r="H372" s="521">
        <f t="shared" si="11"/>
        <v>10</v>
      </c>
      <c r="I372" s="470">
        <v>20</v>
      </c>
      <c r="J372" s="470">
        <v>2.125</v>
      </c>
      <c r="K372" s="470">
        <v>0</v>
      </c>
      <c r="L372" s="522">
        <v>2.125</v>
      </c>
      <c r="M372" s="523">
        <v>5901</v>
      </c>
      <c r="N372" s="470">
        <v>3.5999999999999997E-2</v>
      </c>
      <c r="O372" s="470">
        <v>2.16</v>
      </c>
      <c r="P372" s="470">
        <v>0</v>
      </c>
    </row>
    <row r="373" spans="4:16">
      <c r="D373" s="470" t="s">
        <v>690</v>
      </c>
      <c r="E373" s="470" t="s">
        <v>698</v>
      </c>
      <c r="F373" s="520">
        <v>41960</v>
      </c>
      <c r="G373" s="521">
        <f t="shared" si="10"/>
        <v>2014</v>
      </c>
      <c r="H373" s="521">
        <f t="shared" si="11"/>
        <v>11</v>
      </c>
      <c r="I373" s="470">
        <v>18</v>
      </c>
      <c r="J373" s="470">
        <v>2.46</v>
      </c>
      <c r="K373" s="470">
        <v>0</v>
      </c>
      <c r="L373" s="522">
        <v>2.46</v>
      </c>
      <c r="M373" s="523">
        <v>6677</v>
      </c>
      <c r="N373" s="470">
        <v>3.6999999999999998E-2</v>
      </c>
      <c r="O373" s="470">
        <v>2.4710000000000001</v>
      </c>
      <c r="P373" s="470">
        <v>0</v>
      </c>
    </row>
    <row r="374" spans="4:16">
      <c r="D374" s="470" t="s">
        <v>690</v>
      </c>
      <c r="E374" s="470" t="s">
        <v>698</v>
      </c>
      <c r="F374" s="520">
        <v>41974</v>
      </c>
      <c r="G374" s="521">
        <f t="shared" si="10"/>
        <v>2014</v>
      </c>
      <c r="H374" s="521">
        <f t="shared" si="11"/>
        <v>12</v>
      </c>
      <c r="I374" s="470">
        <v>18</v>
      </c>
      <c r="J374" s="470">
        <v>2.7149999999999999</v>
      </c>
      <c r="K374" s="470">
        <v>0</v>
      </c>
      <c r="L374" s="522">
        <v>2.7149999999999999</v>
      </c>
      <c r="M374" s="523">
        <v>6850</v>
      </c>
      <c r="N374" s="470">
        <v>0.04</v>
      </c>
      <c r="O374" s="470">
        <v>2.7389999999999999</v>
      </c>
      <c r="P374" s="470">
        <v>0</v>
      </c>
    </row>
    <row r="375" spans="4:16">
      <c r="D375" s="470" t="s">
        <v>690</v>
      </c>
      <c r="E375" s="470" t="s">
        <v>698</v>
      </c>
      <c r="F375" s="520">
        <v>42011</v>
      </c>
      <c r="G375" s="521">
        <f t="shared" si="10"/>
        <v>2015</v>
      </c>
      <c r="H375" s="521">
        <f t="shared" si="11"/>
        <v>1</v>
      </c>
      <c r="I375" s="470">
        <v>18</v>
      </c>
      <c r="J375" s="470">
        <v>2.7109999999999999</v>
      </c>
      <c r="K375" s="470">
        <v>0</v>
      </c>
      <c r="L375" s="522">
        <v>2.7109999999999999</v>
      </c>
      <c r="M375" s="523">
        <v>6978</v>
      </c>
      <c r="N375" s="470">
        <v>3.9E-2</v>
      </c>
      <c r="O375" s="470">
        <v>2.7509999999999999</v>
      </c>
      <c r="P375" s="470">
        <v>0</v>
      </c>
    </row>
    <row r="376" spans="4:16">
      <c r="D376" s="470" t="s">
        <v>690</v>
      </c>
      <c r="E376" s="470" t="s">
        <v>698</v>
      </c>
      <c r="F376" s="520">
        <v>42053</v>
      </c>
      <c r="G376" s="521">
        <f t="shared" si="10"/>
        <v>2015</v>
      </c>
      <c r="H376" s="521">
        <f t="shared" si="11"/>
        <v>2</v>
      </c>
      <c r="I376" s="470">
        <v>19</v>
      </c>
      <c r="J376" s="470">
        <v>2.464</v>
      </c>
      <c r="K376" s="470">
        <v>0</v>
      </c>
      <c r="L376" s="522">
        <v>2.464</v>
      </c>
      <c r="M376" s="523">
        <v>6744</v>
      </c>
      <c r="N376" s="470">
        <v>3.6999999999999998E-2</v>
      </c>
      <c r="O376" s="470">
        <v>2.4670000000000001</v>
      </c>
      <c r="P376" s="470">
        <v>0</v>
      </c>
    </row>
    <row r="377" spans="4:16">
      <c r="D377" s="470" t="s">
        <v>690</v>
      </c>
      <c r="E377" s="470" t="s">
        <v>698</v>
      </c>
      <c r="F377" s="520">
        <v>42067</v>
      </c>
      <c r="G377" s="521">
        <f t="shared" si="10"/>
        <v>2015</v>
      </c>
      <c r="H377" s="521">
        <f t="shared" si="11"/>
        <v>3</v>
      </c>
      <c r="I377" s="470">
        <v>20</v>
      </c>
      <c r="J377" s="470">
        <v>2.0990000000000002</v>
      </c>
      <c r="K377" s="470">
        <v>0</v>
      </c>
      <c r="L377" s="522">
        <v>2.0990000000000002</v>
      </c>
      <c r="M377" s="523">
        <v>6470</v>
      </c>
      <c r="N377" s="470">
        <v>3.2000000000000001E-2</v>
      </c>
      <c r="O377" s="470">
        <v>2.12</v>
      </c>
      <c r="P377" s="470">
        <v>0</v>
      </c>
    </row>
    <row r="378" spans="4:16">
      <c r="D378" s="470" t="s">
        <v>690</v>
      </c>
      <c r="E378" s="470" t="s">
        <v>698</v>
      </c>
      <c r="F378" s="520">
        <v>42103</v>
      </c>
      <c r="G378" s="521">
        <f t="shared" si="10"/>
        <v>2015</v>
      </c>
      <c r="H378" s="521">
        <f t="shared" si="11"/>
        <v>4</v>
      </c>
      <c r="I378" s="470">
        <v>12</v>
      </c>
      <c r="J378" s="470">
        <v>2.2709999999999999</v>
      </c>
      <c r="K378" s="470">
        <v>0</v>
      </c>
      <c r="L378" s="522">
        <v>2.2709999999999999</v>
      </c>
      <c r="M378" s="523">
        <v>5914</v>
      </c>
      <c r="N378" s="470">
        <v>3.7999999999999999E-2</v>
      </c>
      <c r="O378" s="470">
        <v>2.2930000000000001</v>
      </c>
      <c r="P378" s="470">
        <v>0</v>
      </c>
    </row>
    <row r="379" spans="4:16">
      <c r="D379" s="470" t="s">
        <v>690</v>
      </c>
      <c r="E379" s="470" t="s">
        <v>698</v>
      </c>
      <c r="F379" s="520">
        <v>42152</v>
      </c>
      <c r="G379" s="521">
        <f t="shared" si="10"/>
        <v>2015</v>
      </c>
      <c r="H379" s="521">
        <f t="shared" si="11"/>
        <v>5</v>
      </c>
      <c r="I379" s="470">
        <v>16</v>
      </c>
      <c r="J379" s="470">
        <v>2.3690000000000002</v>
      </c>
      <c r="K379" s="470">
        <v>0</v>
      </c>
      <c r="L379" s="522">
        <v>2.3690000000000002</v>
      </c>
      <c r="M379" s="523">
        <v>6837</v>
      </c>
      <c r="N379" s="470">
        <v>3.5000000000000003E-2</v>
      </c>
      <c r="O379" s="470">
        <v>2.391</v>
      </c>
      <c r="P379" s="470">
        <v>0</v>
      </c>
    </row>
    <row r="380" spans="4:16">
      <c r="D380" s="470" t="s">
        <v>690</v>
      </c>
      <c r="E380" s="470" t="s">
        <v>698</v>
      </c>
      <c r="F380" s="520">
        <v>42164</v>
      </c>
      <c r="G380" s="521">
        <f t="shared" si="10"/>
        <v>2015</v>
      </c>
      <c r="H380" s="521">
        <f t="shared" si="11"/>
        <v>6</v>
      </c>
      <c r="I380" s="470">
        <v>17</v>
      </c>
      <c r="J380" s="470">
        <v>2.8580000000000001</v>
      </c>
      <c r="K380" s="470">
        <v>0</v>
      </c>
      <c r="L380" s="522">
        <v>2.8580000000000001</v>
      </c>
      <c r="M380" s="523">
        <v>8136</v>
      </c>
      <c r="N380" s="470">
        <v>3.5000000000000003E-2</v>
      </c>
      <c r="O380" s="470">
        <v>2.9009999999999998</v>
      </c>
      <c r="P380" s="470">
        <v>0</v>
      </c>
    </row>
    <row r="381" spans="4:16">
      <c r="D381" s="470" t="s">
        <v>690</v>
      </c>
      <c r="E381" s="470" t="s">
        <v>698</v>
      </c>
      <c r="F381" s="520">
        <v>42212</v>
      </c>
      <c r="G381" s="521">
        <f t="shared" si="10"/>
        <v>2015</v>
      </c>
      <c r="H381" s="521">
        <f t="shared" si="11"/>
        <v>7</v>
      </c>
      <c r="I381" s="470">
        <v>17</v>
      </c>
      <c r="J381" s="470">
        <v>3.2090000000000001</v>
      </c>
      <c r="K381" s="470">
        <v>0</v>
      </c>
      <c r="L381" s="522">
        <v>3.2090000000000001</v>
      </c>
      <c r="M381" s="523">
        <v>8769</v>
      </c>
      <c r="N381" s="470">
        <v>3.6999999999999998E-2</v>
      </c>
      <c r="O381" s="470">
        <v>3.2530000000000001</v>
      </c>
      <c r="P381" s="470">
        <v>0</v>
      </c>
    </row>
    <row r="382" spans="4:16">
      <c r="D382" s="470" t="s">
        <v>690</v>
      </c>
      <c r="E382" s="470" t="s">
        <v>698</v>
      </c>
      <c r="F382" s="520">
        <v>42230</v>
      </c>
      <c r="G382" s="521">
        <f t="shared" si="10"/>
        <v>2015</v>
      </c>
      <c r="H382" s="521">
        <f t="shared" si="11"/>
        <v>8</v>
      </c>
      <c r="I382" s="470">
        <v>16</v>
      </c>
      <c r="J382" s="470">
        <v>3.488</v>
      </c>
      <c r="K382" s="470">
        <v>0</v>
      </c>
      <c r="L382" s="522">
        <v>3.488</v>
      </c>
      <c r="M382" s="523">
        <v>8926</v>
      </c>
      <c r="N382" s="470">
        <v>3.9E-2</v>
      </c>
      <c r="O382" s="470">
        <v>3.51</v>
      </c>
      <c r="P382" s="470">
        <v>0</v>
      </c>
    </row>
    <row r="383" spans="4:16">
      <c r="D383" s="470" t="s">
        <v>690</v>
      </c>
      <c r="E383" s="470" t="s">
        <v>698</v>
      </c>
      <c r="F383" s="520">
        <v>42250</v>
      </c>
      <c r="G383" s="521">
        <f t="shared" si="10"/>
        <v>2015</v>
      </c>
      <c r="H383" s="521">
        <f t="shared" si="11"/>
        <v>9</v>
      </c>
      <c r="I383" s="470">
        <v>17</v>
      </c>
      <c r="J383" s="470">
        <v>3.4910000000000001</v>
      </c>
      <c r="K383" s="470">
        <v>0</v>
      </c>
      <c r="L383" s="522">
        <v>3.4910000000000001</v>
      </c>
      <c r="M383" s="523">
        <v>8657</v>
      </c>
      <c r="N383" s="470">
        <v>0.04</v>
      </c>
      <c r="O383" s="470">
        <v>3.5369999999999999</v>
      </c>
      <c r="P383" s="470">
        <v>0</v>
      </c>
    </row>
    <row r="384" spans="4:16">
      <c r="D384" s="470" t="s">
        <v>690</v>
      </c>
      <c r="E384" s="470" t="s">
        <v>698</v>
      </c>
      <c r="F384" s="520">
        <v>42285</v>
      </c>
      <c r="G384" s="521">
        <f t="shared" si="10"/>
        <v>2015</v>
      </c>
      <c r="H384" s="521">
        <f t="shared" si="11"/>
        <v>10</v>
      </c>
      <c r="I384" s="470">
        <v>12</v>
      </c>
      <c r="J384" s="470">
        <v>2.4860000000000002</v>
      </c>
      <c r="K384" s="470">
        <v>0</v>
      </c>
      <c r="L384" s="522">
        <v>2.4860000000000002</v>
      </c>
      <c r="M384" s="523">
        <v>5943</v>
      </c>
      <c r="N384" s="470">
        <v>4.2000000000000003E-2</v>
      </c>
      <c r="O384" s="470">
        <v>2.5</v>
      </c>
      <c r="P384" s="470">
        <v>0</v>
      </c>
    </row>
    <row r="385" spans="4:16">
      <c r="D385" s="470" t="s">
        <v>690</v>
      </c>
      <c r="E385" s="470" t="s">
        <v>698</v>
      </c>
      <c r="F385" s="520">
        <v>42338</v>
      </c>
      <c r="G385" s="521">
        <f t="shared" si="10"/>
        <v>2015</v>
      </c>
      <c r="H385" s="521">
        <f t="shared" si="11"/>
        <v>11</v>
      </c>
      <c r="I385" s="470">
        <v>18</v>
      </c>
      <c r="J385" s="470">
        <v>2.327</v>
      </c>
      <c r="K385" s="470">
        <v>0</v>
      </c>
      <c r="L385" s="522">
        <v>2.327</v>
      </c>
      <c r="M385" s="523">
        <v>6574</v>
      </c>
      <c r="N385" s="470">
        <v>3.5000000000000003E-2</v>
      </c>
      <c r="O385" s="470">
        <v>2.343</v>
      </c>
      <c r="P385" s="470">
        <v>0</v>
      </c>
    </row>
    <row r="386" spans="4:16">
      <c r="D386" s="470" t="s">
        <v>690</v>
      </c>
      <c r="E386" s="470" t="s">
        <v>698</v>
      </c>
      <c r="F386" s="520">
        <v>42355</v>
      </c>
      <c r="G386" s="521">
        <f t="shared" si="10"/>
        <v>2015</v>
      </c>
      <c r="H386" s="521">
        <f t="shared" si="11"/>
        <v>12</v>
      </c>
      <c r="I386" s="470">
        <v>18</v>
      </c>
      <c r="J386" s="470">
        <v>2.3290000000000002</v>
      </c>
      <c r="K386" s="470">
        <v>0</v>
      </c>
      <c r="L386" s="522">
        <v>2.3290000000000002</v>
      </c>
      <c r="M386" s="523">
        <v>6450</v>
      </c>
      <c r="N386" s="470">
        <v>3.5999999999999997E-2</v>
      </c>
      <c r="O386" s="470">
        <v>2.3660000000000001</v>
      </c>
      <c r="P386" s="470">
        <v>0</v>
      </c>
    </row>
    <row r="387" spans="4:16">
      <c r="D387" s="470" t="s">
        <v>690</v>
      </c>
      <c r="E387" s="524" t="s">
        <v>701</v>
      </c>
      <c r="F387" s="525">
        <v>40927</v>
      </c>
      <c r="G387" s="521">
        <f t="shared" ref="G387:G450" si="12">YEAR(F387)</f>
        <v>2012</v>
      </c>
      <c r="H387" s="521">
        <f t="shared" ref="H387:H450" si="13">MONTH(F387)</f>
        <v>1</v>
      </c>
      <c r="I387" s="524">
        <v>19</v>
      </c>
      <c r="J387" s="524">
        <v>5.92</v>
      </c>
      <c r="K387" s="524">
        <v>0</v>
      </c>
      <c r="L387" s="526">
        <v>4.92</v>
      </c>
      <c r="M387" s="524">
        <v>6604</v>
      </c>
      <c r="N387" s="527">
        <v>8.9999999999999998E-4</v>
      </c>
      <c r="O387" s="524">
        <v>6.0410000000000004</v>
      </c>
      <c r="P387" s="524">
        <v>0</v>
      </c>
    </row>
    <row r="388" spans="4:16">
      <c r="D388" s="470" t="s">
        <v>690</v>
      </c>
      <c r="E388" s="524" t="s">
        <v>701</v>
      </c>
      <c r="F388" s="525">
        <v>40967</v>
      </c>
      <c r="G388" s="521">
        <f t="shared" si="12"/>
        <v>2012</v>
      </c>
      <c r="H388" s="521">
        <f t="shared" si="13"/>
        <v>2</v>
      </c>
      <c r="I388" s="524">
        <v>19</v>
      </c>
      <c r="J388" s="524">
        <v>5.3449999999999998</v>
      </c>
      <c r="K388" s="524">
        <v>0</v>
      </c>
      <c r="L388" s="526">
        <v>4.3449999999999998</v>
      </c>
      <c r="M388" s="524">
        <v>6178</v>
      </c>
      <c r="N388" s="527">
        <v>8.9999999999999998E-4</v>
      </c>
      <c r="O388" s="524">
        <v>5.4409999999999998</v>
      </c>
      <c r="P388" s="524">
        <v>0</v>
      </c>
    </row>
    <row r="389" spans="4:16">
      <c r="D389" s="470" t="s">
        <v>690</v>
      </c>
      <c r="E389" s="524" t="s">
        <v>701</v>
      </c>
      <c r="F389" s="525">
        <v>40987</v>
      </c>
      <c r="G389" s="521">
        <f t="shared" si="12"/>
        <v>2012</v>
      </c>
      <c r="H389" s="521">
        <f t="shared" si="13"/>
        <v>3</v>
      </c>
      <c r="I389" s="524">
        <v>14</v>
      </c>
      <c r="J389" s="524">
        <v>5.8819999999999997</v>
      </c>
      <c r="K389" s="524">
        <v>0</v>
      </c>
      <c r="L389" s="526">
        <v>4.8819999999999997</v>
      </c>
      <c r="M389" s="524">
        <v>6170</v>
      </c>
      <c r="N389" s="527">
        <v>1E-3</v>
      </c>
      <c r="O389" s="524">
        <v>5.9720000000000004</v>
      </c>
      <c r="P389" s="524">
        <v>0</v>
      </c>
    </row>
    <row r="390" spans="4:16">
      <c r="D390" s="470" t="s">
        <v>690</v>
      </c>
      <c r="E390" s="524" t="s">
        <v>701</v>
      </c>
      <c r="F390" s="525">
        <v>41024</v>
      </c>
      <c r="G390" s="521">
        <f t="shared" si="12"/>
        <v>2012</v>
      </c>
      <c r="H390" s="521">
        <f t="shared" si="13"/>
        <v>4</v>
      </c>
      <c r="I390" s="524">
        <v>15</v>
      </c>
      <c r="J390" s="524">
        <v>5.468</v>
      </c>
      <c r="K390" s="524">
        <v>0</v>
      </c>
      <c r="L390" s="526">
        <v>4.468</v>
      </c>
      <c r="M390" s="524">
        <v>5813</v>
      </c>
      <c r="N390" s="527">
        <v>8.9999999999999998E-4</v>
      </c>
      <c r="O390" s="524">
        <v>5.5640000000000001</v>
      </c>
      <c r="P390" s="524">
        <v>0</v>
      </c>
    </row>
    <row r="391" spans="4:16">
      <c r="D391" s="470" t="s">
        <v>690</v>
      </c>
      <c r="E391" s="524" t="s">
        <v>701</v>
      </c>
      <c r="F391" s="525">
        <v>41047</v>
      </c>
      <c r="G391" s="521">
        <f t="shared" si="12"/>
        <v>2012</v>
      </c>
      <c r="H391" s="521">
        <f t="shared" si="13"/>
        <v>5</v>
      </c>
      <c r="I391" s="524">
        <v>17</v>
      </c>
      <c r="J391" s="524">
        <v>6.1829999999999998</v>
      </c>
      <c r="K391" s="524">
        <v>0</v>
      </c>
      <c r="L391" s="526">
        <v>4.1829999999999998</v>
      </c>
      <c r="M391" s="524">
        <v>7203</v>
      </c>
      <c r="N391" s="527">
        <v>8.9999999999999998E-4</v>
      </c>
      <c r="O391" s="524">
        <v>6.29</v>
      </c>
      <c r="P391" s="524">
        <v>0</v>
      </c>
    </row>
    <row r="392" spans="4:16">
      <c r="D392" s="470" t="s">
        <v>690</v>
      </c>
      <c r="E392" s="524" t="s">
        <v>701</v>
      </c>
      <c r="F392" s="525">
        <v>41087</v>
      </c>
      <c r="G392" s="521">
        <f t="shared" si="12"/>
        <v>2012</v>
      </c>
      <c r="H392" s="521">
        <f t="shared" si="13"/>
        <v>6</v>
      </c>
      <c r="I392" s="524">
        <v>17</v>
      </c>
      <c r="J392" s="524">
        <v>10.260999999999999</v>
      </c>
      <c r="K392" s="524">
        <v>0</v>
      </c>
      <c r="L392" s="526">
        <v>8.2609999999999992</v>
      </c>
      <c r="M392" s="524">
        <v>8833</v>
      </c>
      <c r="N392" s="527">
        <v>1.1999999999999999E-3</v>
      </c>
      <c r="O392" s="524">
        <v>10.444000000000001</v>
      </c>
      <c r="P392" s="524">
        <v>0</v>
      </c>
    </row>
    <row r="393" spans="4:16">
      <c r="D393" s="470" t="s">
        <v>690</v>
      </c>
      <c r="E393" s="524" t="s">
        <v>701</v>
      </c>
      <c r="F393" s="525">
        <v>41092</v>
      </c>
      <c r="G393" s="521">
        <f t="shared" si="12"/>
        <v>2012</v>
      </c>
      <c r="H393" s="521">
        <f t="shared" si="13"/>
        <v>7</v>
      </c>
      <c r="I393" s="524">
        <v>17</v>
      </c>
      <c r="J393" s="524">
        <v>12.08</v>
      </c>
      <c r="K393" s="524">
        <v>0</v>
      </c>
      <c r="L393" s="526">
        <v>10.08</v>
      </c>
      <c r="M393" s="524">
        <v>9682</v>
      </c>
      <c r="N393" s="527">
        <v>1.1999999999999999E-3</v>
      </c>
      <c r="O393" s="524">
        <v>12.282999999999999</v>
      </c>
      <c r="P393" s="524">
        <v>0</v>
      </c>
    </row>
    <row r="394" spans="4:16">
      <c r="D394" s="470" t="s">
        <v>690</v>
      </c>
      <c r="E394" s="524" t="s">
        <v>701</v>
      </c>
      <c r="F394" s="525">
        <v>41122</v>
      </c>
      <c r="G394" s="521">
        <f t="shared" si="12"/>
        <v>2012</v>
      </c>
      <c r="H394" s="521">
        <f t="shared" si="13"/>
        <v>8</v>
      </c>
      <c r="I394" s="524">
        <v>17</v>
      </c>
      <c r="J394" s="524">
        <v>11.404</v>
      </c>
      <c r="K394" s="524">
        <v>0</v>
      </c>
      <c r="L394" s="526">
        <v>9.4039999999999999</v>
      </c>
      <c r="M394" s="524">
        <v>8979</v>
      </c>
      <c r="N394" s="527">
        <v>1.2999999999999999E-3</v>
      </c>
      <c r="O394" s="524">
        <v>11.595000000000001</v>
      </c>
      <c r="P394" s="524">
        <v>0</v>
      </c>
    </row>
    <row r="395" spans="4:16">
      <c r="D395" s="470" t="s">
        <v>690</v>
      </c>
      <c r="E395" s="524" t="s">
        <v>701</v>
      </c>
      <c r="F395" s="525">
        <v>41156</v>
      </c>
      <c r="G395" s="521">
        <f t="shared" si="12"/>
        <v>2012</v>
      </c>
      <c r="H395" s="521">
        <f t="shared" si="13"/>
        <v>9</v>
      </c>
      <c r="I395" s="524">
        <v>16</v>
      </c>
      <c r="J395" s="524">
        <v>10.097</v>
      </c>
      <c r="K395" s="524">
        <v>0</v>
      </c>
      <c r="L395" s="526">
        <v>8.0969999999999995</v>
      </c>
      <c r="M395" s="524">
        <v>8521</v>
      </c>
      <c r="N395" s="527">
        <v>1.1999999999999999E-3</v>
      </c>
      <c r="O395" s="524">
        <v>10.257</v>
      </c>
      <c r="P395" s="524">
        <v>0</v>
      </c>
    </row>
    <row r="396" spans="4:16">
      <c r="D396" s="470" t="s">
        <v>690</v>
      </c>
      <c r="E396" s="524" t="s">
        <v>701</v>
      </c>
      <c r="F396" s="525">
        <v>41185</v>
      </c>
      <c r="G396" s="521">
        <f t="shared" si="12"/>
        <v>2012</v>
      </c>
      <c r="H396" s="521">
        <f t="shared" si="13"/>
        <v>10</v>
      </c>
      <c r="I396" s="524">
        <v>14</v>
      </c>
      <c r="J396" s="524">
        <v>6.48</v>
      </c>
      <c r="K396" s="524">
        <v>0</v>
      </c>
      <c r="L396" s="526">
        <v>4.4800000000000004</v>
      </c>
      <c r="M396" s="524">
        <v>6122</v>
      </c>
      <c r="N396" s="527">
        <v>1.1000000000000001E-3</v>
      </c>
      <c r="O396" s="524">
        <v>6.59</v>
      </c>
      <c r="P396" s="524">
        <v>0</v>
      </c>
    </row>
    <row r="397" spans="4:16">
      <c r="D397" s="470" t="s">
        <v>690</v>
      </c>
      <c r="E397" s="524" t="s">
        <v>701</v>
      </c>
      <c r="F397" s="525">
        <v>41239</v>
      </c>
      <c r="G397" s="521">
        <f t="shared" si="12"/>
        <v>2012</v>
      </c>
      <c r="H397" s="521">
        <f t="shared" si="13"/>
        <v>11</v>
      </c>
      <c r="I397" s="524">
        <v>18</v>
      </c>
      <c r="J397" s="524">
        <v>6.7080000000000002</v>
      </c>
      <c r="K397" s="524">
        <v>0</v>
      </c>
      <c r="L397" s="526">
        <v>5.7080000000000002</v>
      </c>
      <c r="M397" s="524">
        <v>6416</v>
      </c>
      <c r="N397" s="527">
        <v>1E-3</v>
      </c>
      <c r="O397" s="524">
        <v>6.8319999999999999</v>
      </c>
      <c r="P397" s="524">
        <v>0</v>
      </c>
    </row>
    <row r="398" spans="4:16">
      <c r="D398" s="470" t="s">
        <v>690</v>
      </c>
      <c r="E398" s="524" t="s">
        <v>701</v>
      </c>
      <c r="F398" s="525">
        <v>41253</v>
      </c>
      <c r="G398" s="521">
        <f t="shared" si="12"/>
        <v>2012</v>
      </c>
      <c r="H398" s="521">
        <f t="shared" si="13"/>
        <v>12</v>
      </c>
      <c r="I398" s="524">
        <v>18</v>
      </c>
      <c r="J398" s="524">
        <v>6.6139999999999999</v>
      </c>
      <c r="K398" s="524">
        <v>0</v>
      </c>
      <c r="L398" s="526">
        <v>5.6139999999999999</v>
      </c>
      <c r="M398" s="524">
        <v>6609</v>
      </c>
      <c r="N398" s="527">
        <v>1E-3</v>
      </c>
      <c r="O398" s="524">
        <v>6.7430000000000003</v>
      </c>
      <c r="P398" s="524">
        <v>0</v>
      </c>
    </row>
    <row r="399" spans="4:16">
      <c r="D399" s="470" t="s">
        <v>690</v>
      </c>
      <c r="E399" s="524" t="s">
        <v>701</v>
      </c>
      <c r="F399" s="525">
        <v>41295</v>
      </c>
      <c r="G399" s="521">
        <f t="shared" si="12"/>
        <v>2013</v>
      </c>
      <c r="H399" s="521">
        <f t="shared" si="13"/>
        <v>1</v>
      </c>
      <c r="I399" s="524">
        <v>19</v>
      </c>
      <c r="J399" s="524">
        <v>6.4710000000000001</v>
      </c>
      <c r="K399" s="524">
        <v>0</v>
      </c>
      <c r="L399" s="526">
        <v>5.4710000000000001</v>
      </c>
      <c r="M399" s="524">
        <v>6846</v>
      </c>
      <c r="N399" s="527">
        <v>8.9999999999999998E-4</v>
      </c>
      <c r="O399" s="524">
        <v>6.6</v>
      </c>
      <c r="P399" s="524">
        <v>0</v>
      </c>
    </row>
    <row r="400" spans="4:16">
      <c r="D400" s="470" t="s">
        <v>690</v>
      </c>
      <c r="E400" s="524" t="s">
        <v>701</v>
      </c>
      <c r="F400" s="525">
        <v>41324</v>
      </c>
      <c r="G400" s="521">
        <f t="shared" si="12"/>
        <v>2013</v>
      </c>
      <c r="H400" s="521">
        <f t="shared" si="13"/>
        <v>2</v>
      </c>
      <c r="I400" s="524">
        <v>19</v>
      </c>
      <c r="J400" s="524">
        <v>5.5220000000000002</v>
      </c>
      <c r="K400" s="524">
        <v>0</v>
      </c>
      <c r="L400" s="526">
        <v>4.5220000000000002</v>
      </c>
      <c r="M400" s="524">
        <v>6511</v>
      </c>
      <c r="N400" s="527">
        <v>8.0000000000000004E-4</v>
      </c>
      <c r="O400" s="524">
        <v>5.63</v>
      </c>
      <c r="P400" s="524">
        <v>0</v>
      </c>
    </row>
    <row r="401" spans="4:16">
      <c r="D401" s="470" t="s">
        <v>690</v>
      </c>
      <c r="E401" s="524" t="s">
        <v>701</v>
      </c>
      <c r="F401" s="525">
        <v>41337</v>
      </c>
      <c r="G401" s="521">
        <f t="shared" si="12"/>
        <v>2013</v>
      </c>
      <c r="H401" s="521">
        <f t="shared" si="13"/>
        <v>3</v>
      </c>
      <c r="I401" s="524">
        <v>19</v>
      </c>
      <c r="J401" s="524">
        <v>5.82</v>
      </c>
      <c r="K401" s="524">
        <v>0</v>
      </c>
      <c r="L401" s="526">
        <v>4.82</v>
      </c>
      <c r="M401" s="524">
        <v>6172</v>
      </c>
      <c r="N401" s="527">
        <v>8.9999999999999998E-4</v>
      </c>
      <c r="O401" s="524">
        <v>5.899</v>
      </c>
      <c r="P401" s="524">
        <v>0</v>
      </c>
    </row>
    <row r="402" spans="4:16">
      <c r="D402" s="470" t="s">
        <v>690</v>
      </c>
      <c r="E402" s="524" t="s">
        <v>701</v>
      </c>
      <c r="F402" s="525">
        <v>41382</v>
      </c>
      <c r="G402" s="521">
        <f t="shared" si="12"/>
        <v>2013</v>
      </c>
      <c r="H402" s="521">
        <f t="shared" si="13"/>
        <v>4</v>
      </c>
      <c r="I402" s="524">
        <v>12</v>
      </c>
      <c r="J402" s="524">
        <v>5.585</v>
      </c>
      <c r="K402" s="524">
        <v>0</v>
      </c>
      <c r="L402" s="526">
        <v>4.585</v>
      </c>
      <c r="M402" s="524">
        <v>5851</v>
      </c>
      <c r="N402" s="527">
        <v>1E-3</v>
      </c>
      <c r="O402" s="524">
        <v>5.641</v>
      </c>
      <c r="P402" s="524">
        <v>0</v>
      </c>
    </row>
    <row r="403" spans="4:16">
      <c r="D403" s="470" t="s">
        <v>690</v>
      </c>
      <c r="E403" s="524" t="s">
        <v>701</v>
      </c>
      <c r="F403" s="525">
        <v>41408</v>
      </c>
      <c r="G403" s="521">
        <f t="shared" si="12"/>
        <v>2013</v>
      </c>
      <c r="H403" s="521">
        <f t="shared" si="13"/>
        <v>5</v>
      </c>
      <c r="I403" s="524">
        <v>17</v>
      </c>
      <c r="J403" s="524">
        <v>6.6189999999999998</v>
      </c>
      <c r="K403" s="524">
        <v>0</v>
      </c>
      <c r="L403" s="526">
        <v>4.6189999999999998</v>
      </c>
      <c r="M403" s="524">
        <v>6516</v>
      </c>
      <c r="N403" s="527">
        <v>1E-3</v>
      </c>
      <c r="O403" s="524">
        <v>6.6959999999999997</v>
      </c>
      <c r="P403" s="524">
        <v>0</v>
      </c>
    </row>
    <row r="404" spans="4:16">
      <c r="D404" s="470" t="s">
        <v>690</v>
      </c>
      <c r="E404" s="524" t="s">
        <v>701</v>
      </c>
      <c r="F404" s="525">
        <v>41451</v>
      </c>
      <c r="G404" s="521">
        <f t="shared" si="12"/>
        <v>2013</v>
      </c>
      <c r="H404" s="521">
        <f t="shared" si="13"/>
        <v>6</v>
      </c>
      <c r="I404" s="524">
        <v>16</v>
      </c>
      <c r="J404" s="524">
        <v>9.9920000000000009</v>
      </c>
      <c r="K404" s="524">
        <v>0</v>
      </c>
      <c r="L404" s="526">
        <v>7.992</v>
      </c>
      <c r="M404" s="524">
        <v>8280</v>
      </c>
      <c r="N404" s="527">
        <v>1.1999999999999999E-3</v>
      </c>
      <c r="O404" s="524">
        <v>10.102</v>
      </c>
      <c r="P404" s="524">
        <v>0</v>
      </c>
    </row>
    <row r="405" spans="4:16">
      <c r="D405" s="470" t="s">
        <v>690</v>
      </c>
      <c r="E405" s="524" t="s">
        <v>701</v>
      </c>
      <c r="F405" s="525">
        <v>41473</v>
      </c>
      <c r="G405" s="521">
        <f t="shared" si="12"/>
        <v>2013</v>
      </c>
      <c r="H405" s="521">
        <f t="shared" si="13"/>
        <v>7</v>
      </c>
      <c r="I405" s="524">
        <v>17</v>
      </c>
      <c r="J405" s="524">
        <v>11.231</v>
      </c>
      <c r="K405" s="524">
        <v>0</v>
      </c>
      <c r="L405" s="526">
        <v>9.2309999999999999</v>
      </c>
      <c r="M405" s="524">
        <v>9566</v>
      </c>
      <c r="N405" s="527">
        <v>1.1999999999999999E-3</v>
      </c>
      <c r="O405" s="524">
        <v>11.36</v>
      </c>
      <c r="P405" s="524">
        <v>0</v>
      </c>
    </row>
    <row r="406" spans="4:16">
      <c r="D406" s="470" t="s">
        <v>690</v>
      </c>
      <c r="E406" s="524" t="s">
        <v>701</v>
      </c>
      <c r="F406" s="525">
        <v>41512</v>
      </c>
      <c r="G406" s="521">
        <f t="shared" si="12"/>
        <v>2013</v>
      </c>
      <c r="H406" s="521">
        <f t="shared" si="13"/>
        <v>8</v>
      </c>
      <c r="I406" s="524">
        <v>17</v>
      </c>
      <c r="J406" s="524">
        <v>11.321999999999999</v>
      </c>
      <c r="K406" s="524">
        <v>0</v>
      </c>
      <c r="L406" s="526">
        <v>9.3219999999999992</v>
      </c>
      <c r="M406" s="524">
        <v>9821</v>
      </c>
      <c r="N406" s="527">
        <v>1.1999999999999999E-3</v>
      </c>
      <c r="O406" s="524">
        <v>11.47</v>
      </c>
      <c r="P406" s="524">
        <v>0</v>
      </c>
    </row>
    <row r="407" spans="4:16">
      <c r="D407" s="470" t="s">
        <v>690</v>
      </c>
      <c r="E407" s="524" t="s">
        <v>701</v>
      </c>
      <c r="F407" s="525">
        <v>41526</v>
      </c>
      <c r="G407" s="521">
        <f t="shared" si="12"/>
        <v>2013</v>
      </c>
      <c r="H407" s="521">
        <f t="shared" si="13"/>
        <v>9</v>
      </c>
      <c r="I407" s="524">
        <v>17</v>
      </c>
      <c r="J407" s="524">
        <v>11.481999999999999</v>
      </c>
      <c r="K407" s="524">
        <v>0</v>
      </c>
      <c r="L407" s="526">
        <v>9.4819999999999993</v>
      </c>
      <c r="M407" s="524">
        <v>8781</v>
      </c>
      <c r="N407" s="527">
        <v>1.2999999999999999E-3</v>
      </c>
      <c r="O407" s="524">
        <v>11.605</v>
      </c>
      <c r="P407" s="524">
        <v>0</v>
      </c>
    </row>
    <row r="408" spans="4:16">
      <c r="D408" s="470" t="s">
        <v>690</v>
      </c>
      <c r="E408" s="524" t="s">
        <v>701</v>
      </c>
      <c r="F408" s="525">
        <v>41548</v>
      </c>
      <c r="G408" s="521">
        <f t="shared" si="12"/>
        <v>2013</v>
      </c>
      <c r="H408" s="521">
        <f t="shared" si="13"/>
        <v>10</v>
      </c>
      <c r="I408" s="524">
        <v>14</v>
      </c>
      <c r="J408" s="524">
        <v>7.5069999999999997</v>
      </c>
      <c r="K408" s="524">
        <v>0</v>
      </c>
      <c r="L408" s="526">
        <v>5.5069999999999997</v>
      </c>
      <c r="M408" s="524">
        <v>6214</v>
      </c>
      <c r="N408" s="527">
        <v>1.1999999999999999E-3</v>
      </c>
      <c r="O408" s="524">
        <v>7.593</v>
      </c>
      <c r="P408" s="524">
        <v>0</v>
      </c>
    </row>
    <row r="409" spans="4:16">
      <c r="D409" s="470" t="s">
        <v>690</v>
      </c>
      <c r="E409" s="524" t="s">
        <v>701</v>
      </c>
      <c r="F409" s="525">
        <v>41604</v>
      </c>
      <c r="G409" s="521">
        <f t="shared" si="12"/>
        <v>2013</v>
      </c>
      <c r="H409" s="521">
        <f t="shared" si="13"/>
        <v>11</v>
      </c>
      <c r="I409" s="524">
        <v>18</v>
      </c>
      <c r="J409" s="524">
        <v>6.8</v>
      </c>
      <c r="K409" s="524">
        <v>0</v>
      </c>
      <c r="L409" s="526">
        <v>5.8</v>
      </c>
      <c r="M409" s="524">
        <v>6372</v>
      </c>
      <c r="N409" s="527">
        <v>1.1000000000000001E-3</v>
      </c>
      <c r="O409" s="524">
        <v>6.875</v>
      </c>
      <c r="P409" s="524">
        <v>0</v>
      </c>
    </row>
    <row r="410" spans="4:16">
      <c r="D410" s="470" t="s">
        <v>690</v>
      </c>
      <c r="E410" s="524" t="s">
        <v>701</v>
      </c>
      <c r="F410" s="525">
        <v>41619</v>
      </c>
      <c r="G410" s="521">
        <f t="shared" si="12"/>
        <v>2013</v>
      </c>
      <c r="H410" s="521">
        <f t="shared" si="13"/>
        <v>12</v>
      </c>
      <c r="I410" s="524">
        <v>18</v>
      </c>
      <c r="J410" s="524">
        <v>7.125</v>
      </c>
      <c r="K410" s="524">
        <v>0</v>
      </c>
      <c r="L410" s="526">
        <v>6.125</v>
      </c>
      <c r="M410" s="524">
        <v>6972</v>
      </c>
      <c r="N410" s="527">
        <v>1E-3</v>
      </c>
      <c r="O410" s="524">
        <v>7.2370000000000001</v>
      </c>
      <c r="P410" s="524">
        <v>0</v>
      </c>
    </row>
    <row r="411" spans="4:16">
      <c r="D411" s="470" t="s">
        <v>690</v>
      </c>
      <c r="E411" s="470" t="s">
        <v>701</v>
      </c>
      <c r="F411" s="520">
        <v>41645</v>
      </c>
      <c r="G411" s="521">
        <f t="shared" si="12"/>
        <v>2014</v>
      </c>
      <c r="H411" s="521">
        <f t="shared" si="13"/>
        <v>1</v>
      </c>
      <c r="I411" s="470">
        <v>18</v>
      </c>
      <c r="J411" s="470">
        <v>6.2220000000000004</v>
      </c>
      <c r="K411" s="470">
        <v>0</v>
      </c>
      <c r="L411" s="522">
        <v>6.2220000000000004</v>
      </c>
      <c r="M411" s="523">
        <v>7188</v>
      </c>
      <c r="N411" s="470">
        <v>8.6999999999999994E-2</v>
      </c>
      <c r="O411" s="470">
        <v>6.3140000000000001</v>
      </c>
      <c r="P411" s="470">
        <v>0</v>
      </c>
    </row>
    <row r="412" spans="4:16">
      <c r="D412" s="470" t="s">
        <v>690</v>
      </c>
      <c r="E412" s="470" t="s">
        <v>701</v>
      </c>
      <c r="F412" s="520">
        <v>41676</v>
      </c>
      <c r="G412" s="521">
        <f t="shared" si="12"/>
        <v>2014</v>
      </c>
      <c r="H412" s="521">
        <f t="shared" si="13"/>
        <v>2</v>
      </c>
      <c r="I412" s="470">
        <v>19</v>
      </c>
      <c r="J412" s="470">
        <v>5.8620000000000001</v>
      </c>
      <c r="K412" s="470">
        <v>0</v>
      </c>
      <c r="L412" s="522">
        <v>5.8620000000000001</v>
      </c>
      <c r="M412" s="523">
        <v>6743</v>
      </c>
      <c r="N412" s="470">
        <v>8.6999999999999994E-2</v>
      </c>
      <c r="O412" s="470">
        <v>5.9409999999999998</v>
      </c>
      <c r="P412" s="470">
        <v>0</v>
      </c>
    </row>
    <row r="413" spans="4:16">
      <c r="D413" s="470" t="s">
        <v>690</v>
      </c>
      <c r="E413" s="470" t="s">
        <v>701</v>
      </c>
      <c r="F413" s="520">
        <v>41701</v>
      </c>
      <c r="G413" s="521">
        <f t="shared" si="12"/>
        <v>2014</v>
      </c>
      <c r="H413" s="521">
        <f t="shared" si="13"/>
        <v>3</v>
      </c>
      <c r="I413" s="470">
        <v>19</v>
      </c>
      <c r="J413" s="470">
        <v>5.64</v>
      </c>
      <c r="K413" s="470">
        <v>0</v>
      </c>
      <c r="L413" s="522">
        <v>5.64</v>
      </c>
      <c r="M413" s="523">
        <v>6537</v>
      </c>
      <c r="N413" s="470">
        <v>8.5999999999999993E-2</v>
      </c>
      <c r="O413" s="470">
        <v>5.6859999999999999</v>
      </c>
      <c r="P413" s="470">
        <v>0</v>
      </c>
    </row>
    <row r="414" spans="4:16">
      <c r="D414" s="470" t="s">
        <v>690</v>
      </c>
      <c r="E414" s="470" t="s">
        <v>701</v>
      </c>
      <c r="F414" s="520">
        <v>41730</v>
      </c>
      <c r="G414" s="521">
        <f t="shared" si="12"/>
        <v>2014</v>
      </c>
      <c r="H414" s="521">
        <f t="shared" si="13"/>
        <v>4</v>
      </c>
      <c r="I414" s="470">
        <v>11</v>
      </c>
      <c r="J414" s="470">
        <v>6.1459999999999999</v>
      </c>
      <c r="K414" s="470">
        <v>0</v>
      </c>
      <c r="L414" s="522">
        <v>6.1459999999999999</v>
      </c>
      <c r="M414" s="523">
        <v>5924</v>
      </c>
      <c r="N414" s="470">
        <v>0.104</v>
      </c>
      <c r="O414" s="470">
        <v>6.1719999999999997</v>
      </c>
      <c r="P414" s="470">
        <v>0</v>
      </c>
    </row>
    <row r="415" spans="4:16">
      <c r="D415" s="470" t="s">
        <v>690</v>
      </c>
      <c r="E415" s="470" t="s">
        <v>701</v>
      </c>
      <c r="F415" s="520">
        <v>41789</v>
      </c>
      <c r="G415" s="521">
        <f t="shared" si="12"/>
        <v>2014</v>
      </c>
      <c r="H415" s="521">
        <f t="shared" si="13"/>
        <v>5</v>
      </c>
      <c r="I415" s="470">
        <v>16</v>
      </c>
      <c r="J415" s="470">
        <v>6.7779999999999996</v>
      </c>
      <c r="K415" s="470">
        <v>0</v>
      </c>
      <c r="L415" s="522">
        <v>6.7779999999999996</v>
      </c>
      <c r="M415" s="523">
        <v>7422</v>
      </c>
      <c r="N415" s="470">
        <v>9.0999999999999998E-2</v>
      </c>
      <c r="O415" s="470">
        <v>6.8579999999999997</v>
      </c>
      <c r="P415" s="470">
        <v>0</v>
      </c>
    </row>
    <row r="416" spans="4:16">
      <c r="D416" s="470" t="s">
        <v>690</v>
      </c>
      <c r="E416" s="470" t="s">
        <v>701</v>
      </c>
      <c r="F416" s="520">
        <v>41814</v>
      </c>
      <c r="G416" s="521">
        <f t="shared" si="12"/>
        <v>2014</v>
      </c>
      <c r="H416" s="521">
        <f t="shared" si="13"/>
        <v>6</v>
      </c>
      <c r="I416" s="470">
        <v>16</v>
      </c>
      <c r="J416" s="470">
        <v>8.9339999999999993</v>
      </c>
      <c r="K416" s="470">
        <v>0</v>
      </c>
      <c r="L416" s="522">
        <v>8.9339999999999993</v>
      </c>
      <c r="M416" s="523">
        <v>7670</v>
      </c>
      <c r="N416" s="470">
        <v>0.11600000000000001</v>
      </c>
      <c r="O416" s="470">
        <v>9.0039999999999996</v>
      </c>
      <c r="P416" s="470">
        <v>0</v>
      </c>
    </row>
    <row r="417" spans="4:16">
      <c r="D417" s="470" t="s">
        <v>690</v>
      </c>
      <c r="E417" s="470" t="s">
        <v>701</v>
      </c>
      <c r="F417" s="520">
        <v>41841</v>
      </c>
      <c r="G417" s="521">
        <f t="shared" si="12"/>
        <v>2014</v>
      </c>
      <c r="H417" s="521">
        <f t="shared" si="13"/>
        <v>7</v>
      </c>
      <c r="I417" s="470">
        <v>17</v>
      </c>
      <c r="J417" s="470">
        <v>10.343</v>
      </c>
      <c r="K417" s="470">
        <v>0</v>
      </c>
      <c r="L417" s="522">
        <v>10.343</v>
      </c>
      <c r="M417" s="523">
        <v>9150</v>
      </c>
      <c r="N417" s="470">
        <v>0.113</v>
      </c>
      <c r="O417" s="470">
        <v>10.451000000000001</v>
      </c>
      <c r="P417" s="470">
        <v>0</v>
      </c>
    </row>
    <row r="418" spans="4:16">
      <c r="D418" s="470" t="s">
        <v>690</v>
      </c>
      <c r="E418" s="470" t="s">
        <v>701</v>
      </c>
      <c r="F418" s="520">
        <v>41869</v>
      </c>
      <c r="G418" s="521">
        <f t="shared" si="12"/>
        <v>2014</v>
      </c>
      <c r="H418" s="521">
        <f t="shared" si="13"/>
        <v>8</v>
      </c>
      <c r="I418" s="470">
        <v>16</v>
      </c>
      <c r="J418" s="470">
        <v>10.327</v>
      </c>
      <c r="K418" s="470">
        <v>0</v>
      </c>
      <c r="L418" s="522">
        <v>10.327</v>
      </c>
      <c r="M418" s="523">
        <v>8190</v>
      </c>
      <c r="N418" s="470">
        <v>0.126</v>
      </c>
      <c r="O418" s="470">
        <v>10.413</v>
      </c>
      <c r="P418" s="470">
        <v>0</v>
      </c>
    </row>
    <row r="419" spans="4:16">
      <c r="D419" s="470" t="s">
        <v>690</v>
      </c>
      <c r="E419" s="470" t="s">
        <v>701</v>
      </c>
      <c r="F419" s="520">
        <v>41886</v>
      </c>
      <c r="G419" s="521">
        <f t="shared" si="12"/>
        <v>2014</v>
      </c>
      <c r="H419" s="521">
        <f t="shared" si="13"/>
        <v>9</v>
      </c>
      <c r="I419" s="470">
        <v>15</v>
      </c>
      <c r="J419" s="470">
        <v>10.095000000000001</v>
      </c>
      <c r="K419" s="470">
        <v>0</v>
      </c>
      <c r="L419" s="522">
        <v>10.095000000000001</v>
      </c>
      <c r="M419" s="523">
        <v>7758</v>
      </c>
      <c r="N419" s="470">
        <v>0.13</v>
      </c>
      <c r="O419" s="470">
        <v>10.257999999999999</v>
      </c>
      <c r="P419" s="470">
        <v>0</v>
      </c>
    </row>
    <row r="420" spans="4:16">
      <c r="D420" s="470" t="s">
        <v>690</v>
      </c>
      <c r="E420" s="470" t="s">
        <v>701</v>
      </c>
      <c r="F420" s="520">
        <v>41942</v>
      </c>
      <c r="G420" s="521">
        <f t="shared" si="12"/>
        <v>2014</v>
      </c>
      <c r="H420" s="521">
        <f t="shared" si="13"/>
        <v>10</v>
      </c>
      <c r="I420" s="470">
        <v>20</v>
      </c>
      <c r="J420" s="470">
        <v>6.8259999999999996</v>
      </c>
      <c r="K420" s="470">
        <v>0</v>
      </c>
      <c r="L420" s="522">
        <v>6.8259999999999996</v>
      </c>
      <c r="M420" s="523">
        <v>5901</v>
      </c>
      <c r="N420" s="470">
        <v>0.11600000000000001</v>
      </c>
      <c r="O420" s="470">
        <v>6.8730000000000002</v>
      </c>
      <c r="P420" s="470">
        <v>0</v>
      </c>
    </row>
    <row r="421" spans="4:16">
      <c r="D421" s="470" t="s">
        <v>690</v>
      </c>
      <c r="E421" s="470" t="s">
        <v>701</v>
      </c>
      <c r="F421" s="520">
        <v>41960</v>
      </c>
      <c r="G421" s="521">
        <f t="shared" si="12"/>
        <v>2014</v>
      </c>
      <c r="H421" s="521">
        <f t="shared" si="13"/>
        <v>11</v>
      </c>
      <c r="I421" s="470">
        <v>18</v>
      </c>
      <c r="J421" s="470">
        <v>6.1820000000000004</v>
      </c>
      <c r="K421" s="470">
        <v>0</v>
      </c>
      <c r="L421" s="522">
        <v>6.1820000000000004</v>
      </c>
      <c r="M421" s="523">
        <v>6677</v>
      </c>
      <c r="N421" s="470">
        <v>9.2999999999999999E-2</v>
      </c>
      <c r="O421" s="470">
        <v>6.2309999999999999</v>
      </c>
      <c r="P421" s="470">
        <v>0</v>
      </c>
    </row>
    <row r="422" spans="4:16">
      <c r="D422" s="470" t="s">
        <v>690</v>
      </c>
      <c r="E422" s="470" t="s">
        <v>701</v>
      </c>
      <c r="F422" s="520">
        <v>41974</v>
      </c>
      <c r="G422" s="521">
        <f t="shared" si="12"/>
        <v>2014</v>
      </c>
      <c r="H422" s="521">
        <f t="shared" si="13"/>
        <v>12</v>
      </c>
      <c r="I422" s="470">
        <v>18</v>
      </c>
      <c r="J422" s="470">
        <v>6.5830000000000002</v>
      </c>
      <c r="K422" s="470">
        <v>0</v>
      </c>
      <c r="L422" s="522">
        <v>6.5830000000000002</v>
      </c>
      <c r="M422" s="523">
        <v>6850</v>
      </c>
      <c r="N422" s="470">
        <v>9.6000000000000002E-2</v>
      </c>
      <c r="O422" s="470">
        <v>6.63</v>
      </c>
      <c r="P422" s="470">
        <v>0</v>
      </c>
    </row>
    <row r="423" spans="4:16">
      <c r="D423" s="470" t="s">
        <v>690</v>
      </c>
      <c r="E423" s="470" t="s">
        <v>701</v>
      </c>
      <c r="F423" s="520">
        <v>42011</v>
      </c>
      <c r="G423" s="521">
        <f t="shared" si="12"/>
        <v>2015</v>
      </c>
      <c r="H423" s="521">
        <f t="shared" si="13"/>
        <v>1</v>
      </c>
      <c r="I423" s="470">
        <v>18</v>
      </c>
      <c r="J423" s="470">
        <v>6.7270000000000003</v>
      </c>
      <c r="K423" s="470">
        <v>0</v>
      </c>
      <c r="L423" s="522">
        <v>6.7270000000000003</v>
      </c>
      <c r="M423" s="523">
        <v>6978</v>
      </c>
      <c r="N423" s="470">
        <v>9.6000000000000002E-2</v>
      </c>
      <c r="O423" s="470">
        <v>6.8890000000000002</v>
      </c>
      <c r="P423" s="470">
        <v>0</v>
      </c>
    </row>
    <row r="424" spans="4:16">
      <c r="D424" s="470" t="s">
        <v>690</v>
      </c>
      <c r="E424" s="470" t="s">
        <v>701</v>
      </c>
      <c r="F424" s="520">
        <v>42053</v>
      </c>
      <c r="G424" s="521">
        <f t="shared" si="12"/>
        <v>2015</v>
      </c>
      <c r="H424" s="521">
        <f t="shared" si="13"/>
        <v>2</v>
      </c>
      <c r="I424" s="470">
        <v>19</v>
      </c>
      <c r="J424" s="470">
        <v>6.399</v>
      </c>
      <c r="K424" s="470">
        <v>0</v>
      </c>
      <c r="L424" s="522">
        <v>6.399</v>
      </c>
      <c r="M424" s="523">
        <v>6744</v>
      </c>
      <c r="N424" s="470">
        <v>9.5000000000000001E-2</v>
      </c>
      <c r="O424" s="470">
        <v>6.4720000000000004</v>
      </c>
      <c r="P424" s="470">
        <v>0</v>
      </c>
    </row>
    <row r="425" spans="4:16">
      <c r="D425" s="470" t="s">
        <v>690</v>
      </c>
      <c r="E425" s="470" t="s">
        <v>701</v>
      </c>
      <c r="F425" s="520">
        <v>42067</v>
      </c>
      <c r="G425" s="521">
        <f t="shared" si="12"/>
        <v>2015</v>
      </c>
      <c r="H425" s="521">
        <f t="shared" si="13"/>
        <v>3</v>
      </c>
      <c r="I425" s="470">
        <v>20</v>
      </c>
      <c r="J425" s="470">
        <v>5.7480000000000002</v>
      </c>
      <c r="K425" s="470">
        <v>0</v>
      </c>
      <c r="L425" s="522">
        <v>5.7480000000000002</v>
      </c>
      <c r="M425" s="523">
        <v>6470</v>
      </c>
      <c r="N425" s="470">
        <v>8.8999999999999996E-2</v>
      </c>
      <c r="O425" s="470">
        <v>5.8209999999999997</v>
      </c>
      <c r="P425" s="470">
        <v>0</v>
      </c>
    </row>
    <row r="426" spans="4:16">
      <c r="D426" s="470" t="s">
        <v>690</v>
      </c>
      <c r="E426" s="470" t="s">
        <v>701</v>
      </c>
      <c r="F426" s="520">
        <v>42103</v>
      </c>
      <c r="G426" s="521">
        <f t="shared" si="12"/>
        <v>2015</v>
      </c>
      <c r="H426" s="521">
        <f t="shared" si="13"/>
        <v>4</v>
      </c>
      <c r="I426" s="470">
        <v>12</v>
      </c>
      <c r="J426" s="470">
        <v>5.91</v>
      </c>
      <c r="K426" s="470">
        <v>0</v>
      </c>
      <c r="L426" s="522">
        <v>5.91</v>
      </c>
      <c r="M426" s="523">
        <v>5914</v>
      </c>
      <c r="N426" s="470">
        <v>0.1</v>
      </c>
      <c r="O426" s="470">
        <v>5.96</v>
      </c>
      <c r="P426" s="470">
        <v>0</v>
      </c>
    </row>
    <row r="427" spans="4:16">
      <c r="D427" s="470" t="s">
        <v>690</v>
      </c>
      <c r="E427" s="470" t="s">
        <v>701</v>
      </c>
      <c r="F427" s="520">
        <v>42152</v>
      </c>
      <c r="G427" s="521">
        <f t="shared" si="12"/>
        <v>2015</v>
      </c>
      <c r="H427" s="521">
        <f t="shared" si="13"/>
        <v>5</v>
      </c>
      <c r="I427" s="470">
        <v>16</v>
      </c>
      <c r="J427" s="470">
        <v>6.3769999999999998</v>
      </c>
      <c r="K427" s="470">
        <v>0</v>
      </c>
      <c r="L427" s="522">
        <v>6.3769999999999998</v>
      </c>
      <c r="M427" s="523">
        <v>6837</v>
      </c>
      <c r="N427" s="470">
        <v>9.2999999999999999E-2</v>
      </c>
      <c r="O427" s="470">
        <v>6.4219999999999997</v>
      </c>
      <c r="P427" s="470">
        <v>0</v>
      </c>
    </row>
    <row r="428" spans="4:16">
      <c r="D428" s="470" t="s">
        <v>690</v>
      </c>
      <c r="E428" s="470" t="s">
        <v>701</v>
      </c>
      <c r="F428" s="520">
        <v>42164</v>
      </c>
      <c r="G428" s="521">
        <f t="shared" si="12"/>
        <v>2015</v>
      </c>
      <c r="H428" s="521">
        <f t="shared" si="13"/>
        <v>6</v>
      </c>
      <c r="I428" s="470">
        <v>17</v>
      </c>
      <c r="J428" s="470">
        <v>8.7420000000000009</v>
      </c>
      <c r="K428" s="470">
        <v>0</v>
      </c>
      <c r="L428" s="522">
        <v>8.7420000000000009</v>
      </c>
      <c r="M428" s="523">
        <v>8136</v>
      </c>
      <c r="N428" s="470">
        <v>0.107</v>
      </c>
      <c r="O428" s="470">
        <v>8.8279999999999994</v>
      </c>
      <c r="P428" s="470">
        <v>0</v>
      </c>
    </row>
    <row r="429" spans="4:16">
      <c r="D429" s="470" t="s">
        <v>690</v>
      </c>
      <c r="E429" s="470" t="s">
        <v>701</v>
      </c>
      <c r="F429" s="520">
        <v>42212</v>
      </c>
      <c r="G429" s="521">
        <f t="shared" si="12"/>
        <v>2015</v>
      </c>
      <c r="H429" s="521">
        <f t="shared" si="13"/>
        <v>7</v>
      </c>
      <c r="I429" s="470">
        <v>17</v>
      </c>
      <c r="J429" s="470">
        <v>10.702</v>
      </c>
      <c r="K429" s="470">
        <v>0</v>
      </c>
      <c r="L429" s="522">
        <v>10.702</v>
      </c>
      <c r="M429" s="523">
        <v>8769</v>
      </c>
      <c r="N429" s="470">
        <v>0.122</v>
      </c>
      <c r="O429" s="470">
        <v>10.808999999999999</v>
      </c>
      <c r="P429" s="470">
        <v>0</v>
      </c>
    </row>
    <row r="430" spans="4:16">
      <c r="D430" s="470" t="s">
        <v>690</v>
      </c>
      <c r="E430" s="470" t="s">
        <v>701</v>
      </c>
      <c r="F430" s="520">
        <v>42230</v>
      </c>
      <c r="G430" s="521">
        <f t="shared" si="12"/>
        <v>2015</v>
      </c>
      <c r="H430" s="521">
        <f t="shared" si="13"/>
        <v>8</v>
      </c>
      <c r="I430" s="470">
        <v>16</v>
      </c>
      <c r="J430" s="470">
        <v>10.050000000000001</v>
      </c>
      <c r="K430" s="470">
        <v>0</v>
      </c>
      <c r="L430" s="522">
        <v>10.050000000000001</v>
      </c>
      <c r="M430" s="523">
        <v>8926</v>
      </c>
      <c r="N430" s="470">
        <v>0.113</v>
      </c>
      <c r="O430" s="470">
        <v>10.141999999999999</v>
      </c>
      <c r="P430" s="470">
        <v>0</v>
      </c>
    </row>
    <row r="431" spans="4:16">
      <c r="D431" s="470" t="s">
        <v>690</v>
      </c>
      <c r="E431" s="470" t="s">
        <v>701</v>
      </c>
      <c r="F431" s="520">
        <v>42250</v>
      </c>
      <c r="G431" s="521">
        <f t="shared" si="12"/>
        <v>2015</v>
      </c>
      <c r="H431" s="521">
        <f t="shared" si="13"/>
        <v>9</v>
      </c>
      <c r="I431" s="470">
        <v>17</v>
      </c>
      <c r="J431" s="470">
        <v>11.39</v>
      </c>
      <c r="K431" s="470">
        <v>0</v>
      </c>
      <c r="L431" s="522">
        <v>11.39</v>
      </c>
      <c r="M431" s="523">
        <v>8657</v>
      </c>
      <c r="N431" s="470">
        <v>0.13200000000000001</v>
      </c>
      <c r="O431" s="470">
        <v>11.491</v>
      </c>
      <c r="P431" s="470">
        <v>0</v>
      </c>
    </row>
    <row r="432" spans="4:16">
      <c r="D432" s="470" t="s">
        <v>690</v>
      </c>
      <c r="E432" s="470" t="s">
        <v>701</v>
      </c>
      <c r="F432" s="520">
        <v>42285</v>
      </c>
      <c r="G432" s="521">
        <f t="shared" si="12"/>
        <v>2015</v>
      </c>
      <c r="H432" s="521">
        <f t="shared" si="13"/>
        <v>10</v>
      </c>
      <c r="I432" s="470">
        <v>12</v>
      </c>
      <c r="J432" s="470">
        <v>7.4370000000000003</v>
      </c>
      <c r="K432" s="470">
        <v>0</v>
      </c>
      <c r="L432" s="522">
        <v>7.4370000000000003</v>
      </c>
      <c r="M432" s="523">
        <v>5943</v>
      </c>
      <c r="N432" s="470">
        <v>0.125</v>
      </c>
      <c r="O432" s="470">
        <v>7.5</v>
      </c>
      <c r="P432" s="470">
        <v>0</v>
      </c>
    </row>
    <row r="433" spans="4:16">
      <c r="D433" s="470" t="s">
        <v>690</v>
      </c>
      <c r="E433" s="470" t="s">
        <v>701</v>
      </c>
      <c r="F433" s="520">
        <v>42338</v>
      </c>
      <c r="G433" s="521">
        <f t="shared" si="12"/>
        <v>2015</v>
      </c>
      <c r="H433" s="521">
        <f t="shared" si="13"/>
        <v>11</v>
      </c>
      <c r="I433" s="470">
        <v>18</v>
      </c>
      <c r="J433" s="470">
        <v>6.0830000000000002</v>
      </c>
      <c r="K433" s="470">
        <v>0</v>
      </c>
      <c r="L433" s="522">
        <v>6.0830000000000002</v>
      </c>
      <c r="M433" s="523">
        <v>6574</v>
      </c>
      <c r="N433" s="470">
        <v>9.2999999999999999E-2</v>
      </c>
      <c r="O433" s="470">
        <v>6.125</v>
      </c>
      <c r="P433" s="470">
        <v>0</v>
      </c>
    </row>
    <row r="434" spans="4:16">
      <c r="D434" s="470" t="s">
        <v>690</v>
      </c>
      <c r="E434" s="470" t="s">
        <v>701</v>
      </c>
      <c r="F434" s="520">
        <v>42355</v>
      </c>
      <c r="G434" s="521">
        <f t="shared" si="12"/>
        <v>2015</v>
      </c>
      <c r="H434" s="521">
        <f t="shared" si="13"/>
        <v>12</v>
      </c>
      <c r="I434" s="470">
        <v>18</v>
      </c>
      <c r="J434" s="470">
        <v>6.4089999999999998</v>
      </c>
      <c r="K434" s="470">
        <v>0</v>
      </c>
      <c r="L434" s="522">
        <v>6.4089999999999998</v>
      </c>
      <c r="M434" s="523">
        <v>6450</v>
      </c>
      <c r="N434" s="470">
        <v>9.9000000000000005E-2</v>
      </c>
      <c r="O434" s="470">
        <v>6.4470000000000001</v>
      </c>
      <c r="P434" s="470">
        <v>0</v>
      </c>
    </row>
    <row r="435" spans="4:16">
      <c r="D435" s="470" t="s">
        <v>699</v>
      </c>
      <c r="E435" s="524" t="s">
        <v>700</v>
      </c>
      <c r="F435" s="525">
        <v>40927</v>
      </c>
      <c r="G435" s="521">
        <f t="shared" si="12"/>
        <v>2012</v>
      </c>
      <c r="H435" s="521">
        <f t="shared" si="13"/>
        <v>1</v>
      </c>
      <c r="I435" s="524">
        <v>19</v>
      </c>
      <c r="J435" s="524">
        <v>3.6920000000000002</v>
      </c>
      <c r="K435" s="524">
        <v>0</v>
      </c>
      <c r="L435" s="526">
        <v>3.6920000000000002</v>
      </c>
      <c r="M435" s="524">
        <v>0</v>
      </c>
      <c r="N435" s="527">
        <v>0</v>
      </c>
      <c r="O435" s="524">
        <v>3.7120000000000002</v>
      </c>
      <c r="P435" s="524">
        <v>0</v>
      </c>
    </row>
    <row r="436" spans="4:16">
      <c r="D436" s="470" t="s">
        <v>699</v>
      </c>
      <c r="E436" s="524" t="s">
        <v>700</v>
      </c>
      <c r="F436" s="525">
        <v>40952</v>
      </c>
      <c r="G436" s="521">
        <f t="shared" si="12"/>
        <v>2012</v>
      </c>
      <c r="H436" s="521">
        <f t="shared" si="13"/>
        <v>2</v>
      </c>
      <c r="I436" s="524">
        <v>19</v>
      </c>
      <c r="J436" s="524">
        <v>3.6349999999999998</v>
      </c>
      <c r="K436" s="524">
        <v>0</v>
      </c>
      <c r="L436" s="526">
        <v>3.6349999999999998</v>
      </c>
      <c r="M436" s="524">
        <v>0</v>
      </c>
      <c r="N436" s="527">
        <v>0</v>
      </c>
      <c r="O436" s="524">
        <v>3.6560000000000001</v>
      </c>
      <c r="P436" s="524">
        <v>0</v>
      </c>
    </row>
    <row r="437" spans="4:16">
      <c r="D437" s="470" t="s">
        <v>699</v>
      </c>
      <c r="E437" s="524" t="s">
        <v>700</v>
      </c>
      <c r="F437" s="525">
        <v>40973</v>
      </c>
      <c r="G437" s="521">
        <f t="shared" si="12"/>
        <v>2012</v>
      </c>
      <c r="H437" s="521">
        <f t="shared" si="13"/>
        <v>3</v>
      </c>
      <c r="I437" s="524">
        <v>8</v>
      </c>
      <c r="J437" s="524">
        <v>3.4940000000000002</v>
      </c>
      <c r="K437" s="524">
        <v>0</v>
      </c>
      <c r="L437" s="526">
        <v>3.4940000000000002</v>
      </c>
      <c r="M437" s="524">
        <v>0</v>
      </c>
      <c r="N437" s="527">
        <v>0</v>
      </c>
      <c r="O437" s="524">
        <v>3.5209999999999999</v>
      </c>
      <c r="P437" s="524">
        <v>0</v>
      </c>
    </row>
    <row r="438" spans="4:16">
      <c r="D438" s="470" t="s">
        <v>699</v>
      </c>
      <c r="E438" s="524" t="s">
        <v>700</v>
      </c>
      <c r="F438" s="525">
        <v>41001</v>
      </c>
      <c r="G438" s="521">
        <f t="shared" si="12"/>
        <v>2012</v>
      </c>
      <c r="H438" s="521">
        <f t="shared" si="13"/>
        <v>4</v>
      </c>
      <c r="I438" s="524">
        <v>21</v>
      </c>
      <c r="J438" s="524">
        <v>2.4409999999999998</v>
      </c>
      <c r="K438" s="524">
        <v>0</v>
      </c>
      <c r="L438" s="526">
        <v>2.4409999999999998</v>
      </c>
      <c r="M438" s="524">
        <v>0</v>
      </c>
      <c r="N438" s="527">
        <v>0</v>
      </c>
      <c r="O438" s="524">
        <v>2.46</v>
      </c>
      <c r="P438" s="524">
        <v>0</v>
      </c>
    </row>
    <row r="439" spans="4:16">
      <c r="D439" s="470" t="s">
        <v>699</v>
      </c>
      <c r="E439" s="524" t="s">
        <v>700</v>
      </c>
      <c r="F439" s="525">
        <v>41053</v>
      </c>
      <c r="G439" s="521">
        <f t="shared" si="12"/>
        <v>2012</v>
      </c>
      <c r="H439" s="521">
        <f t="shared" si="13"/>
        <v>5</v>
      </c>
      <c r="I439" s="524">
        <v>14</v>
      </c>
      <c r="J439" s="524">
        <v>2.1840000000000002</v>
      </c>
      <c r="K439" s="524">
        <v>0</v>
      </c>
      <c r="L439" s="526">
        <v>2.1840000000000002</v>
      </c>
      <c r="M439" s="524">
        <v>0</v>
      </c>
      <c r="N439" s="527">
        <v>0</v>
      </c>
      <c r="O439" s="524">
        <v>2.2040000000000002</v>
      </c>
      <c r="P439" s="524">
        <v>0</v>
      </c>
    </row>
    <row r="440" spans="4:16">
      <c r="D440" s="470" t="s">
        <v>699</v>
      </c>
      <c r="E440" s="524" t="s">
        <v>700</v>
      </c>
      <c r="F440" s="525">
        <v>41087</v>
      </c>
      <c r="G440" s="521">
        <f t="shared" si="12"/>
        <v>2012</v>
      </c>
      <c r="H440" s="521">
        <f t="shared" si="13"/>
        <v>6</v>
      </c>
      <c r="I440" s="524">
        <v>17</v>
      </c>
      <c r="J440" s="524">
        <v>4.0720000000000001</v>
      </c>
      <c r="K440" s="524">
        <v>0</v>
      </c>
      <c r="L440" s="526">
        <v>4.0720000000000001</v>
      </c>
      <c r="M440" s="524">
        <v>0</v>
      </c>
      <c r="N440" s="527">
        <v>0</v>
      </c>
      <c r="O440" s="524">
        <v>4.0949999999999998</v>
      </c>
      <c r="P440" s="524">
        <v>0</v>
      </c>
    </row>
    <row r="441" spans="4:16">
      <c r="D441" s="470" t="s">
        <v>699</v>
      </c>
      <c r="E441" s="524" t="s">
        <v>700</v>
      </c>
      <c r="F441" s="525">
        <v>41115</v>
      </c>
      <c r="G441" s="521">
        <f t="shared" si="12"/>
        <v>2012</v>
      </c>
      <c r="H441" s="521">
        <f t="shared" si="13"/>
        <v>7</v>
      </c>
      <c r="I441" s="524">
        <v>17</v>
      </c>
      <c r="J441" s="524">
        <v>4.2</v>
      </c>
      <c r="K441" s="524">
        <v>0</v>
      </c>
      <c r="L441" s="526">
        <v>4.2</v>
      </c>
      <c r="M441" s="524">
        <v>0</v>
      </c>
      <c r="N441" s="527">
        <v>0</v>
      </c>
      <c r="O441" s="524">
        <v>4.2149999999999999</v>
      </c>
      <c r="P441" s="524">
        <v>0</v>
      </c>
    </row>
    <row r="442" spans="4:16">
      <c r="D442" s="470" t="s">
        <v>699</v>
      </c>
      <c r="E442" s="524" t="s">
        <v>700</v>
      </c>
      <c r="F442" s="525">
        <v>41124</v>
      </c>
      <c r="G442" s="521">
        <f t="shared" si="12"/>
        <v>2012</v>
      </c>
      <c r="H442" s="521">
        <f t="shared" si="13"/>
        <v>8</v>
      </c>
      <c r="I442" s="524">
        <v>17</v>
      </c>
      <c r="J442" s="524">
        <v>4.0919999999999996</v>
      </c>
      <c r="K442" s="524">
        <v>0</v>
      </c>
      <c r="L442" s="526">
        <v>4.0919999999999996</v>
      </c>
      <c r="M442" s="524">
        <v>0</v>
      </c>
      <c r="N442" s="527">
        <v>0</v>
      </c>
      <c r="O442" s="524">
        <v>4.1159999999999997</v>
      </c>
      <c r="P442" s="524">
        <v>0</v>
      </c>
    </row>
    <row r="443" spans="4:16">
      <c r="D443" s="470" t="s">
        <v>699</v>
      </c>
      <c r="E443" s="524" t="s">
        <v>700</v>
      </c>
      <c r="F443" s="525">
        <v>41156</v>
      </c>
      <c r="G443" s="521">
        <f t="shared" si="12"/>
        <v>2012</v>
      </c>
      <c r="H443" s="521">
        <f t="shared" si="13"/>
        <v>9</v>
      </c>
      <c r="I443" s="524">
        <v>17</v>
      </c>
      <c r="J443" s="524">
        <v>4.0730000000000004</v>
      </c>
      <c r="K443" s="524">
        <v>0</v>
      </c>
      <c r="L443" s="526">
        <v>4.0730000000000004</v>
      </c>
      <c r="M443" s="524">
        <v>0</v>
      </c>
      <c r="N443" s="527">
        <v>0</v>
      </c>
      <c r="O443" s="524">
        <v>4.1029999999999998</v>
      </c>
      <c r="P443" s="524">
        <v>0</v>
      </c>
    </row>
    <row r="444" spans="4:16">
      <c r="D444" s="470" t="s">
        <v>699</v>
      </c>
      <c r="E444" s="524" t="s">
        <v>700</v>
      </c>
      <c r="F444" s="525">
        <v>41211</v>
      </c>
      <c r="G444" s="521">
        <f t="shared" si="12"/>
        <v>2012</v>
      </c>
      <c r="H444" s="521">
        <f t="shared" si="13"/>
        <v>10</v>
      </c>
      <c r="I444" s="524">
        <v>8</v>
      </c>
      <c r="J444" s="524">
        <v>2.4820000000000002</v>
      </c>
      <c r="K444" s="524">
        <v>0</v>
      </c>
      <c r="L444" s="526">
        <v>2.4820000000000002</v>
      </c>
      <c r="M444" s="524">
        <v>0</v>
      </c>
      <c r="N444" s="527">
        <v>0</v>
      </c>
      <c r="O444" s="524">
        <v>2.4980000000000002</v>
      </c>
      <c r="P444" s="524">
        <v>0</v>
      </c>
    </row>
    <row r="445" spans="4:16">
      <c r="D445" s="470" t="s">
        <v>699</v>
      </c>
      <c r="E445" s="524" t="s">
        <v>700</v>
      </c>
      <c r="F445" s="525">
        <v>41225</v>
      </c>
      <c r="G445" s="521">
        <f t="shared" si="12"/>
        <v>2012</v>
      </c>
      <c r="H445" s="521">
        <f t="shared" si="13"/>
        <v>11</v>
      </c>
      <c r="I445" s="524">
        <v>18</v>
      </c>
      <c r="J445" s="524">
        <v>3.12</v>
      </c>
      <c r="K445" s="524">
        <v>0</v>
      </c>
      <c r="L445" s="526">
        <v>3.12</v>
      </c>
      <c r="M445" s="524">
        <v>0</v>
      </c>
      <c r="N445" s="527">
        <v>0</v>
      </c>
      <c r="O445" s="524">
        <v>3.137</v>
      </c>
      <c r="P445" s="524">
        <v>0</v>
      </c>
    </row>
    <row r="446" spans="4:16">
      <c r="D446" s="470" t="s">
        <v>699</v>
      </c>
      <c r="E446" s="524" t="s">
        <v>700</v>
      </c>
      <c r="F446" s="525">
        <v>41263</v>
      </c>
      <c r="G446" s="521">
        <f t="shared" si="12"/>
        <v>2012</v>
      </c>
      <c r="H446" s="521">
        <f t="shared" si="13"/>
        <v>12</v>
      </c>
      <c r="I446" s="524">
        <v>18</v>
      </c>
      <c r="J446" s="524">
        <v>2.5990000000000002</v>
      </c>
      <c r="K446" s="524">
        <v>0</v>
      </c>
      <c r="L446" s="526">
        <v>2.5990000000000002</v>
      </c>
      <c r="M446" s="524">
        <v>0</v>
      </c>
      <c r="N446" s="527">
        <v>0</v>
      </c>
      <c r="O446" s="524">
        <v>2.6190000000000002</v>
      </c>
      <c r="P446" s="524">
        <v>0</v>
      </c>
    </row>
    <row r="447" spans="4:16">
      <c r="D447" s="470" t="s">
        <v>699</v>
      </c>
      <c r="E447" s="524" t="s">
        <v>700</v>
      </c>
      <c r="F447" s="525">
        <v>41305</v>
      </c>
      <c r="G447" s="521">
        <f t="shared" si="12"/>
        <v>2013</v>
      </c>
      <c r="H447" s="521">
        <f t="shared" si="13"/>
        <v>1</v>
      </c>
      <c r="I447" s="524">
        <v>19</v>
      </c>
      <c r="J447" s="524">
        <v>3.3</v>
      </c>
      <c r="K447" s="524">
        <v>0</v>
      </c>
      <c r="L447" s="526">
        <v>3.3</v>
      </c>
      <c r="M447" s="524">
        <v>0</v>
      </c>
      <c r="N447" s="527">
        <v>0</v>
      </c>
      <c r="O447" s="524">
        <v>3.3029999999999999</v>
      </c>
      <c r="P447" s="524">
        <v>0</v>
      </c>
    </row>
    <row r="448" spans="4:16">
      <c r="D448" s="470" t="s">
        <v>699</v>
      </c>
      <c r="E448" s="524" t="s">
        <v>700</v>
      </c>
      <c r="F448" s="525">
        <v>41306</v>
      </c>
      <c r="G448" s="521">
        <f t="shared" si="12"/>
        <v>2013</v>
      </c>
      <c r="H448" s="521">
        <f t="shared" si="13"/>
        <v>2</v>
      </c>
      <c r="I448" s="524">
        <v>8</v>
      </c>
      <c r="J448" s="524">
        <v>3.8039999999999998</v>
      </c>
      <c r="K448" s="524">
        <v>0</v>
      </c>
      <c r="L448" s="526">
        <v>3.8039999999999998</v>
      </c>
      <c r="M448" s="524">
        <v>0</v>
      </c>
      <c r="N448" s="527">
        <v>0</v>
      </c>
      <c r="O448" s="524">
        <v>3.8239999999999998</v>
      </c>
      <c r="P448" s="524">
        <v>0</v>
      </c>
    </row>
    <row r="449" spans="4:16">
      <c r="D449" s="470" t="s">
        <v>699</v>
      </c>
      <c r="E449" s="524" t="s">
        <v>700</v>
      </c>
      <c r="F449" s="525">
        <v>41354</v>
      </c>
      <c r="G449" s="521">
        <f t="shared" si="12"/>
        <v>2013</v>
      </c>
      <c r="H449" s="521">
        <f t="shared" si="13"/>
        <v>3</v>
      </c>
      <c r="I449" s="524">
        <v>8</v>
      </c>
      <c r="J449" s="524">
        <v>3.3069999999999999</v>
      </c>
      <c r="K449" s="524">
        <v>0</v>
      </c>
      <c r="L449" s="526">
        <v>3.3069999999999999</v>
      </c>
      <c r="M449" s="524">
        <v>0</v>
      </c>
      <c r="N449" s="527">
        <v>0</v>
      </c>
      <c r="O449" s="524">
        <v>3.34</v>
      </c>
      <c r="P449" s="524">
        <v>0</v>
      </c>
    </row>
    <row r="450" spans="4:16">
      <c r="D450" s="470" t="s">
        <v>699</v>
      </c>
      <c r="E450" s="524" t="s">
        <v>700</v>
      </c>
      <c r="F450" s="525">
        <v>41366</v>
      </c>
      <c r="G450" s="521">
        <f t="shared" si="12"/>
        <v>2013</v>
      </c>
      <c r="H450" s="521">
        <f t="shared" si="13"/>
        <v>4</v>
      </c>
      <c r="I450" s="524">
        <v>8</v>
      </c>
      <c r="J450" s="524">
        <v>3.2160000000000002</v>
      </c>
      <c r="K450" s="524">
        <v>0</v>
      </c>
      <c r="L450" s="526">
        <v>3.2160000000000002</v>
      </c>
      <c r="M450" s="524">
        <v>0</v>
      </c>
      <c r="N450" s="527">
        <v>0</v>
      </c>
      <c r="O450" s="524">
        <v>3.2480000000000002</v>
      </c>
      <c r="P450" s="524">
        <v>0</v>
      </c>
    </row>
    <row r="451" spans="4:16">
      <c r="D451" s="470" t="s">
        <v>699</v>
      </c>
      <c r="E451" s="524" t="s">
        <v>700</v>
      </c>
      <c r="F451" s="525">
        <v>41424</v>
      </c>
      <c r="G451" s="521">
        <f t="shared" ref="G451:G514" si="14">YEAR(F451)</f>
        <v>2013</v>
      </c>
      <c r="H451" s="521">
        <f t="shared" ref="H451:H514" si="15">MONTH(F451)</f>
        <v>5</v>
      </c>
      <c r="I451" s="524">
        <v>12</v>
      </c>
      <c r="J451" s="524">
        <v>2.0579999999999998</v>
      </c>
      <c r="K451" s="524">
        <v>0</v>
      </c>
      <c r="L451" s="526">
        <v>2.0579999999999998</v>
      </c>
      <c r="M451" s="524">
        <v>0</v>
      </c>
      <c r="N451" s="527">
        <v>0</v>
      </c>
      <c r="O451" s="524">
        <v>2.0550000000000002</v>
      </c>
      <c r="P451" s="524">
        <v>0</v>
      </c>
    </row>
    <row r="452" spans="4:16">
      <c r="D452" s="470" t="s">
        <v>699</v>
      </c>
      <c r="E452" s="524" t="s">
        <v>700</v>
      </c>
      <c r="F452" s="525">
        <v>41451</v>
      </c>
      <c r="G452" s="521">
        <f t="shared" si="14"/>
        <v>2013</v>
      </c>
      <c r="H452" s="521">
        <f t="shared" si="15"/>
        <v>6</v>
      </c>
      <c r="I452" s="524">
        <v>17</v>
      </c>
      <c r="J452" s="524">
        <v>3.53</v>
      </c>
      <c r="K452" s="524">
        <v>0</v>
      </c>
      <c r="L452" s="526">
        <v>3.53</v>
      </c>
      <c r="M452" s="524">
        <v>0</v>
      </c>
      <c r="N452" s="527">
        <v>0</v>
      </c>
      <c r="O452" s="524">
        <v>3.5289999999999999</v>
      </c>
      <c r="P452" s="524">
        <v>0</v>
      </c>
    </row>
    <row r="453" spans="4:16">
      <c r="D453" s="470" t="s">
        <v>699</v>
      </c>
      <c r="E453" s="524" t="s">
        <v>700</v>
      </c>
      <c r="F453" s="525">
        <v>41472</v>
      </c>
      <c r="G453" s="521">
        <f t="shared" si="14"/>
        <v>2013</v>
      </c>
      <c r="H453" s="521">
        <f t="shared" si="15"/>
        <v>7</v>
      </c>
      <c r="I453" s="524">
        <v>17</v>
      </c>
      <c r="J453" s="524">
        <v>4.91</v>
      </c>
      <c r="K453" s="524">
        <v>0</v>
      </c>
      <c r="L453" s="526">
        <v>4.91</v>
      </c>
      <c r="M453" s="524">
        <v>0</v>
      </c>
      <c r="N453" s="527">
        <v>0</v>
      </c>
      <c r="O453" s="524">
        <v>4.92</v>
      </c>
      <c r="P453" s="524">
        <v>0</v>
      </c>
    </row>
    <row r="454" spans="4:16">
      <c r="D454" s="470" t="s">
        <v>699</v>
      </c>
      <c r="E454" s="524" t="s">
        <v>700</v>
      </c>
      <c r="F454" s="525">
        <v>41516</v>
      </c>
      <c r="G454" s="521">
        <f t="shared" si="14"/>
        <v>2013</v>
      </c>
      <c r="H454" s="521">
        <f t="shared" si="15"/>
        <v>8</v>
      </c>
      <c r="I454" s="524">
        <v>16</v>
      </c>
      <c r="J454" s="524">
        <v>4.1420000000000003</v>
      </c>
      <c r="K454" s="524">
        <v>0</v>
      </c>
      <c r="L454" s="526">
        <v>4.1420000000000003</v>
      </c>
      <c r="M454" s="524">
        <v>0</v>
      </c>
      <c r="N454" s="527">
        <v>0</v>
      </c>
      <c r="O454" s="524">
        <v>4.1440000000000001</v>
      </c>
      <c r="P454" s="524">
        <v>0</v>
      </c>
    </row>
    <row r="455" spans="4:16">
      <c r="D455" s="470" t="s">
        <v>699</v>
      </c>
      <c r="E455" s="524" t="s">
        <v>700</v>
      </c>
      <c r="F455" s="525">
        <v>41526</v>
      </c>
      <c r="G455" s="521">
        <f t="shared" si="14"/>
        <v>2013</v>
      </c>
      <c r="H455" s="521">
        <f t="shared" si="15"/>
        <v>9</v>
      </c>
      <c r="I455" s="524">
        <v>17</v>
      </c>
      <c r="J455" s="524">
        <v>3.7069999999999999</v>
      </c>
      <c r="K455" s="524">
        <v>0</v>
      </c>
      <c r="L455" s="526">
        <v>3.7069999999999999</v>
      </c>
      <c r="M455" s="524">
        <v>0</v>
      </c>
      <c r="N455" s="527">
        <v>0</v>
      </c>
      <c r="O455" s="524">
        <v>3.6960000000000002</v>
      </c>
      <c r="P455" s="524">
        <v>0</v>
      </c>
    </row>
    <row r="456" spans="4:16">
      <c r="D456" s="470" t="s">
        <v>699</v>
      </c>
      <c r="E456" s="524" t="s">
        <v>700</v>
      </c>
      <c r="F456" s="525">
        <v>41571</v>
      </c>
      <c r="G456" s="521">
        <f t="shared" si="14"/>
        <v>2013</v>
      </c>
      <c r="H456" s="521">
        <f t="shared" si="15"/>
        <v>10</v>
      </c>
      <c r="I456" s="524">
        <v>20</v>
      </c>
      <c r="J456" s="524">
        <v>3.2669999999999999</v>
      </c>
      <c r="K456" s="524">
        <v>0</v>
      </c>
      <c r="L456" s="526">
        <v>3.2669999999999999</v>
      </c>
      <c r="M456" s="524">
        <v>0</v>
      </c>
      <c r="N456" s="527">
        <v>0</v>
      </c>
      <c r="O456" s="524">
        <v>3.2360000000000002</v>
      </c>
      <c r="P456" s="524">
        <v>0</v>
      </c>
    </row>
    <row r="457" spans="4:16">
      <c r="D457" s="470" t="s">
        <v>699</v>
      </c>
      <c r="E457" s="524" t="s">
        <v>700</v>
      </c>
      <c r="F457" s="525">
        <v>41590</v>
      </c>
      <c r="G457" s="521">
        <f t="shared" si="14"/>
        <v>2013</v>
      </c>
      <c r="H457" s="521">
        <f t="shared" si="15"/>
        <v>11</v>
      </c>
      <c r="I457" s="524">
        <v>19</v>
      </c>
      <c r="J457" s="524">
        <v>3.4470000000000001</v>
      </c>
      <c r="K457" s="524">
        <v>0</v>
      </c>
      <c r="L457" s="526">
        <v>3.4470000000000001</v>
      </c>
      <c r="M457" s="524">
        <v>0</v>
      </c>
      <c r="N457" s="527">
        <v>0</v>
      </c>
      <c r="O457" s="524">
        <v>3.3849999999999998</v>
      </c>
      <c r="P457" s="524">
        <v>0</v>
      </c>
    </row>
    <row r="458" spans="4:16">
      <c r="D458" s="470" t="s">
        <v>699</v>
      </c>
      <c r="E458" s="524" t="s">
        <v>700</v>
      </c>
      <c r="F458" s="525">
        <v>41619</v>
      </c>
      <c r="G458" s="521">
        <f t="shared" si="14"/>
        <v>2013</v>
      </c>
      <c r="H458" s="521">
        <f t="shared" si="15"/>
        <v>12</v>
      </c>
      <c r="I458" s="524">
        <v>18</v>
      </c>
      <c r="J458" s="524">
        <v>3.452</v>
      </c>
      <c r="K458" s="524">
        <v>0</v>
      </c>
      <c r="L458" s="526">
        <v>3.452</v>
      </c>
      <c r="M458" s="524">
        <v>0</v>
      </c>
      <c r="N458" s="527">
        <v>0</v>
      </c>
      <c r="O458" s="524">
        <v>3.3839999999999999</v>
      </c>
      <c r="P458" s="524">
        <v>0</v>
      </c>
    </row>
    <row r="459" spans="4:16">
      <c r="D459" s="470" t="s">
        <v>699</v>
      </c>
      <c r="E459" s="470" t="s">
        <v>700</v>
      </c>
      <c r="F459" s="520">
        <v>41645</v>
      </c>
      <c r="G459" s="521">
        <f t="shared" si="14"/>
        <v>2014</v>
      </c>
      <c r="H459" s="521">
        <f t="shared" si="15"/>
        <v>1</v>
      </c>
      <c r="I459" s="470">
        <v>18</v>
      </c>
      <c r="J459" s="470">
        <v>3.4729999999999999</v>
      </c>
      <c r="K459" s="470">
        <v>0</v>
      </c>
      <c r="L459" s="522">
        <v>3.4729999999999999</v>
      </c>
      <c r="M459" s="470">
        <v>0</v>
      </c>
      <c r="N459" s="470">
        <v>0</v>
      </c>
      <c r="O459" s="470">
        <v>3.4159999999999999</v>
      </c>
      <c r="P459" s="470">
        <v>0</v>
      </c>
    </row>
    <row r="460" spans="4:16">
      <c r="D460" s="470" t="s">
        <v>699</v>
      </c>
      <c r="E460" s="470" t="s">
        <v>700</v>
      </c>
      <c r="F460" s="520">
        <v>41681</v>
      </c>
      <c r="G460" s="521">
        <f t="shared" si="14"/>
        <v>2014</v>
      </c>
      <c r="H460" s="521">
        <f t="shared" si="15"/>
        <v>2</v>
      </c>
      <c r="I460" s="470">
        <v>8</v>
      </c>
      <c r="J460" s="470">
        <v>3.0830000000000002</v>
      </c>
      <c r="K460" s="470">
        <v>0</v>
      </c>
      <c r="L460" s="522">
        <v>3.0830000000000002</v>
      </c>
      <c r="M460" s="470">
        <v>0</v>
      </c>
      <c r="N460" s="470">
        <v>0</v>
      </c>
      <c r="O460" s="470">
        <v>3.0259999999999998</v>
      </c>
      <c r="P460" s="470">
        <v>0</v>
      </c>
    </row>
    <row r="461" spans="4:16">
      <c r="D461" s="470" t="s">
        <v>699</v>
      </c>
      <c r="E461" s="470" t="s">
        <v>700</v>
      </c>
      <c r="F461" s="520">
        <v>41701</v>
      </c>
      <c r="G461" s="521">
        <f t="shared" si="14"/>
        <v>2014</v>
      </c>
      <c r="H461" s="521">
        <f t="shared" si="15"/>
        <v>3</v>
      </c>
      <c r="I461" s="470">
        <v>8</v>
      </c>
      <c r="J461" s="470">
        <v>4.2930000000000001</v>
      </c>
      <c r="K461" s="470">
        <v>0</v>
      </c>
      <c r="L461" s="522">
        <v>4.2930000000000001</v>
      </c>
      <c r="M461" s="470">
        <v>0</v>
      </c>
      <c r="N461" s="470">
        <v>0</v>
      </c>
      <c r="O461" s="470">
        <v>4.165</v>
      </c>
      <c r="P461" s="470">
        <v>0</v>
      </c>
    </row>
    <row r="462" spans="4:16">
      <c r="D462" s="470" t="s">
        <v>699</v>
      </c>
      <c r="E462" s="470" t="s">
        <v>700</v>
      </c>
      <c r="F462" s="520">
        <v>41730</v>
      </c>
      <c r="G462" s="521">
        <f t="shared" si="14"/>
        <v>2014</v>
      </c>
      <c r="H462" s="521">
        <f t="shared" si="15"/>
        <v>4</v>
      </c>
      <c r="I462" s="470">
        <v>9</v>
      </c>
      <c r="J462" s="470">
        <v>2.516</v>
      </c>
      <c r="K462" s="470">
        <v>0</v>
      </c>
      <c r="L462" s="522">
        <v>2.516</v>
      </c>
      <c r="M462" s="470">
        <v>0</v>
      </c>
      <c r="N462" s="470">
        <v>0</v>
      </c>
      <c r="O462" s="470">
        <v>2.4420000000000002</v>
      </c>
      <c r="P462" s="470">
        <v>0</v>
      </c>
    </row>
    <row r="463" spans="4:16">
      <c r="D463" s="470" t="s">
        <v>699</v>
      </c>
      <c r="E463" s="470" t="s">
        <v>700</v>
      </c>
      <c r="F463" s="520">
        <v>41789</v>
      </c>
      <c r="G463" s="521">
        <f t="shared" si="14"/>
        <v>2014</v>
      </c>
      <c r="H463" s="521">
        <f t="shared" si="15"/>
        <v>5</v>
      </c>
      <c r="I463" s="470">
        <v>17</v>
      </c>
      <c r="J463" s="470">
        <v>2.8050000000000002</v>
      </c>
      <c r="K463" s="470">
        <v>0</v>
      </c>
      <c r="L463" s="522">
        <v>2.8050000000000002</v>
      </c>
      <c r="M463" s="470">
        <v>0</v>
      </c>
      <c r="N463" s="470">
        <v>0</v>
      </c>
      <c r="O463" s="470">
        <v>2.7080000000000002</v>
      </c>
      <c r="P463" s="470">
        <v>0</v>
      </c>
    </row>
    <row r="464" spans="4:16">
      <c r="D464" s="470" t="s">
        <v>699</v>
      </c>
      <c r="E464" s="470" t="s">
        <v>700</v>
      </c>
      <c r="F464" s="520">
        <v>41808</v>
      </c>
      <c r="G464" s="521">
        <f t="shared" si="14"/>
        <v>2014</v>
      </c>
      <c r="H464" s="521">
        <f t="shared" si="15"/>
        <v>6</v>
      </c>
      <c r="I464" s="470">
        <v>18</v>
      </c>
      <c r="J464" s="470">
        <v>3.181</v>
      </c>
      <c r="K464" s="470">
        <v>0</v>
      </c>
      <c r="L464" s="522">
        <v>3.181</v>
      </c>
      <c r="M464" s="470">
        <v>0</v>
      </c>
      <c r="N464" s="470">
        <v>0</v>
      </c>
      <c r="O464" s="470">
        <v>3.0790000000000002</v>
      </c>
      <c r="P464" s="470">
        <v>0</v>
      </c>
    </row>
    <row r="465" spans="4:16">
      <c r="D465" s="470" t="s">
        <v>699</v>
      </c>
      <c r="E465" s="470" t="s">
        <v>700</v>
      </c>
      <c r="F465" s="520">
        <v>41842</v>
      </c>
      <c r="G465" s="521">
        <f t="shared" si="14"/>
        <v>2014</v>
      </c>
      <c r="H465" s="521">
        <f t="shared" si="15"/>
        <v>7</v>
      </c>
      <c r="I465" s="470">
        <v>17</v>
      </c>
      <c r="J465" s="470">
        <v>3.5920000000000001</v>
      </c>
      <c r="K465" s="470">
        <v>0</v>
      </c>
      <c r="L465" s="522">
        <v>3.5920000000000001</v>
      </c>
      <c r="M465" s="470">
        <v>0</v>
      </c>
      <c r="N465" s="470">
        <v>0</v>
      </c>
      <c r="O465" s="470">
        <v>3.51</v>
      </c>
      <c r="P465" s="470">
        <v>0</v>
      </c>
    </row>
    <row r="466" spans="4:16">
      <c r="D466" s="470" t="s">
        <v>699</v>
      </c>
      <c r="E466" s="470" t="s">
        <v>700</v>
      </c>
      <c r="F466" s="520">
        <v>41876</v>
      </c>
      <c r="G466" s="521">
        <f t="shared" si="14"/>
        <v>2014</v>
      </c>
      <c r="H466" s="521">
        <f t="shared" si="15"/>
        <v>8</v>
      </c>
      <c r="I466" s="470">
        <v>17</v>
      </c>
      <c r="J466" s="470">
        <v>3.379</v>
      </c>
      <c r="K466" s="470">
        <v>0</v>
      </c>
      <c r="L466" s="522">
        <v>3.379</v>
      </c>
      <c r="M466" s="470">
        <v>0</v>
      </c>
      <c r="N466" s="470">
        <v>0</v>
      </c>
      <c r="O466" s="470">
        <v>3.3919999999999999</v>
      </c>
      <c r="P466" s="470">
        <v>0</v>
      </c>
    </row>
    <row r="467" spans="4:16">
      <c r="D467" s="470" t="s">
        <v>699</v>
      </c>
      <c r="E467" s="470" t="s">
        <v>700</v>
      </c>
      <c r="F467" s="520">
        <v>41886</v>
      </c>
      <c r="G467" s="521">
        <f t="shared" si="14"/>
        <v>2014</v>
      </c>
      <c r="H467" s="521">
        <f t="shared" si="15"/>
        <v>9</v>
      </c>
      <c r="I467" s="470">
        <v>17</v>
      </c>
      <c r="J467" s="470">
        <v>3.8220000000000001</v>
      </c>
      <c r="K467" s="470">
        <v>0</v>
      </c>
      <c r="L467" s="522">
        <v>3.8220000000000001</v>
      </c>
      <c r="M467" s="470">
        <v>0</v>
      </c>
      <c r="N467" s="470">
        <v>0</v>
      </c>
      <c r="O467" s="470">
        <v>3.8719999999999999</v>
      </c>
      <c r="P467" s="470">
        <v>0</v>
      </c>
    </row>
    <row r="468" spans="4:16">
      <c r="D468" s="470" t="s">
        <v>699</v>
      </c>
      <c r="E468" s="470" t="s">
        <v>700</v>
      </c>
      <c r="F468" s="520">
        <v>41939</v>
      </c>
      <c r="G468" s="521">
        <f t="shared" si="14"/>
        <v>2014</v>
      </c>
      <c r="H468" s="521">
        <f t="shared" si="15"/>
        <v>10</v>
      </c>
      <c r="I468" s="470">
        <v>19</v>
      </c>
      <c r="J468" s="470">
        <v>2.9649999999999999</v>
      </c>
      <c r="K468" s="470">
        <v>0</v>
      </c>
      <c r="L468" s="522">
        <v>2.9649999999999999</v>
      </c>
      <c r="M468" s="523">
        <v>2906</v>
      </c>
      <c r="N468" s="470">
        <v>0.10199999999999999</v>
      </c>
      <c r="O468" s="470">
        <v>2.9609999999999999</v>
      </c>
      <c r="P468" s="470">
        <v>0</v>
      </c>
    </row>
    <row r="469" spans="4:16">
      <c r="D469" s="470" t="s">
        <v>699</v>
      </c>
      <c r="E469" s="470" t="s">
        <v>700</v>
      </c>
      <c r="F469" s="520">
        <v>41960</v>
      </c>
      <c r="G469" s="521">
        <f t="shared" si="14"/>
        <v>2014</v>
      </c>
      <c r="H469" s="521">
        <f t="shared" si="15"/>
        <v>11</v>
      </c>
      <c r="I469" s="470">
        <v>18</v>
      </c>
      <c r="J469" s="470">
        <v>2.6760000000000002</v>
      </c>
      <c r="K469" s="470">
        <v>0</v>
      </c>
      <c r="L469" s="522">
        <v>2.6760000000000002</v>
      </c>
      <c r="M469" s="470">
        <v>0</v>
      </c>
      <c r="N469" s="470">
        <v>0</v>
      </c>
      <c r="O469" s="470">
        <v>2.6709999999999998</v>
      </c>
      <c r="P469" s="470">
        <v>0</v>
      </c>
    </row>
    <row r="470" spans="4:16">
      <c r="D470" s="470" t="s">
        <v>699</v>
      </c>
      <c r="E470" s="470" t="s">
        <v>700</v>
      </c>
      <c r="F470" s="520">
        <v>41974</v>
      </c>
      <c r="G470" s="521">
        <f t="shared" si="14"/>
        <v>2014</v>
      </c>
      <c r="H470" s="521">
        <f t="shared" si="15"/>
        <v>12</v>
      </c>
      <c r="I470" s="470">
        <v>19</v>
      </c>
      <c r="J470" s="470">
        <v>3.14</v>
      </c>
      <c r="K470" s="470">
        <v>0</v>
      </c>
      <c r="L470" s="522">
        <v>3.14</v>
      </c>
      <c r="M470" s="470">
        <v>0</v>
      </c>
      <c r="N470" s="470">
        <v>0</v>
      </c>
      <c r="O470" s="470">
        <v>3.1480000000000001</v>
      </c>
      <c r="P470" s="470">
        <v>0</v>
      </c>
    </row>
    <row r="471" spans="4:16">
      <c r="D471" s="470" t="s">
        <v>699</v>
      </c>
      <c r="E471" s="470" t="s">
        <v>700</v>
      </c>
      <c r="F471" s="520">
        <v>42011</v>
      </c>
      <c r="G471" s="521">
        <f t="shared" si="14"/>
        <v>2015</v>
      </c>
      <c r="H471" s="521">
        <f t="shared" si="15"/>
        <v>1</v>
      </c>
      <c r="I471" s="470">
        <v>19</v>
      </c>
      <c r="J471" s="470">
        <v>3.02</v>
      </c>
      <c r="K471" s="470">
        <v>0</v>
      </c>
      <c r="L471" s="522">
        <v>3.02</v>
      </c>
      <c r="M471" s="523">
        <v>3438</v>
      </c>
      <c r="N471" s="470">
        <v>8.7999999999999995E-2</v>
      </c>
      <c r="O471" s="470">
        <v>3.0289999999999999</v>
      </c>
      <c r="P471" s="470">
        <v>0</v>
      </c>
    </row>
    <row r="472" spans="4:16">
      <c r="D472" s="470" t="s">
        <v>699</v>
      </c>
      <c r="E472" s="470" t="s">
        <v>700</v>
      </c>
      <c r="F472" s="520">
        <v>42053</v>
      </c>
      <c r="G472" s="521">
        <f t="shared" si="14"/>
        <v>2015</v>
      </c>
      <c r="H472" s="521">
        <f t="shared" si="15"/>
        <v>2</v>
      </c>
      <c r="I472" s="470">
        <v>19</v>
      </c>
      <c r="J472" s="470">
        <v>3.3170000000000002</v>
      </c>
      <c r="K472" s="470">
        <v>0</v>
      </c>
      <c r="L472" s="522">
        <v>3.3170000000000002</v>
      </c>
      <c r="M472" s="523">
        <v>3305</v>
      </c>
      <c r="N472" s="470">
        <v>0.1</v>
      </c>
      <c r="O472" s="470">
        <v>3.2869999999999999</v>
      </c>
      <c r="P472" s="470">
        <v>0</v>
      </c>
    </row>
    <row r="473" spans="4:16">
      <c r="D473" s="470" t="s">
        <v>699</v>
      </c>
      <c r="E473" s="470" t="s">
        <v>700</v>
      </c>
      <c r="F473" s="520">
        <v>42067</v>
      </c>
      <c r="G473" s="521">
        <f t="shared" si="14"/>
        <v>2015</v>
      </c>
      <c r="H473" s="521">
        <f t="shared" si="15"/>
        <v>3</v>
      </c>
      <c r="I473" s="470">
        <v>9</v>
      </c>
      <c r="J473" s="470">
        <v>3.3220000000000001</v>
      </c>
      <c r="K473" s="470">
        <v>0</v>
      </c>
      <c r="L473" s="522">
        <v>3.3220000000000001</v>
      </c>
      <c r="M473" s="470">
        <v>0</v>
      </c>
      <c r="N473" s="470">
        <v>0</v>
      </c>
      <c r="O473" s="470">
        <v>3.2749999999999999</v>
      </c>
      <c r="P473" s="470">
        <v>0</v>
      </c>
    </row>
    <row r="474" spans="4:16">
      <c r="D474" s="470" t="s">
        <v>699</v>
      </c>
      <c r="E474" s="470" t="s">
        <v>700</v>
      </c>
      <c r="F474" s="520">
        <v>42103</v>
      </c>
      <c r="G474" s="521">
        <f t="shared" si="14"/>
        <v>2015</v>
      </c>
      <c r="H474" s="521">
        <f t="shared" si="15"/>
        <v>4</v>
      </c>
      <c r="I474" s="470">
        <v>11</v>
      </c>
      <c r="J474" s="470">
        <v>2.3029999999999999</v>
      </c>
      <c r="K474" s="470">
        <v>0</v>
      </c>
      <c r="L474" s="522">
        <v>2.3029999999999999</v>
      </c>
      <c r="M474" s="470">
        <v>0</v>
      </c>
      <c r="N474" s="470">
        <v>0</v>
      </c>
      <c r="O474" s="470">
        <v>2.2959999999999998</v>
      </c>
      <c r="P474" s="470">
        <v>0</v>
      </c>
    </row>
    <row r="475" spans="4:16">
      <c r="D475" s="470" t="s">
        <v>699</v>
      </c>
      <c r="E475" s="470" t="s">
        <v>700</v>
      </c>
      <c r="F475" s="520">
        <v>42152</v>
      </c>
      <c r="G475" s="521">
        <f t="shared" si="14"/>
        <v>2015</v>
      </c>
      <c r="H475" s="521">
        <f t="shared" si="15"/>
        <v>5</v>
      </c>
      <c r="I475" s="470">
        <v>15</v>
      </c>
      <c r="J475" s="470">
        <v>2.4489999999999998</v>
      </c>
      <c r="K475" s="470">
        <v>0</v>
      </c>
      <c r="L475" s="522">
        <v>2.4489999999999998</v>
      </c>
      <c r="M475" s="470">
        <v>0</v>
      </c>
      <c r="N475" s="470">
        <v>0</v>
      </c>
      <c r="O475" s="470">
        <v>2.4249999999999998</v>
      </c>
      <c r="P475" s="470">
        <v>0</v>
      </c>
    </row>
    <row r="476" spans="4:16">
      <c r="D476" s="470" t="s">
        <v>699</v>
      </c>
      <c r="E476" s="470" t="s">
        <v>700</v>
      </c>
      <c r="F476" s="520">
        <v>42165</v>
      </c>
      <c r="G476" s="521">
        <f t="shared" si="14"/>
        <v>2015</v>
      </c>
      <c r="H476" s="521">
        <f t="shared" si="15"/>
        <v>6</v>
      </c>
      <c r="I476" s="470">
        <v>18</v>
      </c>
      <c r="J476" s="470">
        <v>3.395</v>
      </c>
      <c r="K476" s="470">
        <v>0</v>
      </c>
      <c r="L476" s="522">
        <v>3.395</v>
      </c>
      <c r="M476" s="470">
        <v>0</v>
      </c>
      <c r="N476" s="470">
        <v>0</v>
      </c>
      <c r="O476" s="470">
        <v>3.38</v>
      </c>
      <c r="P476" s="470">
        <v>0</v>
      </c>
    </row>
    <row r="477" spans="4:16">
      <c r="D477" s="470" t="s">
        <v>699</v>
      </c>
      <c r="E477" s="470" t="s">
        <v>700</v>
      </c>
      <c r="F477" s="520">
        <v>42198</v>
      </c>
      <c r="G477" s="521">
        <f t="shared" si="14"/>
        <v>2015</v>
      </c>
      <c r="H477" s="521">
        <f t="shared" si="15"/>
        <v>7</v>
      </c>
      <c r="I477" s="470">
        <v>16</v>
      </c>
      <c r="J477" s="470">
        <v>4.1020000000000003</v>
      </c>
      <c r="K477" s="470">
        <v>0</v>
      </c>
      <c r="L477" s="522">
        <v>4.1020000000000003</v>
      </c>
      <c r="M477" s="470">
        <v>0</v>
      </c>
      <c r="N477" s="470">
        <v>0</v>
      </c>
      <c r="O477" s="470">
        <v>4.0490000000000004</v>
      </c>
      <c r="P477" s="470">
        <v>0</v>
      </c>
    </row>
    <row r="478" spans="4:16">
      <c r="D478" s="470" t="s">
        <v>699</v>
      </c>
      <c r="E478" s="470" t="s">
        <v>700</v>
      </c>
      <c r="F478" s="520">
        <v>42230</v>
      </c>
      <c r="G478" s="521">
        <f t="shared" si="14"/>
        <v>2015</v>
      </c>
      <c r="H478" s="521">
        <f t="shared" si="15"/>
        <v>8</v>
      </c>
      <c r="I478" s="470">
        <v>17</v>
      </c>
      <c r="J478" s="470">
        <v>4.2859999999999996</v>
      </c>
      <c r="K478" s="470">
        <v>0</v>
      </c>
      <c r="L478" s="522">
        <v>4.2859999999999996</v>
      </c>
      <c r="M478" s="470">
        <v>0</v>
      </c>
      <c r="N478" s="470">
        <v>0</v>
      </c>
      <c r="O478" s="470">
        <v>4.2350000000000003</v>
      </c>
      <c r="P478" s="470">
        <v>0</v>
      </c>
    </row>
    <row r="479" spans="4:16">
      <c r="D479" s="470" t="s">
        <v>699</v>
      </c>
      <c r="E479" s="470" t="s">
        <v>700</v>
      </c>
      <c r="F479" s="520">
        <v>42250</v>
      </c>
      <c r="G479" s="521">
        <f t="shared" si="14"/>
        <v>2015</v>
      </c>
      <c r="H479" s="521">
        <f t="shared" si="15"/>
        <v>9</v>
      </c>
      <c r="I479" s="470">
        <v>17</v>
      </c>
      <c r="J479" s="470">
        <v>4.21</v>
      </c>
      <c r="K479" s="470">
        <v>0</v>
      </c>
      <c r="L479" s="522">
        <v>4.21</v>
      </c>
      <c r="M479" s="470">
        <v>0</v>
      </c>
      <c r="N479" s="470">
        <v>0</v>
      </c>
      <c r="O479" s="470">
        <v>4.1559999999999997</v>
      </c>
      <c r="P479" s="470">
        <v>0</v>
      </c>
    </row>
    <row r="480" spans="4:16">
      <c r="D480" s="470" t="s">
        <v>699</v>
      </c>
      <c r="E480" s="470" t="s">
        <v>700</v>
      </c>
      <c r="F480" s="520">
        <v>42284</v>
      </c>
      <c r="G480" s="521">
        <f t="shared" si="14"/>
        <v>2015</v>
      </c>
      <c r="H480" s="521">
        <f t="shared" si="15"/>
        <v>10</v>
      </c>
      <c r="I480" s="470">
        <v>15</v>
      </c>
      <c r="J480" s="470">
        <v>3.347</v>
      </c>
      <c r="K480" s="470">
        <v>0</v>
      </c>
      <c r="L480" s="522">
        <v>3.347</v>
      </c>
      <c r="M480" s="470">
        <v>0</v>
      </c>
      <c r="N480" s="470">
        <v>0</v>
      </c>
      <c r="O480" s="470">
        <v>3.3050000000000002</v>
      </c>
      <c r="P480" s="470">
        <v>0</v>
      </c>
    </row>
    <row r="481" spans="4:16">
      <c r="D481" s="470" t="s">
        <v>699</v>
      </c>
      <c r="E481" s="470" t="s">
        <v>700</v>
      </c>
      <c r="F481" s="520">
        <v>42338</v>
      </c>
      <c r="G481" s="521">
        <f t="shared" si="14"/>
        <v>2015</v>
      </c>
      <c r="H481" s="521">
        <f t="shared" si="15"/>
        <v>11</v>
      </c>
      <c r="I481" s="470">
        <v>18</v>
      </c>
      <c r="J481" s="470">
        <v>3.4689999999999999</v>
      </c>
      <c r="K481" s="470">
        <v>0</v>
      </c>
      <c r="L481" s="522">
        <v>3.4689999999999999</v>
      </c>
      <c r="M481" s="470">
        <v>0</v>
      </c>
      <c r="N481" s="470">
        <v>0</v>
      </c>
      <c r="O481" s="470">
        <v>3.4129999999999998</v>
      </c>
      <c r="P481" s="470">
        <v>0</v>
      </c>
    </row>
    <row r="482" spans="4:16">
      <c r="D482" s="470" t="s">
        <v>699</v>
      </c>
      <c r="E482" s="470" t="s">
        <v>700</v>
      </c>
      <c r="F482" s="520">
        <v>42355</v>
      </c>
      <c r="G482" s="521">
        <f t="shared" si="14"/>
        <v>2015</v>
      </c>
      <c r="H482" s="521">
        <f t="shared" si="15"/>
        <v>12</v>
      </c>
      <c r="I482" s="470">
        <v>19</v>
      </c>
      <c r="J482" s="470">
        <v>2.617</v>
      </c>
      <c r="K482" s="470">
        <v>0</v>
      </c>
      <c r="L482" s="522">
        <v>2.617</v>
      </c>
      <c r="M482" s="470">
        <v>0</v>
      </c>
      <c r="N482" s="470">
        <v>0</v>
      </c>
      <c r="O482" s="470">
        <v>2.5910000000000002</v>
      </c>
      <c r="P482" s="470">
        <v>0</v>
      </c>
    </row>
    <row r="483" spans="4:16">
      <c r="D483" s="470" t="s">
        <v>699</v>
      </c>
      <c r="E483" s="524" t="s">
        <v>702</v>
      </c>
      <c r="F483" s="525">
        <v>40927</v>
      </c>
      <c r="G483" s="521">
        <f t="shared" si="14"/>
        <v>2012</v>
      </c>
      <c r="H483" s="521">
        <f t="shared" si="15"/>
        <v>1</v>
      </c>
      <c r="I483" s="524">
        <v>19</v>
      </c>
      <c r="J483" s="524">
        <v>3.302</v>
      </c>
      <c r="K483" s="524">
        <v>0</v>
      </c>
      <c r="L483" s="526">
        <v>3.302</v>
      </c>
      <c r="M483" s="524">
        <v>0</v>
      </c>
      <c r="N483" s="527">
        <v>0</v>
      </c>
      <c r="O483" s="524">
        <v>3.3839999999999999</v>
      </c>
      <c r="P483" s="524">
        <v>0</v>
      </c>
    </row>
    <row r="484" spans="4:16">
      <c r="D484" s="470" t="s">
        <v>699</v>
      </c>
      <c r="E484" s="524" t="s">
        <v>702</v>
      </c>
      <c r="F484" s="525">
        <v>40952</v>
      </c>
      <c r="G484" s="521">
        <f t="shared" si="14"/>
        <v>2012</v>
      </c>
      <c r="H484" s="521">
        <f t="shared" si="15"/>
        <v>2</v>
      </c>
      <c r="I484" s="524">
        <v>19</v>
      </c>
      <c r="J484" s="524">
        <v>3.0169999999999999</v>
      </c>
      <c r="K484" s="524">
        <v>0</v>
      </c>
      <c r="L484" s="526">
        <v>3.0169999999999999</v>
      </c>
      <c r="M484" s="524">
        <v>0</v>
      </c>
      <c r="N484" s="527">
        <v>0</v>
      </c>
      <c r="O484" s="524">
        <v>3.069</v>
      </c>
      <c r="P484" s="524">
        <v>0</v>
      </c>
    </row>
    <row r="485" spans="4:16">
      <c r="D485" s="470" t="s">
        <v>699</v>
      </c>
      <c r="E485" s="524" t="s">
        <v>702</v>
      </c>
      <c r="F485" s="525">
        <v>40973</v>
      </c>
      <c r="G485" s="521">
        <f t="shared" si="14"/>
        <v>2012</v>
      </c>
      <c r="H485" s="521">
        <f t="shared" si="15"/>
        <v>3</v>
      </c>
      <c r="I485" s="524">
        <v>8</v>
      </c>
      <c r="J485" s="524">
        <v>3.4849999999999999</v>
      </c>
      <c r="K485" s="524">
        <v>0</v>
      </c>
      <c r="L485" s="526">
        <v>3.4849999999999999</v>
      </c>
      <c r="M485" s="524">
        <v>0</v>
      </c>
      <c r="N485" s="527">
        <v>0</v>
      </c>
      <c r="O485" s="524">
        <v>3.6269999999999998</v>
      </c>
      <c r="P485" s="524">
        <v>0</v>
      </c>
    </row>
    <row r="486" spans="4:16">
      <c r="D486" s="470" t="s">
        <v>699</v>
      </c>
      <c r="E486" s="524" t="s">
        <v>702</v>
      </c>
      <c r="F486" s="525">
        <v>41001</v>
      </c>
      <c r="G486" s="521">
        <f t="shared" si="14"/>
        <v>2012</v>
      </c>
      <c r="H486" s="521">
        <f t="shared" si="15"/>
        <v>4</v>
      </c>
      <c r="I486" s="524">
        <v>21</v>
      </c>
      <c r="J486" s="524">
        <v>2.5219999999999998</v>
      </c>
      <c r="K486" s="524">
        <v>0</v>
      </c>
      <c r="L486" s="526">
        <v>2.5219999999999998</v>
      </c>
      <c r="M486" s="524">
        <v>0</v>
      </c>
      <c r="N486" s="527">
        <v>0</v>
      </c>
      <c r="O486" s="524">
        <v>2.62</v>
      </c>
      <c r="P486" s="524">
        <v>0</v>
      </c>
    </row>
    <row r="487" spans="4:16">
      <c r="D487" s="470" t="s">
        <v>699</v>
      </c>
      <c r="E487" s="524" t="s">
        <v>702</v>
      </c>
      <c r="F487" s="525">
        <v>41053</v>
      </c>
      <c r="G487" s="521">
        <f t="shared" si="14"/>
        <v>2012</v>
      </c>
      <c r="H487" s="521">
        <f t="shared" si="15"/>
        <v>5</v>
      </c>
      <c r="I487" s="524">
        <v>14</v>
      </c>
      <c r="J487" s="524">
        <v>4.0469999999999997</v>
      </c>
      <c r="K487" s="524">
        <v>0</v>
      </c>
      <c r="L487" s="526">
        <v>4.0469999999999997</v>
      </c>
      <c r="M487" s="524">
        <v>0</v>
      </c>
      <c r="N487" s="527">
        <v>0</v>
      </c>
      <c r="O487" s="524">
        <v>4.149</v>
      </c>
      <c r="P487" s="524">
        <v>0</v>
      </c>
    </row>
    <row r="488" spans="4:16">
      <c r="D488" s="470" t="s">
        <v>699</v>
      </c>
      <c r="E488" s="524" t="s">
        <v>702</v>
      </c>
      <c r="F488" s="525">
        <v>41087</v>
      </c>
      <c r="G488" s="521">
        <f t="shared" si="14"/>
        <v>2012</v>
      </c>
      <c r="H488" s="521">
        <f t="shared" si="15"/>
        <v>6</v>
      </c>
      <c r="I488" s="524">
        <v>17</v>
      </c>
      <c r="J488" s="524">
        <v>5.2149999999999999</v>
      </c>
      <c r="K488" s="524">
        <v>0</v>
      </c>
      <c r="L488" s="526">
        <v>5.2149999999999999</v>
      </c>
      <c r="M488" s="524">
        <v>0</v>
      </c>
      <c r="N488" s="527">
        <v>0</v>
      </c>
      <c r="O488" s="524">
        <v>5.3109999999999999</v>
      </c>
      <c r="P488" s="524">
        <v>0</v>
      </c>
    </row>
    <row r="489" spans="4:16">
      <c r="D489" s="470" t="s">
        <v>699</v>
      </c>
      <c r="E489" s="524" t="s">
        <v>702</v>
      </c>
      <c r="F489" s="525">
        <v>41115</v>
      </c>
      <c r="G489" s="521">
        <f t="shared" si="14"/>
        <v>2012</v>
      </c>
      <c r="H489" s="521">
        <f t="shared" si="15"/>
        <v>7</v>
      </c>
      <c r="I489" s="524">
        <v>17</v>
      </c>
      <c r="J489" s="524">
        <v>2.4E-2</v>
      </c>
      <c r="K489" s="524">
        <v>4.9800000000000004</v>
      </c>
      <c r="L489" s="526">
        <v>5.0039999999999996</v>
      </c>
      <c r="M489" s="524">
        <v>0</v>
      </c>
      <c r="N489" s="527">
        <v>0</v>
      </c>
      <c r="O489" s="524">
        <v>1E-3</v>
      </c>
      <c r="P489" s="524">
        <v>4.9800000000000004</v>
      </c>
    </row>
    <row r="490" spans="4:16">
      <c r="D490" s="470" t="s">
        <v>699</v>
      </c>
      <c r="E490" s="524" t="s">
        <v>702</v>
      </c>
      <c r="F490" s="525">
        <v>41124</v>
      </c>
      <c r="G490" s="521">
        <f t="shared" si="14"/>
        <v>2012</v>
      </c>
      <c r="H490" s="521">
        <f t="shared" si="15"/>
        <v>8</v>
      </c>
      <c r="I490" s="524">
        <v>17</v>
      </c>
      <c r="J490" s="524">
        <v>4.5960000000000001</v>
      </c>
      <c r="K490" s="524">
        <v>0</v>
      </c>
      <c r="L490" s="526">
        <v>4.5960000000000001</v>
      </c>
      <c r="M490" s="524">
        <v>0</v>
      </c>
      <c r="N490" s="527">
        <v>0</v>
      </c>
      <c r="O490" s="524">
        <v>4.6989999999999998</v>
      </c>
      <c r="P490" s="524">
        <v>0</v>
      </c>
    </row>
    <row r="491" spans="4:16">
      <c r="D491" s="470" t="s">
        <v>699</v>
      </c>
      <c r="E491" s="524" t="s">
        <v>702</v>
      </c>
      <c r="F491" s="525">
        <v>41156</v>
      </c>
      <c r="G491" s="521">
        <f t="shared" si="14"/>
        <v>2012</v>
      </c>
      <c r="H491" s="521">
        <f t="shared" si="15"/>
        <v>9</v>
      </c>
      <c r="I491" s="524">
        <v>17</v>
      </c>
      <c r="J491" s="524">
        <v>4.9569999999999999</v>
      </c>
      <c r="K491" s="524">
        <v>0</v>
      </c>
      <c r="L491" s="526">
        <v>4.9569999999999999</v>
      </c>
      <c r="M491" s="524">
        <v>0</v>
      </c>
      <c r="N491" s="527">
        <v>0</v>
      </c>
      <c r="O491" s="524">
        <v>5.0350000000000001</v>
      </c>
      <c r="P491" s="524">
        <v>0</v>
      </c>
    </row>
    <row r="492" spans="4:16">
      <c r="D492" s="470" t="s">
        <v>699</v>
      </c>
      <c r="E492" s="524" t="s">
        <v>702</v>
      </c>
      <c r="F492" s="525">
        <v>41211</v>
      </c>
      <c r="G492" s="521">
        <f t="shared" si="14"/>
        <v>2012</v>
      </c>
      <c r="H492" s="521">
        <f t="shared" si="15"/>
        <v>10</v>
      </c>
      <c r="I492" s="524">
        <v>8</v>
      </c>
      <c r="J492" s="524">
        <v>3.5449999999999999</v>
      </c>
      <c r="K492" s="524">
        <v>0</v>
      </c>
      <c r="L492" s="526">
        <v>3.5449999999999999</v>
      </c>
      <c r="M492" s="524">
        <v>0</v>
      </c>
      <c r="N492" s="527">
        <v>0</v>
      </c>
      <c r="O492" s="524">
        <v>3.601</v>
      </c>
      <c r="P492" s="524">
        <v>0</v>
      </c>
    </row>
    <row r="493" spans="4:16">
      <c r="D493" s="470" t="s">
        <v>699</v>
      </c>
      <c r="E493" s="524" t="s">
        <v>702</v>
      </c>
      <c r="F493" s="525">
        <v>41225</v>
      </c>
      <c r="G493" s="521">
        <f t="shared" si="14"/>
        <v>2012</v>
      </c>
      <c r="H493" s="521">
        <f t="shared" si="15"/>
        <v>11</v>
      </c>
      <c r="I493" s="524">
        <v>18</v>
      </c>
      <c r="J493" s="524">
        <v>3.274</v>
      </c>
      <c r="K493" s="524">
        <v>0</v>
      </c>
      <c r="L493" s="526">
        <v>3.274</v>
      </c>
      <c r="M493" s="524">
        <v>0</v>
      </c>
      <c r="N493" s="527">
        <v>0</v>
      </c>
      <c r="O493" s="524">
        <v>3.3039999999999998</v>
      </c>
      <c r="P493" s="524">
        <v>0</v>
      </c>
    </row>
    <row r="494" spans="4:16">
      <c r="D494" s="470" t="s">
        <v>699</v>
      </c>
      <c r="E494" s="524" t="s">
        <v>702</v>
      </c>
      <c r="F494" s="525">
        <v>41263</v>
      </c>
      <c r="G494" s="521">
        <f t="shared" si="14"/>
        <v>2012</v>
      </c>
      <c r="H494" s="521">
        <f t="shared" si="15"/>
        <v>12</v>
      </c>
      <c r="I494" s="524">
        <v>18</v>
      </c>
      <c r="J494" s="524">
        <v>3.4569999999999999</v>
      </c>
      <c r="K494" s="524">
        <v>0</v>
      </c>
      <c r="L494" s="526">
        <v>3.4569999999999999</v>
      </c>
      <c r="M494" s="524">
        <v>0</v>
      </c>
      <c r="N494" s="527">
        <v>0</v>
      </c>
      <c r="O494" s="524">
        <v>3.4940000000000002</v>
      </c>
      <c r="P494" s="524">
        <v>0</v>
      </c>
    </row>
    <row r="495" spans="4:16">
      <c r="D495" s="470" t="s">
        <v>699</v>
      </c>
      <c r="E495" s="524" t="s">
        <v>702</v>
      </c>
      <c r="F495" s="525">
        <v>41305</v>
      </c>
      <c r="G495" s="521">
        <f t="shared" si="14"/>
        <v>2013</v>
      </c>
      <c r="H495" s="521">
        <f t="shared" si="15"/>
        <v>1</v>
      </c>
      <c r="I495" s="524">
        <v>19</v>
      </c>
      <c r="J495" s="524">
        <v>3.5169999999999999</v>
      </c>
      <c r="K495" s="524">
        <v>0</v>
      </c>
      <c r="L495" s="526">
        <v>3.5169999999999999</v>
      </c>
      <c r="M495" s="524">
        <v>0</v>
      </c>
      <c r="N495" s="527">
        <v>0</v>
      </c>
      <c r="O495" s="524">
        <v>3.5510000000000002</v>
      </c>
      <c r="P495" s="524">
        <v>0</v>
      </c>
    </row>
    <row r="496" spans="4:16">
      <c r="D496" s="470" t="s">
        <v>699</v>
      </c>
      <c r="E496" s="524" t="s">
        <v>702</v>
      </c>
      <c r="F496" s="525">
        <v>41306</v>
      </c>
      <c r="G496" s="521">
        <f t="shared" si="14"/>
        <v>2013</v>
      </c>
      <c r="H496" s="521">
        <f t="shared" si="15"/>
        <v>2</v>
      </c>
      <c r="I496" s="524">
        <v>8</v>
      </c>
      <c r="J496" s="524">
        <v>4.1139999999999999</v>
      </c>
      <c r="K496" s="524">
        <v>0</v>
      </c>
      <c r="L496" s="526">
        <v>4.1139999999999999</v>
      </c>
      <c r="M496" s="524">
        <v>0</v>
      </c>
      <c r="N496" s="527">
        <v>0</v>
      </c>
      <c r="O496" s="524">
        <v>4.16</v>
      </c>
      <c r="P496" s="524">
        <v>0</v>
      </c>
    </row>
    <row r="497" spans="4:16">
      <c r="D497" s="470" t="s">
        <v>699</v>
      </c>
      <c r="E497" s="524" t="s">
        <v>702</v>
      </c>
      <c r="F497" s="525">
        <v>41354</v>
      </c>
      <c r="G497" s="521">
        <f t="shared" si="14"/>
        <v>2013</v>
      </c>
      <c r="H497" s="521">
        <f t="shared" si="15"/>
        <v>3</v>
      </c>
      <c r="I497" s="524">
        <v>8</v>
      </c>
      <c r="J497" s="524">
        <v>3.7</v>
      </c>
      <c r="K497" s="524">
        <v>0</v>
      </c>
      <c r="L497" s="526">
        <v>3.7</v>
      </c>
      <c r="M497" s="524">
        <v>0</v>
      </c>
      <c r="N497" s="527">
        <v>0</v>
      </c>
      <c r="O497" s="524">
        <v>3.7469999999999999</v>
      </c>
      <c r="P497" s="524">
        <v>0</v>
      </c>
    </row>
    <row r="498" spans="4:16">
      <c r="D498" s="470" t="s">
        <v>699</v>
      </c>
      <c r="E498" s="524" t="s">
        <v>702</v>
      </c>
      <c r="F498" s="525">
        <v>41366</v>
      </c>
      <c r="G498" s="521">
        <f t="shared" si="14"/>
        <v>2013</v>
      </c>
      <c r="H498" s="521">
        <f t="shared" si="15"/>
        <v>4</v>
      </c>
      <c r="I498" s="524">
        <v>8</v>
      </c>
      <c r="J498" s="524">
        <v>3.504</v>
      </c>
      <c r="K498" s="524">
        <v>0</v>
      </c>
      <c r="L498" s="526">
        <v>3.504</v>
      </c>
      <c r="M498" s="524">
        <v>0</v>
      </c>
      <c r="N498" s="527">
        <v>0</v>
      </c>
      <c r="O498" s="524">
        <v>3.55</v>
      </c>
      <c r="P498" s="524">
        <v>0</v>
      </c>
    </row>
    <row r="499" spans="4:16">
      <c r="D499" s="470" t="s">
        <v>699</v>
      </c>
      <c r="E499" s="524" t="s">
        <v>702</v>
      </c>
      <c r="F499" s="525">
        <v>41424</v>
      </c>
      <c r="G499" s="521">
        <f t="shared" si="14"/>
        <v>2013</v>
      </c>
      <c r="H499" s="521">
        <f t="shared" si="15"/>
        <v>5</v>
      </c>
      <c r="I499" s="524">
        <v>12</v>
      </c>
      <c r="J499" s="524">
        <v>3.915</v>
      </c>
      <c r="K499" s="524">
        <v>0</v>
      </c>
      <c r="L499" s="526">
        <v>3.915</v>
      </c>
      <c r="M499" s="524">
        <v>0</v>
      </c>
      <c r="N499" s="527">
        <v>0</v>
      </c>
      <c r="O499" s="524">
        <v>3.8769999999999998</v>
      </c>
      <c r="P499" s="524">
        <v>0</v>
      </c>
    </row>
    <row r="500" spans="4:16">
      <c r="D500" s="470" t="s">
        <v>699</v>
      </c>
      <c r="E500" s="524" t="s">
        <v>702</v>
      </c>
      <c r="F500" s="525">
        <v>41451</v>
      </c>
      <c r="G500" s="521">
        <f t="shared" si="14"/>
        <v>2013</v>
      </c>
      <c r="H500" s="521">
        <f t="shared" si="15"/>
        <v>6</v>
      </c>
      <c r="I500" s="524">
        <v>17</v>
      </c>
      <c r="J500" s="524">
        <v>4.47</v>
      </c>
      <c r="K500" s="524">
        <v>0</v>
      </c>
      <c r="L500" s="526">
        <v>4.47</v>
      </c>
      <c r="M500" s="524">
        <v>0</v>
      </c>
      <c r="N500" s="527">
        <v>0</v>
      </c>
      <c r="O500" s="524">
        <v>4.4390000000000001</v>
      </c>
      <c r="P500" s="524">
        <v>0</v>
      </c>
    </row>
    <row r="501" spans="4:16">
      <c r="D501" s="470" t="s">
        <v>699</v>
      </c>
      <c r="E501" s="524" t="s">
        <v>702</v>
      </c>
      <c r="F501" s="525">
        <v>41472</v>
      </c>
      <c r="G501" s="521">
        <f t="shared" si="14"/>
        <v>2013</v>
      </c>
      <c r="H501" s="521">
        <f t="shared" si="15"/>
        <v>7</v>
      </c>
      <c r="I501" s="524">
        <v>17</v>
      </c>
      <c r="J501" s="524">
        <v>4.9809999999999999</v>
      </c>
      <c r="K501" s="524">
        <v>0</v>
      </c>
      <c r="L501" s="526">
        <v>4.9809999999999999</v>
      </c>
      <c r="M501" s="524">
        <v>0</v>
      </c>
      <c r="N501" s="527">
        <v>0</v>
      </c>
      <c r="O501" s="524">
        <v>4.9420000000000002</v>
      </c>
      <c r="P501" s="524">
        <v>0</v>
      </c>
    </row>
    <row r="502" spans="4:16">
      <c r="D502" s="470" t="s">
        <v>699</v>
      </c>
      <c r="E502" s="524" t="s">
        <v>702</v>
      </c>
      <c r="F502" s="525">
        <v>41516</v>
      </c>
      <c r="G502" s="521">
        <f t="shared" si="14"/>
        <v>2013</v>
      </c>
      <c r="H502" s="521">
        <f t="shared" si="15"/>
        <v>8</v>
      </c>
      <c r="I502" s="524">
        <v>16</v>
      </c>
      <c r="J502" s="524">
        <v>4.3719999999999999</v>
      </c>
      <c r="K502" s="524">
        <v>0</v>
      </c>
      <c r="L502" s="526">
        <v>4.3719999999999999</v>
      </c>
      <c r="M502" s="524">
        <v>0</v>
      </c>
      <c r="N502" s="527">
        <v>0</v>
      </c>
      <c r="O502" s="524">
        <v>4.34</v>
      </c>
      <c r="P502" s="524">
        <v>0</v>
      </c>
    </row>
    <row r="503" spans="4:16">
      <c r="D503" s="470" t="s">
        <v>699</v>
      </c>
      <c r="E503" s="524" t="s">
        <v>702</v>
      </c>
      <c r="F503" s="525">
        <v>41526</v>
      </c>
      <c r="G503" s="521">
        <f t="shared" si="14"/>
        <v>2013</v>
      </c>
      <c r="H503" s="521">
        <f t="shared" si="15"/>
        <v>9</v>
      </c>
      <c r="I503" s="524">
        <v>17</v>
      </c>
      <c r="J503" s="524">
        <v>4.8490000000000002</v>
      </c>
      <c r="K503" s="524">
        <v>0</v>
      </c>
      <c r="L503" s="526">
        <v>4.8490000000000002</v>
      </c>
      <c r="M503" s="524">
        <v>0</v>
      </c>
      <c r="N503" s="527">
        <v>0</v>
      </c>
      <c r="O503" s="524">
        <v>4.8159999999999998</v>
      </c>
      <c r="P503" s="524">
        <v>0</v>
      </c>
    </row>
    <row r="504" spans="4:16">
      <c r="D504" s="470" t="s">
        <v>699</v>
      </c>
      <c r="E504" s="524" t="s">
        <v>702</v>
      </c>
      <c r="F504" s="525">
        <v>41571</v>
      </c>
      <c r="G504" s="521">
        <f t="shared" si="14"/>
        <v>2013</v>
      </c>
      <c r="H504" s="521">
        <f t="shared" si="15"/>
        <v>10</v>
      </c>
      <c r="I504" s="524">
        <v>20</v>
      </c>
      <c r="J504" s="524">
        <v>2.6360000000000001</v>
      </c>
      <c r="K504" s="524">
        <v>0</v>
      </c>
      <c r="L504" s="526">
        <v>2.6360000000000001</v>
      </c>
      <c r="M504" s="524">
        <v>0</v>
      </c>
      <c r="N504" s="527">
        <v>0</v>
      </c>
      <c r="O504" s="524">
        <v>2.6179999999999999</v>
      </c>
      <c r="P504" s="524">
        <v>0</v>
      </c>
    </row>
    <row r="505" spans="4:16">
      <c r="D505" s="470" t="s">
        <v>699</v>
      </c>
      <c r="E505" s="524" t="s">
        <v>702</v>
      </c>
      <c r="F505" s="525">
        <v>41590</v>
      </c>
      <c r="G505" s="521">
        <f t="shared" si="14"/>
        <v>2013</v>
      </c>
      <c r="H505" s="521">
        <f t="shared" si="15"/>
        <v>11</v>
      </c>
      <c r="I505" s="524">
        <v>19</v>
      </c>
      <c r="J505" s="524">
        <v>2.9790000000000001</v>
      </c>
      <c r="K505" s="524">
        <v>0</v>
      </c>
      <c r="L505" s="526">
        <v>2.9790000000000001</v>
      </c>
      <c r="M505" s="524">
        <v>0</v>
      </c>
      <c r="N505" s="527">
        <v>0</v>
      </c>
      <c r="O505" s="524">
        <v>2.9550000000000001</v>
      </c>
      <c r="P505" s="524">
        <v>0</v>
      </c>
    </row>
    <row r="506" spans="4:16">
      <c r="D506" s="470" t="s">
        <v>699</v>
      </c>
      <c r="E506" s="524" t="s">
        <v>702</v>
      </c>
      <c r="F506" s="525">
        <v>41619</v>
      </c>
      <c r="G506" s="521">
        <f t="shared" si="14"/>
        <v>2013</v>
      </c>
      <c r="H506" s="521">
        <f t="shared" si="15"/>
        <v>12</v>
      </c>
      <c r="I506" s="524">
        <v>18</v>
      </c>
      <c r="J506" s="524">
        <v>3.5939999999999999</v>
      </c>
      <c r="K506" s="524">
        <v>0</v>
      </c>
      <c r="L506" s="526">
        <v>3.5939999999999999</v>
      </c>
      <c r="M506" s="524">
        <v>0</v>
      </c>
      <c r="N506" s="527">
        <v>0</v>
      </c>
      <c r="O506" s="524">
        <v>3.5640000000000001</v>
      </c>
      <c r="P506" s="524">
        <v>0</v>
      </c>
    </row>
    <row r="507" spans="4:16">
      <c r="D507" s="470" t="s">
        <v>699</v>
      </c>
      <c r="E507" s="470" t="s">
        <v>702</v>
      </c>
      <c r="F507" s="520">
        <v>41645</v>
      </c>
      <c r="G507" s="521">
        <f t="shared" si="14"/>
        <v>2014</v>
      </c>
      <c r="H507" s="521">
        <f t="shared" si="15"/>
        <v>1</v>
      </c>
      <c r="I507" s="470">
        <v>18</v>
      </c>
      <c r="J507" s="470">
        <v>3.649</v>
      </c>
      <c r="K507" s="470">
        <v>0</v>
      </c>
      <c r="L507" s="522">
        <v>3.649</v>
      </c>
      <c r="M507" s="470">
        <v>0</v>
      </c>
      <c r="N507" s="470">
        <v>0</v>
      </c>
      <c r="O507" s="470">
        <v>3.6190000000000002</v>
      </c>
      <c r="P507" s="470">
        <v>0</v>
      </c>
    </row>
    <row r="508" spans="4:16">
      <c r="D508" s="470" t="s">
        <v>699</v>
      </c>
      <c r="E508" s="470" t="s">
        <v>702</v>
      </c>
      <c r="F508" s="520">
        <v>41681</v>
      </c>
      <c r="G508" s="521">
        <f t="shared" si="14"/>
        <v>2014</v>
      </c>
      <c r="H508" s="521">
        <f t="shared" si="15"/>
        <v>2</v>
      </c>
      <c r="I508" s="470">
        <v>8</v>
      </c>
      <c r="J508" s="470">
        <v>3.96</v>
      </c>
      <c r="K508" s="470">
        <v>0</v>
      </c>
      <c r="L508" s="522">
        <v>3.96</v>
      </c>
      <c r="M508" s="470">
        <v>0</v>
      </c>
      <c r="N508" s="470">
        <v>0</v>
      </c>
      <c r="O508" s="470">
        <v>3.9319999999999999</v>
      </c>
      <c r="P508" s="470">
        <v>0</v>
      </c>
    </row>
    <row r="509" spans="4:16">
      <c r="D509" s="470" t="s">
        <v>699</v>
      </c>
      <c r="E509" s="470" t="s">
        <v>702</v>
      </c>
      <c r="F509" s="520">
        <v>41701</v>
      </c>
      <c r="G509" s="521">
        <f t="shared" si="14"/>
        <v>2014</v>
      </c>
      <c r="H509" s="521">
        <f t="shared" si="15"/>
        <v>3</v>
      </c>
      <c r="I509" s="470">
        <v>8</v>
      </c>
      <c r="J509" s="470">
        <v>3.855</v>
      </c>
      <c r="K509" s="470">
        <v>0</v>
      </c>
      <c r="L509" s="522">
        <v>3.855</v>
      </c>
      <c r="M509" s="470">
        <v>0</v>
      </c>
      <c r="N509" s="470">
        <v>0</v>
      </c>
      <c r="O509" s="470">
        <v>3.8260000000000001</v>
      </c>
      <c r="P509" s="470">
        <v>0</v>
      </c>
    </row>
    <row r="510" spans="4:16">
      <c r="D510" s="470" t="s">
        <v>699</v>
      </c>
      <c r="E510" s="470" t="s">
        <v>702</v>
      </c>
      <c r="F510" s="520">
        <v>41730</v>
      </c>
      <c r="G510" s="521">
        <f t="shared" si="14"/>
        <v>2014</v>
      </c>
      <c r="H510" s="521">
        <f t="shared" si="15"/>
        <v>4</v>
      </c>
      <c r="I510" s="470">
        <v>9</v>
      </c>
      <c r="J510" s="470">
        <v>3.7989999999999999</v>
      </c>
      <c r="K510" s="470">
        <v>0</v>
      </c>
      <c r="L510" s="522">
        <v>3.7989999999999999</v>
      </c>
      <c r="M510" s="470">
        <v>0</v>
      </c>
      <c r="N510" s="470">
        <v>0</v>
      </c>
      <c r="O510" s="470">
        <v>3.7690000000000001</v>
      </c>
      <c r="P510" s="470">
        <v>0</v>
      </c>
    </row>
    <row r="511" spans="4:16">
      <c r="D511" s="470" t="s">
        <v>699</v>
      </c>
      <c r="E511" s="470" t="s">
        <v>702</v>
      </c>
      <c r="F511" s="520">
        <v>41789</v>
      </c>
      <c r="G511" s="521">
        <f t="shared" si="14"/>
        <v>2014</v>
      </c>
      <c r="H511" s="521">
        <f t="shared" si="15"/>
        <v>5</v>
      </c>
      <c r="I511" s="470">
        <v>17</v>
      </c>
      <c r="J511" s="470">
        <v>3.8380000000000001</v>
      </c>
      <c r="K511" s="470">
        <v>0</v>
      </c>
      <c r="L511" s="522">
        <v>3.8380000000000001</v>
      </c>
      <c r="M511" s="470">
        <v>0</v>
      </c>
      <c r="N511" s="470">
        <v>0</v>
      </c>
      <c r="O511" s="470">
        <v>3.8119999999999998</v>
      </c>
      <c r="P511" s="470">
        <v>0</v>
      </c>
    </row>
    <row r="512" spans="4:16">
      <c r="D512" s="470" t="s">
        <v>699</v>
      </c>
      <c r="E512" s="470" t="s">
        <v>702</v>
      </c>
      <c r="F512" s="520">
        <v>41808</v>
      </c>
      <c r="G512" s="521">
        <f t="shared" si="14"/>
        <v>2014</v>
      </c>
      <c r="H512" s="521">
        <f t="shared" si="15"/>
        <v>6</v>
      </c>
      <c r="I512" s="470">
        <v>18</v>
      </c>
      <c r="J512" s="470">
        <v>3.992</v>
      </c>
      <c r="K512" s="470">
        <v>0</v>
      </c>
      <c r="L512" s="522">
        <v>3.992</v>
      </c>
      <c r="M512" s="470">
        <v>0</v>
      </c>
      <c r="N512" s="470">
        <v>0</v>
      </c>
      <c r="O512" s="470">
        <v>3.9590000000000001</v>
      </c>
      <c r="P512" s="470">
        <v>0</v>
      </c>
    </row>
    <row r="513" spans="4:16">
      <c r="D513" s="470" t="s">
        <v>699</v>
      </c>
      <c r="E513" s="470" t="s">
        <v>702</v>
      </c>
      <c r="F513" s="520">
        <v>41842</v>
      </c>
      <c r="G513" s="521">
        <f t="shared" si="14"/>
        <v>2014</v>
      </c>
      <c r="H513" s="521">
        <f t="shared" si="15"/>
        <v>7</v>
      </c>
      <c r="I513" s="470">
        <v>17</v>
      </c>
      <c r="J513" s="470">
        <v>4.5970000000000004</v>
      </c>
      <c r="K513" s="470">
        <v>0</v>
      </c>
      <c r="L513" s="522">
        <v>4.5970000000000004</v>
      </c>
      <c r="M513" s="470">
        <v>0</v>
      </c>
      <c r="N513" s="470">
        <v>0</v>
      </c>
      <c r="O513" s="470">
        <v>4.5549999999999997</v>
      </c>
      <c r="P513" s="470">
        <v>0</v>
      </c>
    </row>
    <row r="514" spans="4:16">
      <c r="D514" s="470" t="s">
        <v>699</v>
      </c>
      <c r="E514" s="470" t="s">
        <v>702</v>
      </c>
      <c r="F514" s="520">
        <v>41876</v>
      </c>
      <c r="G514" s="521">
        <f t="shared" si="14"/>
        <v>2014</v>
      </c>
      <c r="H514" s="521">
        <f t="shared" si="15"/>
        <v>8</v>
      </c>
      <c r="I514" s="470">
        <v>17</v>
      </c>
      <c r="J514" s="470">
        <v>3.7450000000000001</v>
      </c>
      <c r="K514" s="470">
        <v>0</v>
      </c>
      <c r="L514" s="522">
        <v>3.7450000000000001</v>
      </c>
      <c r="M514" s="470">
        <v>0</v>
      </c>
      <c r="N514" s="470">
        <v>0</v>
      </c>
      <c r="O514" s="470">
        <v>3.7130000000000001</v>
      </c>
      <c r="P514" s="470">
        <v>0</v>
      </c>
    </row>
    <row r="515" spans="4:16">
      <c r="D515" s="470" t="s">
        <v>699</v>
      </c>
      <c r="E515" s="470" t="s">
        <v>702</v>
      </c>
      <c r="F515" s="520">
        <v>41886</v>
      </c>
      <c r="G515" s="521">
        <f t="shared" ref="G515:G578" si="16">YEAR(F515)</f>
        <v>2014</v>
      </c>
      <c r="H515" s="521">
        <f t="shared" ref="H515:H578" si="17">MONTH(F515)</f>
        <v>9</v>
      </c>
      <c r="I515" s="470">
        <v>17</v>
      </c>
      <c r="J515" s="470">
        <v>4.2949999999999999</v>
      </c>
      <c r="K515" s="470">
        <v>0</v>
      </c>
      <c r="L515" s="522">
        <v>4.2949999999999999</v>
      </c>
      <c r="M515" s="470">
        <v>0</v>
      </c>
      <c r="N515" s="470">
        <v>0</v>
      </c>
      <c r="O515" s="470">
        <v>4.2610000000000001</v>
      </c>
      <c r="P515" s="470">
        <v>0</v>
      </c>
    </row>
    <row r="516" spans="4:16">
      <c r="D516" s="470" t="s">
        <v>699</v>
      </c>
      <c r="E516" s="470" t="s">
        <v>702</v>
      </c>
      <c r="F516" s="520">
        <v>41939</v>
      </c>
      <c r="G516" s="521">
        <f t="shared" si="16"/>
        <v>2014</v>
      </c>
      <c r="H516" s="521">
        <f t="shared" si="17"/>
        <v>10</v>
      </c>
      <c r="I516" s="470">
        <v>19</v>
      </c>
      <c r="J516" s="470">
        <v>2.7989999999999999</v>
      </c>
      <c r="K516" s="470">
        <v>0</v>
      </c>
      <c r="L516" s="522">
        <v>2.7989999999999999</v>
      </c>
      <c r="M516" s="523">
        <v>2906</v>
      </c>
      <c r="N516" s="470">
        <v>9.6000000000000002E-2</v>
      </c>
      <c r="O516" s="470">
        <v>2.778</v>
      </c>
      <c r="P516" s="470">
        <v>0</v>
      </c>
    </row>
    <row r="517" spans="4:16">
      <c r="D517" s="470" t="s">
        <v>699</v>
      </c>
      <c r="E517" s="470" t="s">
        <v>702</v>
      </c>
      <c r="F517" s="520">
        <v>41960</v>
      </c>
      <c r="G517" s="521">
        <f t="shared" si="16"/>
        <v>2014</v>
      </c>
      <c r="H517" s="521">
        <f t="shared" si="17"/>
        <v>11</v>
      </c>
      <c r="I517" s="470">
        <v>18</v>
      </c>
      <c r="J517" s="470">
        <v>3.347</v>
      </c>
      <c r="K517" s="470">
        <v>0</v>
      </c>
      <c r="L517" s="522">
        <v>3.347</v>
      </c>
      <c r="M517" s="470">
        <v>0</v>
      </c>
      <c r="N517" s="470">
        <v>0</v>
      </c>
      <c r="O517" s="470">
        <v>3.3330000000000002</v>
      </c>
      <c r="P517" s="470">
        <v>0</v>
      </c>
    </row>
    <row r="518" spans="4:16">
      <c r="D518" s="470" t="s">
        <v>699</v>
      </c>
      <c r="E518" s="470" t="s">
        <v>702</v>
      </c>
      <c r="F518" s="520">
        <v>41974</v>
      </c>
      <c r="G518" s="521">
        <f t="shared" si="16"/>
        <v>2014</v>
      </c>
      <c r="H518" s="521">
        <f t="shared" si="17"/>
        <v>12</v>
      </c>
      <c r="I518" s="470">
        <v>19</v>
      </c>
      <c r="J518" s="470">
        <v>3.3490000000000002</v>
      </c>
      <c r="K518" s="470">
        <v>0</v>
      </c>
      <c r="L518" s="522">
        <v>3.3490000000000002</v>
      </c>
      <c r="M518" s="470">
        <v>0</v>
      </c>
      <c r="N518" s="470">
        <v>0</v>
      </c>
      <c r="O518" s="470">
        <v>3.3359999999999999</v>
      </c>
      <c r="P518" s="470">
        <v>0</v>
      </c>
    </row>
    <row r="519" spans="4:16">
      <c r="D519" s="470" t="s">
        <v>699</v>
      </c>
      <c r="E519" s="470" t="s">
        <v>702</v>
      </c>
      <c r="F519" s="520">
        <v>42011</v>
      </c>
      <c r="G519" s="521">
        <f t="shared" si="16"/>
        <v>2015</v>
      </c>
      <c r="H519" s="521">
        <f t="shared" si="17"/>
        <v>1</v>
      </c>
      <c r="I519" s="470">
        <v>19</v>
      </c>
      <c r="J519" s="470">
        <v>3.472</v>
      </c>
      <c r="K519" s="470">
        <v>0</v>
      </c>
      <c r="L519" s="522">
        <v>3.472</v>
      </c>
      <c r="M519" s="523">
        <v>3438</v>
      </c>
      <c r="N519" s="470">
        <v>0.10100000000000001</v>
      </c>
      <c r="O519" s="470">
        <v>3.456</v>
      </c>
      <c r="P519" s="470">
        <v>0</v>
      </c>
    </row>
    <row r="520" spans="4:16">
      <c r="D520" s="470" t="s">
        <v>699</v>
      </c>
      <c r="E520" s="470" t="s">
        <v>702</v>
      </c>
      <c r="F520" s="520">
        <v>42053</v>
      </c>
      <c r="G520" s="521">
        <f t="shared" si="16"/>
        <v>2015</v>
      </c>
      <c r="H520" s="521">
        <f t="shared" si="17"/>
        <v>2</v>
      </c>
      <c r="I520" s="470">
        <v>19</v>
      </c>
      <c r="J520" s="470">
        <v>3.3439999999999999</v>
      </c>
      <c r="K520" s="470">
        <v>0</v>
      </c>
      <c r="L520" s="522">
        <v>3.3439999999999999</v>
      </c>
      <c r="M520" s="523">
        <v>3305</v>
      </c>
      <c r="N520" s="470">
        <v>0.10100000000000001</v>
      </c>
      <c r="O520" s="470">
        <v>3.32</v>
      </c>
      <c r="P520" s="470">
        <v>0</v>
      </c>
    </row>
    <row r="521" spans="4:16">
      <c r="D521" s="470" t="s">
        <v>699</v>
      </c>
      <c r="E521" s="470" t="s">
        <v>702</v>
      </c>
      <c r="F521" s="520">
        <v>42067</v>
      </c>
      <c r="G521" s="521">
        <f t="shared" si="16"/>
        <v>2015</v>
      </c>
      <c r="H521" s="521">
        <f t="shared" si="17"/>
        <v>3</v>
      </c>
      <c r="I521" s="470">
        <v>9</v>
      </c>
      <c r="J521" s="470">
        <v>3.9350000000000001</v>
      </c>
      <c r="K521" s="470">
        <v>0</v>
      </c>
      <c r="L521" s="522">
        <v>3.9350000000000001</v>
      </c>
      <c r="M521" s="470">
        <v>0</v>
      </c>
      <c r="N521" s="470">
        <v>0</v>
      </c>
      <c r="O521" s="470">
        <v>3.9039999999999999</v>
      </c>
      <c r="P521" s="470">
        <v>0</v>
      </c>
    </row>
    <row r="522" spans="4:16">
      <c r="D522" s="470" t="s">
        <v>699</v>
      </c>
      <c r="E522" s="470" t="s">
        <v>702</v>
      </c>
      <c r="F522" s="520">
        <v>42103</v>
      </c>
      <c r="G522" s="521">
        <f t="shared" si="16"/>
        <v>2015</v>
      </c>
      <c r="H522" s="521">
        <f t="shared" si="17"/>
        <v>4</v>
      </c>
      <c r="I522" s="470">
        <v>11</v>
      </c>
      <c r="J522" s="470">
        <v>3.7690000000000001</v>
      </c>
      <c r="K522" s="470">
        <v>0</v>
      </c>
      <c r="L522" s="522">
        <v>3.7690000000000001</v>
      </c>
      <c r="M522" s="470">
        <v>0</v>
      </c>
      <c r="N522" s="470">
        <v>0</v>
      </c>
      <c r="O522" s="470">
        <v>3.7440000000000002</v>
      </c>
      <c r="P522" s="470">
        <v>0</v>
      </c>
    </row>
    <row r="523" spans="4:16">
      <c r="D523" s="470" t="s">
        <v>699</v>
      </c>
      <c r="E523" s="470" t="s">
        <v>702</v>
      </c>
      <c r="F523" s="520">
        <v>42152</v>
      </c>
      <c r="G523" s="521">
        <f t="shared" si="16"/>
        <v>2015</v>
      </c>
      <c r="H523" s="521">
        <f t="shared" si="17"/>
        <v>5</v>
      </c>
      <c r="I523" s="470">
        <v>15</v>
      </c>
      <c r="J523" s="470">
        <v>3.9449999999999998</v>
      </c>
      <c r="K523" s="470">
        <v>0</v>
      </c>
      <c r="L523" s="522">
        <v>3.9449999999999998</v>
      </c>
      <c r="M523" s="470">
        <v>0</v>
      </c>
      <c r="N523" s="470">
        <v>0</v>
      </c>
      <c r="O523" s="470">
        <v>3.911</v>
      </c>
      <c r="P523" s="470">
        <v>0</v>
      </c>
    </row>
    <row r="524" spans="4:16">
      <c r="D524" s="470" t="s">
        <v>699</v>
      </c>
      <c r="E524" s="470" t="s">
        <v>702</v>
      </c>
      <c r="F524" s="520">
        <v>42165</v>
      </c>
      <c r="G524" s="521">
        <f t="shared" si="16"/>
        <v>2015</v>
      </c>
      <c r="H524" s="521">
        <f t="shared" si="17"/>
        <v>6</v>
      </c>
      <c r="I524" s="470">
        <v>18</v>
      </c>
      <c r="J524" s="470">
        <v>3.496</v>
      </c>
      <c r="K524" s="470">
        <v>0</v>
      </c>
      <c r="L524" s="522">
        <v>3.496</v>
      </c>
      <c r="M524" s="470">
        <v>0</v>
      </c>
      <c r="N524" s="470">
        <v>0</v>
      </c>
      <c r="O524" s="470">
        <v>3.4580000000000002</v>
      </c>
      <c r="P524" s="470">
        <v>0</v>
      </c>
    </row>
    <row r="525" spans="4:16">
      <c r="D525" s="470" t="s">
        <v>699</v>
      </c>
      <c r="E525" s="470" t="s">
        <v>702</v>
      </c>
      <c r="F525" s="520">
        <v>42198</v>
      </c>
      <c r="G525" s="521">
        <f t="shared" si="16"/>
        <v>2015</v>
      </c>
      <c r="H525" s="521">
        <f t="shared" si="17"/>
        <v>7</v>
      </c>
      <c r="I525" s="470">
        <v>16</v>
      </c>
      <c r="J525" s="470">
        <v>5.069</v>
      </c>
      <c r="K525" s="470">
        <v>0</v>
      </c>
      <c r="L525" s="522">
        <v>5.069</v>
      </c>
      <c r="M525" s="470">
        <v>0</v>
      </c>
      <c r="N525" s="470">
        <v>0</v>
      </c>
      <c r="O525" s="470">
        <v>5.0229999999999997</v>
      </c>
      <c r="P525" s="470">
        <v>0</v>
      </c>
    </row>
    <row r="526" spans="4:16">
      <c r="D526" s="470" t="s">
        <v>699</v>
      </c>
      <c r="E526" s="470" t="s">
        <v>702</v>
      </c>
      <c r="F526" s="520">
        <v>42230</v>
      </c>
      <c r="G526" s="521">
        <f t="shared" si="16"/>
        <v>2015</v>
      </c>
      <c r="H526" s="521">
        <f t="shared" si="17"/>
        <v>8</v>
      </c>
      <c r="I526" s="470">
        <v>17</v>
      </c>
      <c r="J526" s="470">
        <v>4.6959999999999997</v>
      </c>
      <c r="K526" s="470">
        <v>0</v>
      </c>
      <c r="L526" s="522">
        <v>4.6959999999999997</v>
      </c>
      <c r="M526" s="470">
        <v>0</v>
      </c>
      <c r="N526" s="470">
        <v>0</v>
      </c>
      <c r="O526" s="470">
        <v>4.6630000000000003</v>
      </c>
      <c r="P526" s="470">
        <v>0</v>
      </c>
    </row>
    <row r="527" spans="4:16">
      <c r="D527" s="470" t="s">
        <v>699</v>
      </c>
      <c r="E527" s="470" t="s">
        <v>702</v>
      </c>
      <c r="F527" s="520">
        <v>42250</v>
      </c>
      <c r="G527" s="521">
        <f t="shared" si="16"/>
        <v>2015</v>
      </c>
      <c r="H527" s="521">
        <f t="shared" si="17"/>
        <v>9</v>
      </c>
      <c r="I527" s="470">
        <v>17</v>
      </c>
      <c r="J527" s="470">
        <v>5.0250000000000004</v>
      </c>
      <c r="K527" s="470">
        <v>0</v>
      </c>
      <c r="L527" s="522">
        <v>5.0250000000000004</v>
      </c>
      <c r="M527" s="470">
        <v>0</v>
      </c>
      <c r="N527" s="470">
        <v>0</v>
      </c>
      <c r="O527" s="470">
        <v>4.9870000000000001</v>
      </c>
      <c r="P527" s="470">
        <v>0</v>
      </c>
    </row>
    <row r="528" spans="4:16">
      <c r="D528" s="470" t="s">
        <v>699</v>
      </c>
      <c r="E528" s="470" t="s">
        <v>702</v>
      </c>
      <c r="F528" s="520">
        <v>42284</v>
      </c>
      <c r="G528" s="521">
        <f t="shared" si="16"/>
        <v>2015</v>
      </c>
      <c r="H528" s="521">
        <f t="shared" si="17"/>
        <v>10</v>
      </c>
      <c r="I528" s="470">
        <v>15</v>
      </c>
      <c r="J528" s="470">
        <v>3.3690000000000002</v>
      </c>
      <c r="K528" s="470">
        <v>0</v>
      </c>
      <c r="L528" s="522">
        <v>3.3690000000000002</v>
      </c>
      <c r="M528" s="470">
        <v>0</v>
      </c>
      <c r="N528" s="470">
        <v>0</v>
      </c>
      <c r="O528" s="470">
        <v>3.34</v>
      </c>
      <c r="P528" s="470">
        <v>0</v>
      </c>
    </row>
    <row r="529" spans="4:16">
      <c r="D529" s="470" t="s">
        <v>699</v>
      </c>
      <c r="E529" s="470" t="s">
        <v>702</v>
      </c>
      <c r="F529" s="520">
        <v>42338</v>
      </c>
      <c r="G529" s="521">
        <f t="shared" si="16"/>
        <v>2015</v>
      </c>
      <c r="H529" s="521">
        <f t="shared" si="17"/>
        <v>11</v>
      </c>
      <c r="I529" s="470">
        <v>18</v>
      </c>
      <c r="J529" s="470">
        <v>3.218</v>
      </c>
      <c r="K529" s="470">
        <v>0</v>
      </c>
      <c r="L529" s="522">
        <v>3.218</v>
      </c>
      <c r="M529" s="470">
        <v>0</v>
      </c>
      <c r="N529" s="470">
        <v>0</v>
      </c>
      <c r="O529" s="470">
        <v>3.198</v>
      </c>
      <c r="P529" s="470">
        <v>0</v>
      </c>
    </row>
    <row r="530" spans="4:16">
      <c r="D530" s="470" t="s">
        <v>699</v>
      </c>
      <c r="E530" s="470" t="s">
        <v>702</v>
      </c>
      <c r="F530" s="520">
        <v>42355</v>
      </c>
      <c r="G530" s="521">
        <f t="shared" si="16"/>
        <v>2015</v>
      </c>
      <c r="H530" s="521">
        <f t="shared" si="17"/>
        <v>12</v>
      </c>
      <c r="I530" s="470">
        <v>19</v>
      </c>
      <c r="J530" s="470">
        <v>3.1549999999999998</v>
      </c>
      <c r="K530" s="470">
        <v>0</v>
      </c>
      <c r="L530" s="522">
        <v>3.1549999999999998</v>
      </c>
      <c r="M530" s="470">
        <v>0</v>
      </c>
      <c r="N530" s="470">
        <v>0</v>
      </c>
      <c r="O530" s="470">
        <v>3.13</v>
      </c>
      <c r="P530" s="470">
        <v>0</v>
      </c>
    </row>
    <row r="531" spans="4:16">
      <c r="D531" s="470" t="s">
        <v>699</v>
      </c>
      <c r="E531" s="524" t="s">
        <v>703</v>
      </c>
      <c r="F531" s="525">
        <v>40927</v>
      </c>
      <c r="G531" s="521">
        <f t="shared" si="16"/>
        <v>2012</v>
      </c>
      <c r="H531" s="521">
        <f t="shared" si="17"/>
        <v>1</v>
      </c>
      <c r="I531" s="524">
        <v>19</v>
      </c>
      <c r="J531" s="524">
        <v>10.085000000000001</v>
      </c>
      <c r="K531" s="524">
        <v>0</v>
      </c>
      <c r="L531" s="526">
        <v>10.085000000000001</v>
      </c>
      <c r="M531" s="524">
        <v>0</v>
      </c>
      <c r="N531" s="527">
        <v>0</v>
      </c>
      <c r="O531" s="524">
        <v>10.166</v>
      </c>
      <c r="P531" s="524">
        <v>0</v>
      </c>
    </row>
    <row r="532" spans="4:16">
      <c r="D532" s="470" t="s">
        <v>699</v>
      </c>
      <c r="E532" s="524" t="s">
        <v>703</v>
      </c>
      <c r="F532" s="525">
        <v>40952</v>
      </c>
      <c r="G532" s="521">
        <f t="shared" si="16"/>
        <v>2012</v>
      </c>
      <c r="H532" s="521">
        <f t="shared" si="17"/>
        <v>2</v>
      </c>
      <c r="I532" s="524">
        <v>19</v>
      </c>
      <c r="J532" s="524">
        <v>9.2759999999999998</v>
      </c>
      <c r="K532" s="524">
        <v>0</v>
      </c>
      <c r="L532" s="526">
        <v>9.2759999999999998</v>
      </c>
      <c r="M532" s="524">
        <v>0</v>
      </c>
      <c r="N532" s="527">
        <v>0</v>
      </c>
      <c r="O532" s="524">
        <v>9.3670000000000009</v>
      </c>
      <c r="P532" s="524">
        <v>0</v>
      </c>
    </row>
    <row r="533" spans="4:16">
      <c r="D533" s="470" t="s">
        <v>699</v>
      </c>
      <c r="E533" s="524" t="s">
        <v>703</v>
      </c>
      <c r="F533" s="525">
        <v>40973</v>
      </c>
      <c r="G533" s="521">
        <f t="shared" si="16"/>
        <v>2012</v>
      </c>
      <c r="H533" s="521">
        <f t="shared" si="17"/>
        <v>3</v>
      </c>
      <c r="I533" s="524">
        <v>8</v>
      </c>
      <c r="J533" s="524">
        <v>9.8460000000000001</v>
      </c>
      <c r="K533" s="524">
        <v>0</v>
      </c>
      <c r="L533" s="526">
        <v>9.8460000000000001</v>
      </c>
      <c r="M533" s="524">
        <v>0</v>
      </c>
      <c r="N533" s="527">
        <v>0</v>
      </c>
      <c r="O533" s="524">
        <v>9.9920000000000009</v>
      </c>
      <c r="P533" s="524">
        <v>0</v>
      </c>
    </row>
    <row r="534" spans="4:16">
      <c r="D534" s="470" t="s">
        <v>699</v>
      </c>
      <c r="E534" s="524" t="s">
        <v>703</v>
      </c>
      <c r="F534" s="525">
        <v>41001</v>
      </c>
      <c r="G534" s="521">
        <f t="shared" si="16"/>
        <v>2012</v>
      </c>
      <c r="H534" s="521">
        <f t="shared" si="17"/>
        <v>4</v>
      </c>
      <c r="I534" s="524">
        <v>21</v>
      </c>
      <c r="J534" s="524">
        <v>8.3089999999999993</v>
      </c>
      <c r="K534" s="524">
        <v>0</v>
      </c>
      <c r="L534" s="526">
        <v>8.3089999999999993</v>
      </c>
      <c r="M534" s="524">
        <v>0</v>
      </c>
      <c r="N534" s="527">
        <v>0</v>
      </c>
      <c r="O534" s="524">
        <v>8.41</v>
      </c>
      <c r="P534" s="524">
        <v>0</v>
      </c>
    </row>
    <row r="535" spans="4:16">
      <c r="D535" s="470" t="s">
        <v>699</v>
      </c>
      <c r="E535" s="524" t="s">
        <v>703</v>
      </c>
      <c r="F535" s="525">
        <v>41053</v>
      </c>
      <c r="G535" s="521">
        <f t="shared" si="16"/>
        <v>2012</v>
      </c>
      <c r="H535" s="521">
        <f t="shared" si="17"/>
        <v>5</v>
      </c>
      <c r="I535" s="524">
        <v>14</v>
      </c>
      <c r="J535" s="524">
        <v>10.004</v>
      </c>
      <c r="K535" s="524">
        <v>0</v>
      </c>
      <c r="L535" s="526">
        <v>10.004</v>
      </c>
      <c r="M535" s="524">
        <v>0</v>
      </c>
      <c r="N535" s="527">
        <v>0</v>
      </c>
      <c r="O535" s="524">
        <v>10.085000000000001</v>
      </c>
      <c r="P535" s="524">
        <v>0</v>
      </c>
    </row>
    <row r="536" spans="4:16">
      <c r="D536" s="470" t="s">
        <v>699</v>
      </c>
      <c r="E536" s="524" t="s">
        <v>703</v>
      </c>
      <c r="F536" s="525">
        <v>41087</v>
      </c>
      <c r="G536" s="521">
        <f t="shared" si="16"/>
        <v>2012</v>
      </c>
      <c r="H536" s="521">
        <f t="shared" si="17"/>
        <v>6</v>
      </c>
      <c r="I536" s="524">
        <v>17</v>
      </c>
      <c r="J536" s="524">
        <v>12.907</v>
      </c>
      <c r="K536" s="524">
        <v>0</v>
      </c>
      <c r="L536" s="526">
        <v>12.907</v>
      </c>
      <c r="M536" s="524">
        <v>0</v>
      </c>
      <c r="N536" s="527">
        <v>0</v>
      </c>
      <c r="O536" s="524">
        <v>13.022</v>
      </c>
      <c r="P536" s="524">
        <v>0</v>
      </c>
    </row>
    <row r="537" spans="4:16">
      <c r="D537" s="470" t="s">
        <v>699</v>
      </c>
      <c r="E537" s="524" t="s">
        <v>703</v>
      </c>
      <c r="F537" s="525">
        <v>41115</v>
      </c>
      <c r="G537" s="521">
        <f t="shared" si="16"/>
        <v>2012</v>
      </c>
      <c r="H537" s="521">
        <f t="shared" si="17"/>
        <v>7</v>
      </c>
      <c r="I537" s="524">
        <v>17</v>
      </c>
      <c r="J537" s="524">
        <v>14.327</v>
      </c>
      <c r="K537" s="524">
        <v>0</v>
      </c>
      <c r="L537" s="526">
        <v>14.327</v>
      </c>
      <c r="M537" s="524">
        <v>0</v>
      </c>
      <c r="N537" s="527">
        <v>0</v>
      </c>
      <c r="O537" s="524">
        <v>14.372</v>
      </c>
      <c r="P537" s="524">
        <v>0</v>
      </c>
    </row>
    <row r="538" spans="4:16">
      <c r="D538" s="470" t="s">
        <v>699</v>
      </c>
      <c r="E538" s="524" t="s">
        <v>703</v>
      </c>
      <c r="F538" s="525">
        <v>41124</v>
      </c>
      <c r="G538" s="521">
        <f t="shared" si="16"/>
        <v>2012</v>
      </c>
      <c r="H538" s="521">
        <f t="shared" si="17"/>
        <v>8</v>
      </c>
      <c r="I538" s="524">
        <v>17</v>
      </c>
      <c r="J538" s="524">
        <v>12.675000000000001</v>
      </c>
      <c r="K538" s="524">
        <v>0</v>
      </c>
      <c r="L538" s="526">
        <v>12.675000000000001</v>
      </c>
      <c r="M538" s="524">
        <v>0</v>
      </c>
      <c r="N538" s="527">
        <v>0</v>
      </c>
      <c r="O538" s="524">
        <v>12.808999999999999</v>
      </c>
      <c r="P538" s="524">
        <v>0</v>
      </c>
    </row>
    <row r="539" spans="4:16">
      <c r="D539" s="470" t="s">
        <v>699</v>
      </c>
      <c r="E539" s="524" t="s">
        <v>703</v>
      </c>
      <c r="F539" s="525">
        <v>41156</v>
      </c>
      <c r="G539" s="521">
        <f t="shared" si="16"/>
        <v>2012</v>
      </c>
      <c r="H539" s="521">
        <f t="shared" si="17"/>
        <v>9</v>
      </c>
      <c r="I539" s="524">
        <v>17</v>
      </c>
      <c r="J539" s="524">
        <v>12.493</v>
      </c>
      <c r="K539" s="524">
        <v>0</v>
      </c>
      <c r="L539" s="526">
        <v>12.493</v>
      </c>
      <c r="M539" s="524">
        <v>0</v>
      </c>
      <c r="N539" s="527">
        <v>0</v>
      </c>
      <c r="O539" s="524">
        <v>12.502000000000001</v>
      </c>
      <c r="P539" s="524">
        <v>0</v>
      </c>
    </row>
    <row r="540" spans="4:16">
      <c r="D540" s="470" t="s">
        <v>699</v>
      </c>
      <c r="E540" s="524" t="s">
        <v>703</v>
      </c>
      <c r="F540" s="525">
        <v>41211</v>
      </c>
      <c r="G540" s="521">
        <f t="shared" si="16"/>
        <v>2012</v>
      </c>
      <c r="H540" s="521">
        <f t="shared" si="17"/>
        <v>10</v>
      </c>
      <c r="I540" s="524">
        <v>8</v>
      </c>
      <c r="J540" s="524">
        <v>8.7110000000000003</v>
      </c>
      <c r="K540" s="524">
        <v>0</v>
      </c>
      <c r="L540" s="526">
        <v>8.7110000000000003</v>
      </c>
      <c r="M540" s="524">
        <v>0</v>
      </c>
      <c r="N540" s="527">
        <v>0</v>
      </c>
      <c r="O540" s="524">
        <v>8.8629999999999995</v>
      </c>
      <c r="P540" s="524">
        <v>0</v>
      </c>
    </row>
    <row r="541" spans="4:16">
      <c r="D541" s="470" t="s">
        <v>699</v>
      </c>
      <c r="E541" s="524" t="s">
        <v>703</v>
      </c>
      <c r="F541" s="525">
        <v>41225</v>
      </c>
      <c r="G541" s="521">
        <f t="shared" si="16"/>
        <v>2012</v>
      </c>
      <c r="H541" s="521">
        <f t="shared" si="17"/>
        <v>11</v>
      </c>
      <c r="I541" s="524">
        <v>18</v>
      </c>
      <c r="J541" s="524">
        <v>9.4320000000000004</v>
      </c>
      <c r="K541" s="524">
        <v>0</v>
      </c>
      <c r="L541" s="526">
        <v>9.4320000000000004</v>
      </c>
      <c r="M541" s="524">
        <v>0</v>
      </c>
      <c r="N541" s="527">
        <v>0</v>
      </c>
      <c r="O541" s="524">
        <v>9.5559999999999992</v>
      </c>
      <c r="P541" s="524">
        <v>0</v>
      </c>
    </row>
    <row r="542" spans="4:16">
      <c r="D542" s="470" t="s">
        <v>699</v>
      </c>
      <c r="E542" s="524" t="s">
        <v>703</v>
      </c>
      <c r="F542" s="525">
        <v>41263</v>
      </c>
      <c r="G542" s="521">
        <f t="shared" si="16"/>
        <v>2012</v>
      </c>
      <c r="H542" s="521">
        <f t="shared" si="17"/>
        <v>12</v>
      </c>
      <c r="I542" s="524">
        <v>18</v>
      </c>
      <c r="J542" s="524">
        <v>10.574</v>
      </c>
      <c r="K542" s="524">
        <v>0</v>
      </c>
      <c r="L542" s="526">
        <v>10.574</v>
      </c>
      <c r="M542" s="524">
        <v>0</v>
      </c>
      <c r="N542" s="527">
        <v>0</v>
      </c>
      <c r="O542" s="524">
        <v>10.717000000000001</v>
      </c>
      <c r="P542" s="524">
        <v>0</v>
      </c>
    </row>
    <row r="543" spans="4:16">
      <c r="D543" s="470" t="s">
        <v>699</v>
      </c>
      <c r="E543" s="524" t="s">
        <v>703</v>
      </c>
      <c r="F543" s="525">
        <v>41305</v>
      </c>
      <c r="G543" s="521">
        <f t="shared" si="16"/>
        <v>2013</v>
      </c>
      <c r="H543" s="521">
        <f t="shared" si="17"/>
        <v>1</v>
      </c>
      <c r="I543" s="524">
        <v>19</v>
      </c>
      <c r="J543" s="524">
        <v>10.327</v>
      </c>
      <c r="K543" s="524">
        <v>0</v>
      </c>
      <c r="L543" s="526">
        <v>10.327</v>
      </c>
      <c r="M543" s="524">
        <v>0</v>
      </c>
      <c r="N543" s="527">
        <v>0</v>
      </c>
      <c r="O543" s="524">
        <v>10.455</v>
      </c>
      <c r="P543" s="524">
        <v>0</v>
      </c>
    </row>
    <row r="544" spans="4:16">
      <c r="D544" s="470" t="s">
        <v>699</v>
      </c>
      <c r="E544" s="524" t="s">
        <v>703</v>
      </c>
      <c r="F544" s="525">
        <v>41306</v>
      </c>
      <c r="G544" s="521">
        <f t="shared" si="16"/>
        <v>2013</v>
      </c>
      <c r="H544" s="521">
        <f t="shared" si="17"/>
        <v>2</v>
      </c>
      <c r="I544" s="524">
        <v>8</v>
      </c>
      <c r="J544" s="524">
        <v>9.9719999999999995</v>
      </c>
      <c r="K544" s="524">
        <v>0</v>
      </c>
      <c r="L544" s="526">
        <v>9.9719999999999995</v>
      </c>
      <c r="M544" s="524">
        <v>0</v>
      </c>
      <c r="N544" s="527">
        <v>0</v>
      </c>
      <c r="O544" s="524">
        <v>10.1</v>
      </c>
      <c r="P544" s="524">
        <v>0</v>
      </c>
    </row>
    <row r="545" spans="4:16">
      <c r="D545" s="470" t="s">
        <v>699</v>
      </c>
      <c r="E545" s="524" t="s">
        <v>703</v>
      </c>
      <c r="F545" s="525">
        <v>41354</v>
      </c>
      <c r="G545" s="521">
        <f t="shared" si="16"/>
        <v>2013</v>
      </c>
      <c r="H545" s="521">
        <f t="shared" si="17"/>
        <v>3</v>
      </c>
      <c r="I545" s="524">
        <v>8</v>
      </c>
      <c r="J545" s="524">
        <v>10.018000000000001</v>
      </c>
      <c r="K545" s="524">
        <v>0</v>
      </c>
      <c r="L545" s="526">
        <v>10.018000000000001</v>
      </c>
      <c r="M545" s="524">
        <v>0</v>
      </c>
      <c r="N545" s="527">
        <v>0</v>
      </c>
      <c r="O545" s="524">
        <v>10.14</v>
      </c>
      <c r="P545" s="524">
        <v>0</v>
      </c>
    </row>
    <row r="546" spans="4:16">
      <c r="D546" s="470" t="s">
        <v>699</v>
      </c>
      <c r="E546" s="524" t="s">
        <v>703</v>
      </c>
      <c r="F546" s="525">
        <v>41366</v>
      </c>
      <c r="G546" s="521">
        <f t="shared" si="16"/>
        <v>2013</v>
      </c>
      <c r="H546" s="521">
        <f t="shared" si="17"/>
        <v>4</v>
      </c>
      <c r="I546" s="524">
        <v>8</v>
      </c>
      <c r="J546" s="524">
        <v>9.65</v>
      </c>
      <c r="K546" s="524">
        <v>0</v>
      </c>
      <c r="L546" s="526">
        <v>9.65</v>
      </c>
      <c r="M546" s="524">
        <v>0</v>
      </c>
      <c r="N546" s="527">
        <v>0</v>
      </c>
      <c r="O546" s="524">
        <v>9.798</v>
      </c>
      <c r="P546" s="524">
        <v>0</v>
      </c>
    </row>
    <row r="547" spans="4:16">
      <c r="D547" s="470" t="s">
        <v>699</v>
      </c>
      <c r="E547" s="524" t="s">
        <v>703</v>
      </c>
      <c r="F547" s="525">
        <v>41424</v>
      </c>
      <c r="G547" s="521">
        <f t="shared" si="16"/>
        <v>2013</v>
      </c>
      <c r="H547" s="521">
        <f t="shared" si="17"/>
        <v>5</v>
      </c>
      <c r="I547" s="524">
        <v>12</v>
      </c>
      <c r="J547" s="524">
        <v>10.188000000000001</v>
      </c>
      <c r="K547" s="524">
        <v>0</v>
      </c>
      <c r="L547" s="526">
        <v>10.188000000000001</v>
      </c>
      <c r="M547" s="524">
        <v>0</v>
      </c>
      <c r="N547" s="527">
        <v>0</v>
      </c>
      <c r="O547" s="524">
        <v>10.273999999999999</v>
      </c>
      <c r="P547" s="524">
        <v>0</v>
      </c>
    </row>
    <row r="548" spans="4:16">
      <c r="D548" s="470" t="s">
        <v>699</v>
      </c>
      <c r="E548" s="524" t="s">
        <v>703</v>
      </c>
      <c r="F548" s="525">
        <v>41451</v>
      </c>
      <c r="G548" s="521">
        <f t="shared" si="16"/>
        <v>2013</v>
      </c>
      <c r="H548" s="521">
        <f t="shared" si="17"/>
        <v>6</v>
      </c>
      <c r="I548" s="524">
        <v>17</v>
      </c>
      <c r="J548" s="524">
        <v>11.348000000000001</v>
      </c>
      <c r="K548" s="524">
        <v>0</v>
      </c>
      <c r="L548" s="526">
        <v>11.348000000000001</v>
      </c>
      <c r="M548" s="524">
        <v>0</v>
      </c>
      <c r="N548" s="527">
        <v>0</v>
      </c>
      <c r="O548" s="524">
        <v>11.449</v>
      </c>
      <c r="P548" s="524">
        <v>0</v>
      </c>
    </row>
    <row r="549" spans="4:16">
      <c r="D549" s="470" t="s">
        <v>699</v>
      </c>
      <c r="E549" s="524" t="s">
        <v>703</v>
      </c>
      <c r="F549" s="525">
        <v>41472</v>
      </c>
      <c r="G549" s="521">
        <f t="shared" si="16"/>
        <v>2013</v>
      </c>
      <c r="H549" s="521">
        <f t="shared" si="17"/>
        <v>7</v>
      </c>
      <c r="I549" s="524">
        <v>17</v>
      </c>
      <c r="J549" s="524">
        <v>12.637</v>
      </c>
      <c r="K549" s="524">
        <v>0</v>
      </c>
      <c r="L549" s="526">
        <v>12.637</v>
      </c>
      <c r="M549" s="524">
        <v>0</v>
      </c>
      <c r="N549" s="527">
        <v>0</v>
      </c>
      <c r="O549" s="524">
        <v>12.773</v>
      </c>
      <c r="P549" s="524">
        <v>0</v>
      </c>
    </row>
    <row r="550" spans="4:16">
      <c r="D550" s="470" t="s">
        <v>699</v>
      </c>
      <c r="E550" s="524" t="s">
        <v>703</v>
      </c>
      <c r="F550" s="525">
        <v>41516</v>
      </c>
      <c r="G550" s="521">
        <f t="shared" si="16"/>
        <v>2013</v>
      </c>
      <c r="H550" s="521">
        <f t="shared" si="17"/>
        <v>8</v>
      </c>
      <c r="I550" s="524">
        <v>16</v>
      </c>
      <c r="J550" s="524">
        <v>12.329000000000001</v>
      </c>
      <c r="K550" s="524">
        <v>0</v>
      </c>
      <c r="L550" s="526">
        <v>12.329000000000001</v>
      </c>
      <c r="M550" s="524">
        <v>0</v>
      </c>
      <c r="N550" s="527">
        <v>0</v>
      </c>
      <c r="O550" s="524">
        <v>12.435</v>
      </c>
      <c r="P550" s="524">
        <v>0</v>
      </c>
    </row>
    <row r="551" spans="4:16">
      <c r="D551" s="470" t="s">
        <v>699</v>
      </c>
      <c r="E551" s="524" t="s">
        <v>703</v>
      </c>
      <c r="F551" s="525">
        <v>41526</v>
      </c>
      <c r="G551" s="521">
        <f t="shared" si="16"/>
        <v>2013</v>
      </c>
      <c r="H551" s="521">
        <f t="shared" si="17"/>
        <v>9</v>
      </c>
      <c r="I551" s="524">
        <v>17</v>
      </c>
      <c r="J551" s="524">
        <v>13.331</v>
      </c>
      <c r="K551" s="524">
        <v>0</v>
      </c>
      <c r="L551" s="526">
        <v>13.331</v>
      </c>
      <c r="M551" s="524">
        <v>0</v>
      </c>
      <c r="N551" s="527">
        <v>0</v>
      </c>
      <c r="O551" s="524">
        <v>13.451000000000001</v>
      </c>
      <c r="P551" s="524">
        <v>0</v>
      </c>
    </row>
    <row r="552" spans="4:16">
      <c r="D552" s="470" t="s">
        <v>699</v>
      </c>
      <c r="E552" s="524" t="s">
        <v>703</v>
      </c>
      <c r="F552" s="525">
        <v>41571</v>
      </c>
      <c r="G552" s="521">
        <f t="shared" si="16"/>
        <v>2013</v>
      </c>
      <c r="H552" s="521">
        <f t="shared" si="17"/>
        <v>10</v>
      </c>
      <c r="I552" s="524">
        <v>20</v>
      </c>
      <c r="J552" s="524">
        <v>8.6639999999999997</v>
      </c>
      <c r="K552" s="524">
        <v>0</v>
      </c>
      <c r="L552" s="526">
        <v>8.6639999999999997</v>
      </c>
      <c r="M552" s="524">
        <v>0</v>
      </c>
      <c r="N552" s="527">
        <v>0</v>
      </c>
      <c r="O552" s="524">
        <v>8.734</v>
      </c>
      <c r="P552" s="524">
        <v>0</v>
      </c>
    </row>
    <row r="553" spans="4:16">
      <c r="D553" s="470" t="s">
        <v>699</v>
      </c>
      <c r="E553" s="524" t="s">
        <v>703</v>
      </c>
      <c r="F553" s="525">
        <v>41590</v>
      </c>
      <c r="G553" s="521">
        <f t="shared" si="16"/>
        <v>2013</v>
      </c>
      <c r="H553" s="521">
        <f t="shared" si="17"/>
        <v>11</v>
      </c>
      <c r="I553" s="524">
        <v>19</v>
      </c>
      <c r="J553" s="524">
        <v>9.3160000000000007</v>
      </c>
      <c r="K553" s="524">
        <v>0</v>
      </c>
      <c r="L553" s="526">
        <v>9.3160000000000007</v>
      </c>
      <c r="M553" s="524">
        <v>0</v>
      </c>
      <c r="N553" s="527">
        <v>0</v>
      </c>
      <c r="O553" s="524">
        <v>9.41</v>
      </c>
      <c r="P553" s="524">
        <v>0</v>
      </c>
    </row>
    <row r="554" spans="4:16">
      <c r="D554" s="470" t="s">
        <v>699</v>
      </c>
      <c r="E554" s="524" t="s">
        <v>703</v>
      </c>
      <c r="F554" s="525">
        <v>41619</v>
      </c>
      <c r="G554" s="521">
        <f t="shared" si="16"/>
        <v>2013</v>
      </c>
      <c r="H554" s="521">
        <f t="shared" si="17"/>
        <v>12</v>
      </c>
      <c r="I554" s="524">
        <v>18</v>
      </c>
      <c r="J554" s="524">
        <v>10.396000000000001</v>
      </c>
      <c r="K554" s="524">
        <v>0</v>
      </c>
      <c r="L554" s="526">
        <v>10.396000000000001</v>
      </c>
      <c r="M554" s="524">
        <v>0</v>
      </c>
      <c r="N554" s="527">
        <v>0</v>
      </c>
      <c r="O554" s="524">
        <v>10.507999999999999</v>
      </c>
      <c r="P554" s="524">
        <v>0</v>
      </c>
    </row>
    <row r="555" spans="4:16">
      <c r="D555" s="470" t="s">
        <v>699</v>
      </c>
      <c r="E555" s="470" t="s">
        <v>703</v>
      </c>
      <c r="F555" s="520">
        <v>41645</v>
      </c>
      <c r="G555" s="521">
        <f t="shared" si="16"/>
        <v>2014</v>
      </c>
      <c r="H555" s="521">
        <f t="shared" si="17"/>
        <v>1</v>
      </c>
      <c r="I555" s="470">
        <v>18</v>
      </c>
      <c r="J555" s="470">
        <v>7.0789999999999997</v>
      </c>
      <c r="K555" s="470">
        <v>1.694</v>
      </c>
      <c r="L555" s="522">
        <v>8.7729999999999997</v>
      </c>
      <c r="M555" s="470">
        <v>0</v>
      </c>
      <c r="N555" s="470">
        <v>0</v>
      </c>
      <c r="O555" s="470">
        <v>7.1859999999999999</v>
      </c>
      <c r="P555" s="470">
        <v>1.694</v>
      </c>
    </row>
    <row r="556" spans="4:16">
      <c r="D556" s="470" t="s">
        <v>699</v>
      </c>
      <c r="E556" s="470" t="s">
        <v>703</v>
      </c>
      <c r="F556" s="520">
        <v>41681</v>
      </c>
      <c r="G556" s="521">
        <f t="shared" si="16"/>
        <v>2014</v>
      </c>
      <c r="H556" s="521">
        <f t="shared" si="17"/>
        <v>2</v>
      </c>
      <c r="I556" s="470">
        <v>8</v>
      </c>
      <c r="J556" s="470">
        <v>10.786</v>
      </c>
      <c r="K556" s="470">
        <v>0</v>
      </c>
      <c r="L556" s="522">
        <v>10.786</v>
      </c>
      <c r="M556" s="470">
        <v>0</v>
      </c>
      <c r="N556" s="470">
        <v>0</v>
      </c>
      <c r="O556" s="470">
        <v>10.919</v>
      </c>
      <c r="P556" s="470">
        <v>0</v>
      </c>
    </row>
    <row r="557" spans="4:16">
      <c r="D557" s="470" t="s">
        <v>699</v>
      </c>
      <c r="E557" s="470" t="s">
        <v>703</v>
      </c>
      <c r="F557" s="520">
        <v>41701</v>
      </c>
      <c r="G557" s="521">
        <f t="shared" si="16"/>
        <v>2014</v>
      </c>
      <c r="H557" s="521">
        <f t="shared" si="17"/>
        <v>3</v>
      </c>
      <c r="I557" s="470">
        <v>8</v>
      </c>
      <c r="J557" s="470">
        <v>10.236000000000001</v>
      </c>
      <c r="K557" s="470">
        <v>0</v>
      </c>
      <c r="L557" s="522">
        <v>10.236000000000001</v>
      </c>
      <c r="M557" s="470">
        <v>0</v>
      </c>
      <c r="N557" s="470">
        <v>0</v>
      </c>
      <c r="O557" s="470">
        <v>10.372999999999999</v>
      </c>
      <c r="P557" s="470">
        <v>0</v>
      </c>
    </row>
    <row r="558" spans="4:16">
      <c r="D558" s="470" t="s">
        <v>699</v>
      </c>
      <c r="E558" s="470" t="s">
        <v>703</v>
      </c>
      <c r="F558" s="520">
        <v>41730</v>
      </c>
      <c r="G558" s="521">
        <f t="shared" si="16"/>
        <v>2014</v>
      </c>
      <c r="H558" s="521">
        <f t="shared" si="17"/>
        <v>4</v>
      </c>
      <c r="I558" s="470">
        <v>9</v>
      </c>
      <c r="J558" s="470">
        <v>10.026</v>
      </c>
      <c r="K558" s="470">
        <v>0</v>
      </c>
      <c r="L558" s="522">
        <v>10.026</v>
      </c>
      <c r="M558" s="470">
        <v>0</v>
      </c>
      <c r="N558" s="470">
        <v>0</v>
      </c>
      <c r="O558" s="470">
        <v>10.124000000000001</v>
      </c>
      <c r="P558" s="470">
        <v>0</v>
      </c>
    </row>
    <row r="559" spans="4:16">
      <c r="D559" s="470" t="s">
        <v>699</v>
      </c>
      <c r="E559" s="470" t="s">
        <v>703</v>
      </c>
      <c r="F559" s="520">
        <v>41789</v>
      </c>
      <c r="G559" s="521">
        <f t="shared" si="16"/>
        <v>2014</v>
      </c>
      <c r="H559" s="521">
        <f t="shared" si="17"/>
        <v>5</v>
      </c>
      <c r="I559" s="470">
        <v>17</v>
      </c>
      <c r="J559" s="470">
        <v>11.21</v>
      </c>
      <c r="K559" s="470">
        <v>0</v>
      </c>
      <c r="L559" s="522">
        <v>11.21</v>
      </c>
      <c r="M559" s="470">
        <v>0</v>
      </c>
      <c r="N559" s="470">
        <v>0</v>
      </c>
      <c r="O559" s="470">
        <v>11.292999999999999</v>
      </c>
      <c r="P559" s="470">
        <v>0</v>
      </c>
    </row>
    <row r="560" spans="4:16">
      <c r="D560" s="470" t="s">
        <v>699</v>
      </c>
      <c r="E560" s="470" t="s">
        <v>703</v>
      </c>
      <c r="F560" s="520">
        <v>41808</v>
      </c>
      <c r="G560" s="521">
        <f t="shared" si="16"/>
        <v>2014</v>
      </c>
      <c r="H560" s="521">
        <f t="shared" si="17"/>
        <v>6</v>
      </c>
      <c r="I560" s="470">
        <v>18</v>
      </c>
      <c r="J560" s="470">
        <v>10.576000000000001</v>
      </c>
      <c r="K560" s="470">
        <v>0</v>
      </c>
      <c r="L560" s="522">
        <v>10.576000000000001</v>
      </c>
      <c r="M560" s="470">
        <v>0</v>
      </c>
      <c r="N560" s="470">
        <v>0</v>
      </c>
      <c r="O560" s="470">
        <v>10.675000000000001</v>
      </c>
      <c r="P560" s="470">
        <v>0</v>
      </c>
    </row>
    <row r="561" spans="4:16">
      <c r="D561" s="470" t="s">
        <v>699</v>
      </c>
      <c r="E561" s="470" t="s">
        <v>703</v>
      </c>
      <c r="F561" s="520">
        <v>41842</v>
      </c>
      <c r="G561" s="521">
        <f t="shared" si="16"/>
        <v>2014</v>
      </c>
      <c r="H561" s="521">
        <f t="shared" si="17"/>
        <v>7</v>
      </c>
      <c r="I561" s="470">
        <v>17</v>
      </c>
      <c r="J561" s="470">
        <v>12.515000000000001</v>
      </c>
      <c r="K561" s="470">
        <v>0</v>
      </c>
      <c r="L561" s="522">
        <v>12.515000000000001</v>
      </c>
      <c r="M561" s="470">
        <v>0</v>
      </c>
      <c r="N561" s="470">
        <v>0</v>
      </c>
      <c r="O561" s="470">
        <v>12.631</v>
      </c>
      <c r="P561" s="470">
        <v>0</v>
      </c>
    </row>
    <row r="562" spans="4:16">
      <c r="D562" s="470" t="s">
        <v>699</v>
      </c>
      <c r="E562" s="470" t="s">
        <v>703</v>
      </c>
      <c r="F562" s="520">
        <v>41876</v>
      </c>
      <c r="G562" s="521">
        <f t="shared" si="16"/>
        <v>2014</v>
      </c>
      <c r="H562" s="521">
        <f t="shared" si="17"/>
        <v>8</v>
      </c>
      <c r="I562" s="470">
        <v>17</v>
      </c>
      <c r="J562" s="470">
        <v>10.762</v>
      </c>
      <c r="K562" s="470">
        <v>0</v>
      </c>
      <c r="L562" s="522">
        <v>10.762</v>
      </c>
      <c r="M562" s="470">
        <v>0</v>
      </c>
      <c r="N562" s="470">
        <v>0</v>
      </c>
      <c r="O562" s="470">
        <v>10.875</v>
      </c>
      <c r="P562" s="470">
        <v>0</v>
      </c>
    </row>
    <row r="563" spans="4:16">
      <c r="D563" s="470" t="s">
        <v>699</v>
      </c>
      <c r="E563" s="470" t="s">
        <v>703</v>
      </c>
      <c r="F563" s="520">
        <v>41886</v>
      </c>
      <c r="G563" s="521">
        <f t="shared" si="16"/>
        <v>2014</v>
      </c>
      <c r="H563" s="521">
        <f t="shared" si="17"/>
        <v>9</v>
      </c>
      <c r="I563" s="470">
        <v>17</v>
      </c>
      <c r="J563" s="470">
        <v>10.996</v>
      </c>
      <c r="K563" s="470">
        <v>0</v>
      </c>
      <c r="L563" s="522">
        <v>10.996</v>
      </c>
      <c r="M563" s="470">
        <v>0</v>
      </c>
      <c r="N563" s="470">
        <v>0</v>
      </c>
      <c r="O563" s="470">
        <v>11.095000000000001</v>
      </c>
      <c r="P563" s="470">
        <v>0</v>
      </c>
    </row>
    <row r="564" spans="4:16">
      <c r="D564" s="470" t="s">
        <v>699</v>
      </c>
      <c r="E564" s="470" t="s">
        <v>703</v>
      </c>
      <c r="F564" s="520">
        <v>41939</v>
      </c>
      <c r="G564" s="521">
        <f t="shared" si="16"/>
        <v>2014</v>
      </c>
      <c r="H564" s="521">
        <f t="shared" si="17"/>
        <v>10</v>
      </c>
      <c r="I564" s="470">
        <v>19</v>
      </c>
      <c r="J564" s="470">
        <v>7.4539999999999997</v>
      </c>
      <c r="K564" s="470">
        <v>0</v>
      </c>
      <c r="L564" s="522">
        <v>7.4539999999999997</v>
      </c>
      <c r="M564" s="523">
        <v>2906</v>
      </c>
      <c r="N564" s="470">
        <v>0.25700000000000001</v>
      </c>
      <c r="O564" s="470">
        <v>7.5330000000000004</v>
      </c>
      <c r="P564" s="470">
        <v>0</v>
      </c>
    </row>
    <row r="565" spans="4:16">
      <c r="D565" s="470" t="s">
        <v>699</v>
      </c>
      <c r="E565" s="470" t="s">
        <v>703</v>
      </c>
      <c r="F565" s="520">
        <v>41960</v>
      </c>
      <c r="G565" s="521">
        <f t="shared" si="16"/>
        <v>2014</v>
      </c>
      <c r="H565" s="521">
        <f t="shared" si="17"/>
        <v>11</v>
      </c>
      <c r="I565" s="470">
        <v>18</v>
      </c>
      <c r="J565" s="470">
        <v>10.384</v>
      </c>
      <c r="K565" s="470">
        <v>0</v>
      </c>
      <c r="L565" s="522">
        <v>10.384</v>
      </c>
      <c r="M565" s="470">
        <v>0</v>
      </c>
      <c r="N565" s="470">
        <v>0</v>
      </c>
      <c r="O565" s="470">
        <v>10.49</v>
      </c>
      <c r="P565" s="470">
        <v>0</v>
      </c>
    </row>
    <row r="566" spans="4:16">
      <c r="D566" s="470" t="s">
        <v>699</v>
      </c>
      <c r="E566" s="470" t="s">
        <v>703</v>
      </c>
      <c r="F566" s="520">
        <v>41974</v>
      </c>
      <c r="G566" s="521">
        <f t="shared" si="16"/>
        <v>2014</v>
      </c>
      <c r="H566" s="521">
        <f t="shared" si="17"/>
        <v>12</v>
      </c>
      <c r="I566" s="470">
        <v>19</v>
      </c>
      <c r="J566" s="470">
        <v>10.105</v>
      </c>
      <c r="K566" s="470">
        <v>0</v>
      </c>
      <c r="L566" s="522">
        <v>10.105</v>
      </c>
      <c r="M566" s="470">
        <v>0</v>
      </c>
      <c r="N566" s="470">
        <v>0</v>
      </c>
      <c r="O566" s="470">
        <v>10.212</v>
      </c>
      <c r="P566" s="470">
        <v>0</v>
      </c>
    </row>
    <row r="567" spans="4:16">
      <c r="D567" s="470" t="s">
        <v>699</v>
      </c>
      <c r="E567" s="470" t="s">
        <v>703</v>
      </c>
      <c r="F567" s="520">
        <v>42011</v>
      </c>
      <c r="G567" s="521">
        <f t="shared" si="16"/>
        <v>2015</v>
      </c>
      <c r="H567" s="521">
        <f t="shared" si="17"/>
        <v>1</v>
      </c>
      <c r="I567" s="470">
        <v>19</v>
      </c>
      <c r="J567" s="470">
        <v>10.785</v>
      </c>
      <c r="K567" s="470">
        <v>0</v>
      </c>
      <c r="L567" s="522">
        <v>10.785</v>
      </c>
      <c r="M567" s="523">
        <v>3438</v>
      </c>
      <c r="N567" s="470">
        <v>0.314</v>
      </c>
      <c r="O567" s="470">
        <v>10.901999999999999</v>
      </c>
      <c r="P567" s="470">
        <v>0</v>
      </c>
    </row>
    <row r="568" spans="4:16">
      <c r="D568" s="470" t="s">
        <v>699</v>
      </c>
      <c r="E568" s="470" t="s">
        <v>703</v>
      </c>
      <c r="F568" s="520">
        <v>42053</v>
      </c>
      <c r="G568" s="521">
        <f t="shared" si="16"/>
        <v>2015</v>
      </c>
      <c r="H568" s="521">
        <f t="shared" si="17"/>
        <v>2</v>
      </c>
      <c r="I568" s="470">
        <v>19</v>
      </c>
      <c r="J568" s="470">
        <v>10.705</v>
      </c>
      <c r="K568" s="470">
        <v>0</v>
      </c>
      <c r="L568" s="522">
        <v>10.705</v>
      </c>
      <c r="M568" s="523">
        <v>3305</v>
      </c>
      <c r="N568" s="470">
        <v>0.32400000000000001</v>
      </c>
      <c r="O568" s="470">
        <v>10.804</v>
      </c>
      <c r="P568" s="470">
        <v>0</v>
      </c>
    </row>
    <row r="569" spans="4:16">
      <c r="D569" s="470" t="s">
        <v>699</v>
      </c>
      <c r="E569" s="470" t="s">
        <v>703</v>
      </c>
      <c r="F569" s="520">
        <v>42067</v>
      </c>
      <c r="G569" s="521">
        <f t="shared" si="16"/>
        <v>2015</v>
      </c>
      <c r="H569" s="521">
        <f t="shared" si="17"/>
        <v>3</v>
      </c>
      <c r="I569" s="470">
        <v>9</v>
      </c>
      <c r="J569" s="470">
        <v>10.286</v>
      </c>
      <c r="K569" s="470">
        <v>0</v>
      </c>
      <c r="L569" s="522">
        <v>10.286</v>
      </c>
      <c r="M569" s="470">
        <v>0</v>
      </c>
      <c r="N569" s="470">
        <v>0</v>
      </c>
      <c r="O569" s="470">
        <v>10.391999999999999</v>
      </c>
      <c r="P569" s="470">
        <v>0</v>
      </c>
    </row>
    <row r="570" spans="4:16">
      <c r="D570" s="470" t="s">
        <v>699</v>
      </c>
      <c r="E570" s="470" t="s">
        <v>703</v>
      </c>
      <c r="F570" s="520">
        <v>42103</v>
      </c>
      <c r="G570" s="521">
        <f t="shared" si="16"/>
        <v>2015</v>
      </c>
      <c r="H570" s="521">
        <f t="shared" si="17"/>
        <v>4</v>
      </c>
      <c r="I570" s="470">
        <v>11</v>
      </c>
      <c r="J570" s="470">
        <v>9.8019999999999996</v>
      </c>
      <c r="K570" s="470">
        <v>0</v>
      </c>
      <c r="L570" s="522">
        <v>9.8019999999999996</v>
      </c>
      <c r="M570" s="470">
        <v>0</v>
      </c>
      <c r="N570" s="470">
        <v>0</v>
      </c>
      <c r="O570" s="470">
        <v>9.8960000000000008</v>
      </c>
      <c r="P570" s="470">
        <v>0</v>
      </c>
    </row>
    <row r="571" spans="4:16">
      <c r="D571" s="470" t="s">
        <v>699</v>
      </c>
      <c r="E571" s="470" t="s">
        <v>703</v>
      </c>
      <c r="F571" s="520">
        <v>42152</v>
      </c>
      <c r="G571" s="521">
        <f t="shared" si="16"/>
        <v>2015</v>
      </c>
      <c r="H571" s="521">
        <f t="shared" si="17"/>
        <v>5</v>
      </c>
      <c r="I571" s="470">
        <v>15</v>
      </c>
      <c r="J571" s="470">
        <v>10.784000000000001</v>
      </c>
      <c r="K571" s="470">
        <v>0</v>
      </c>
      <c r="L571" s="522">
        <v>10.784000000000001</v>
      </c>
      <c r="M571" s="470">
        <v>0</v>
      </c>
      <c r="N571" s="470">
        <v>0</v>
      </c>
      <c r="O571" s="470">
        <v>10.898</v>
      </c>
      <c r="P571" s="470">
        <v>0</v>
      </c>
    </row>
    <row r="572" spans="4:16">
      <c r="D572" s="470" t="s">
        <v>699</v>
      </c>
      <c r="E572" s="470" t="s">
        <v>703</v>
      </c>
      <c r="F572" s="520">
        <v>42165</v>
      </c>
      <c r="G572" s="521">
        <f t="shared" si="16"/>
        <v>2015</v>
      </c>
      <c r="H572" s="521">
        <f t="shared" si="17"/>
        <v>6</v>
      </c>
      <c r="I572" s="470">
        <v>18</v>
      </c>
      <c r="J572" s="470">
        <v>11.148</v>
      </c>
      <c r="K572" s="470">
        <v>0</v>
      </c>
      <c r="L572" s="522">
        <v>11.148</v>
      </c>
      <c r="M572" s="470">
        <v>0</v>
      </c>
      <c r="N572" s="470">
        <v>0</v>
      </c>
      <c r="O572" s="470">
        <v>11.252000000000001</v>
      </c>
      <c r="P572" s="470">
        <v>0</v>
      </c>
    </row>
    <row r="573" spans="4:16">
      <c r="D573" s="470" t="s">
        <v>699</v>
      </c>
      <c r="E573" s="470" t="s">
        <v>703</v>
      </c>
      <c r="F573" s="520">
        <v>42198</v>
      </c>
      <c r="G573" s="521">
        <f t="shared" si="16"/>
        <v>2015</v>
      </c>
      <c r="H573" s="521">
        <f t="shared" si="17"/>
        <v>7</v>
      </c>
      <c r="I573" s="470">
        <v>16</v>
      </c>
      <c r="J573" s="470">
        <v>13.098000000000001</v>
      </c>
      <c r="K573" s="470">
        <v>0</v>
      </c>
      <c r="L573" s="522">
        <v>13.098000000000001</v>
      </c>
      <c r="M573" s="470">
        <v>0</v>
      </c>
      <c r="N573" s="470">
        <v>0</v>
      </c>
      <c r="O573" s="470">
        <v>13.259</v>
      </c>
      <c r="P573" s="470">
        <v>0</v>
      </c>
    </row>
    <row r="574" spans="4:16">
      <c r="D574" s="470" t="s">
        <v>699</v>
      </c>
      <c r="E574" s="470" t="s">
        <v>703</v>
      </c>
      <c r="F574" s="520">
        <v>42230</v>
      </c>
      <c r="G574" s="521">
        <f t="shared" si="16"/>
        <v>2015</v>
      </c>
      <c r="H574" s="521">
        <f t="shared" si="17"/>
        <v>8</v>
      </c>
      <c r="I574" s="470">
        <v>17</v>
      </c>
      <c r="J574" s="470">
        <v>12.111000000000001</v>
      </c>
      <c r="K574" s="470">
        <v>0</v>
      </c>
      <c r="L574" s="522">
        <v>12.111000000000001</v>
      </c>
      <c r="M574" s="470">
        <v>0</v>
      </c>
      <c r="N574" s="470">
        <v>0</v>
      </c>
      <c r="O574" s="470">
        <v>12.206</v>
      </c>
      <c r="P574" s="470">
        <v>0</v>
      </c>
    </row>
    <row r="575" spans="4:16">
      <c r="D575" s="470" t="s">
        <v>699</v>
      </c>
      <c r="E575" s="470" t="s">
        <v>703</v>
      </c>
      <c r="F575" s="520">
        <v>42250</v>
      </c>
      <c r="G575" s="521">
        <f t="shared" si="16"/>
        <v>2015</v>
      </c>
      <c r="H575" s="521">
        <f t="shared" si="17"/>
        <v>9</v>
      </c>
      <c r="I575" s="470">
        <v>17</v>
      </c>
      <c r="J575" s="470">
        <v>13.505000000000001</v>
      </c>
      <c r="K575" s="470">
        <v>0</v>
      </c>
      <c r="L575" s="522">
        <v>13.505000000000001</v>
      </c>
      <c r="M575" s="470">
        <v>0</v>
      </c>
      <c r="N575" s="470">
        <v>0</v>
      </c>
      <c r="O575" s="470">
        <v>13.63</v>
      </c>
      <c r="P575" s="470">
        <v>0</v>
      </c>
    </row>
    <row r="576" spans="4:16">
      <c r="D576" s="470" t="s">
        <v>699</v>
      </c>
      <c r="E576" s="470" t="s">
        <v>703</v>
      </c>
      <c r="F576" s="520">
        <v>42284</v>
      </c>
      <c r="G576" s="521">
        <f t="shared" si="16"/>
        <v>2015</v>
      </c>
      <c r="H576" s="521">
        <f t="shared" si="17"/>
        <v>10</v>
      </c>
      <c r="I576" s="470">
        <v>15</v>
      </c>
      <c r="J576" s="470">
        <v>7.1289999999999996</v>
      </c>
      <c r="K576" s="470">
        <v>0</v>
      </c>
      <c r="L576" s="522">
        <v>7.1289999999999996</v>
      </c>
      <c r="M576" s="470">
        <v>0</v>
      </c>
      <c r="N576" s="470">
        <v>0</v>
      </c>
      <c r="O576" s="470">
        <v>7.1989999999999998</v>
      </c>
      <c r="P576" s="470">
        <v>0</v>
      </c>
    </row>
    <row r="577" spans="4:16">
      <c r="D577" s="470" t="s">
        <v>699</v>
      </c>
      <c r="E577" s="470" t="s">
        <v>703</v>
      </c>
      <c r="F577" s="520">
        <v>42338</v>
      </c>
      <c r="G577" s="521">
        <f t="shared" si="16"/>
        <v>2015</v>
      </c>
      <c r="H577" s="521">
        <f t="shared" si="17"/>
        <v>11</v>
      </c>
      <c r="I577" s="470">
        <v>18</v>
      </c>
      <c r="J577" s="470">
        <v>8.2409999999999997</v>
      </c>
      <c r="K577" s="470">
        <v>0</v>
      </c>
      <c r="L577" s="522">
        <v>8.2409999999999997</v>
      </c>
      <c r="M577" s="470">
        <v>0</v>
      </c>
      <c r="N577" s="470">
        <v>0</v>
      </c>
      <c r="O577" s="470">
        <v>8.3529999999999998</v>
      </c>
      <c r="P577" s="470">
        <v>0</v>
      </c>
    </row>
    <row r="578" spans="4:16">
      <c r="D578" s="470" t="s">
        <v>699</v>
      </c>
      <c r="E578" s="470" t="s">
        <v>703</v>
      </c>
      <c r="F578" s="520">
        <v>42355</v>
      </c>
      <c r="G578" s="521">
        <f t="shared" si="16"/>
        <v>2015</v>
      </c>
      <c r="H578" s="521">
        <f t="shared" si="17"/>
        <v>12</v>
      </c>
      <c r="I578" s="470">
        <v>19</v>
      </c>
      <c r="J578" s="470">
        <v>8.3870000000000005</v>
      </c>
      <c r="K578" s="470">
        <v>0</v>
      </c>
      <c r="L578" s="522">
        <v>8.3870000000000005</v>
      </c>
      <c r="M578" s="470">
        <v>0</v>
      </c>
      <c r="N578" s="470">
        <v>0</v>
      </c>
      <c r="O578" s="470">
        <v>8.48</v>
      </c>
      <c r="P578" s="470">
        <v>0</v>
      </c>
    </row>
  </sheetData>
  <phoneticPr fontId="14" type="noConversion"/>
  <pageMargins left="0.75" right="0.75" top="1" bottom="1" header="0.5" footer="0.5"/>
  <pageSetup scale="8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65"/>
  <sheetViews>
    <sheetView showGridLines="0" workbookViewId="0">
      <selection activeCell="C6" sqref="C6"/>
    </sheetView>
  </sheetViews>
  <sheetFormatPr defaultRowHeight="12.75"/>
  <cols>
    <col min="2" max="2" width="16.7109375" customWidth="1"/>
    <col min="3" max="3" width="11.28515625" bestFit="1" customWidth="1"/>
    <col min="4" max="4" width="27.28515625" customWidth="1"/>
    <col min="5" max="5" width="14.140625" bestFit="1" customWidth="1"/>
    <col min="6" max="6" width="13.85546875" customWidth="1"/>
    <col min="7" max="7" width="14.85546875" bestFit="1" customWidth="1"/>
    <col min="8" max="8" width="12.85546875" bestFit="1" customWidth="1"/>
    <col min="9" max="9" width="12.140625" customWidth="1"/>
    <col min="10" max="10" width="10.7109375" bestFit="1" customWidth="1"/>
    <col min="11" max="11" width="17.28515625" customWidth="1"/>
    <col min="12" max="12" width="1.42578125" customWidth="1"/>
    <col min="13" max="13" width="15.7109375" customWidth="1"/>
    <col min="14" max="14" width="10.7109375" bestFit="1" customWidth="1"/>
    <col min="15" max="15" width="21.28515625" customWidth="1"/>
    <col min="17" max="17" width="13.42578125" customWidth="1"/>
    <col min="18" max="18" width="12.5703125" customWidth="1"/>
    <col min="19" max="19" width="12" bestFit="1" customWidth="1"/>
    <col min="20" max="20" width="12.42578125" customWidth="1"/>
    <col min="21" max="21" width="71.140625" customWidth="1"/>
    <col min="23" max="23" width="17.7109375" customWidth="1"/>
    <col min="24" max="24" width="25" customWidth="1"/>
    <col min="25" max="25" width="16.28515625" customWidth="1"/>
    <col min="26" max="26" width="15.5703125" customWidth="1"/>
    <col min="27" max="27" width="18.85546875" customWidth="1"/>
    <col min="28" max="28" width="13" customWidth="1"/>
    <col min="29" max="29" width="13.5703125" customWidth="1"/>
    <col min="30" max="30" width="15.28515625" customWidth="1"/>
    <col min="31" max="31" width="20" style="59" customWidth="1"/>
    <col min="33" max="33" width="21" customWidth="1"/>
    <col min="34" max="34" width="14.28515625" customWidth="1"/>
    <col min="35" max="35" width="13.140625" customWidth="1"/>
    <col min="36" max="37" width="11.28515625" customWidth="1"/>
  </cols>
  <sheetData>
    <row r="1" spans="2:31">
      <c r="AE1"/>
    </row>
    <row r="2" spans="2:31" ht="18">
      <c r="B2" s="192" t="s">
        <v>741</v>
      </c>
      <c r="AE2"/>
    </row>
    <row r="3" spans="2:31">
      <c r="AE3"/>
    </row>
    <row r="4" spans="2:31">
      <c r="B4" s="382" t="s">
        <v>525</v>
      </c>
      <c r="C4" s="383" t="s">
        <v>623</v>
      </c>
      <c r="D4" s="383" t="s">
        <v>624</v>
      </c>
      <c r="E4" s="383" t="s">
        <v>22</v>
      </c>
      <c r="AE4"/>
    </row>
    <row r="5" spans="2:31" ht="21.75">
      <c r="B5" s="384" t="s">
        <v>23</v>
      </c>
      <c r="C5" s="344">
        <f>'EIA412 ELECTRIC PLANT'!G19</f>
        <v>1261309</v>
      </c>
      <c r="D5" s="344">
        <f>'EIA412 ELECTRIC PLANT'!I19</f>
        <v>542554</v>
      </c>
      <c r="E5" s="344">
        <f>C5-D5</f>
        <v>718755</v>
      </c>
      <c r="AE5"/>
    </row>
    <row r="6" spans="2:31">
      <c r="B6" s="384" t="s">
        <v>24</v>
      </c>
      <c r="C6" s="344">
        <f>'EIA412 ELECTRIC PLANT'!G18</f>
        <v>9015235</v>
      </c>
      <c r="D6" s="344">
        <f>'EIA412 ELECTRIC PLANT'!I18</f>
        <v>4298134</v>
      </c>
      <c r="E6" s="344">
        <f>C6-D6</f>
        <v>4717101</v>
      </c>
      <c r="AE6"/>
    </row>
    <row r="7" spans="2:31">
      <c r="B7" s="384" t="s">
        <v>25</v>
      </c>
      <c r="C7" s="344">
        <f>'EIA412 ELECTRIC PLANT'!G15</f>
        <v>4250576</v>
      </c>
      <c r="D7" s="344">
        <f>'EIA412 ELECTRIC PLANT'!I15</f>
        <v>2533045</v>
      </c>
      <c r="E7" s="344">
        <f>C7-D7</f>
        <v>1717531</v>
      </c>
      <c r="AE7"/>
    </row>
    <row r="8" spans="2:31">
      <c r="B8" s="384" t="s">
        <v>26</v>
      </c>
      <c r="C8" s="344">
        <f>'EIA412 ELECTRIC PLANT'!G17</f>
        <v>2520033</v>
      </c>
      <c r="D8" s="344">
        <f>'EIA412 ELECTRIC PLANT'!I17</f>
        <v>2032420</v>
      </c>
      <c r="E8" s="344">
        <f>C8-D8</f>
        <v>487613</v>
      </c>
      <c r="AE8"/>
    </row>
    <row r="9" spans="2:31">
      <c r="B9" s="342" t="s">
        <v>27</v>
      </c>
      <c r="C9" s="343">
        <f>SUM(C5:C8)</f>
        <v>17047153</v>
      </c>
      <c r="D9" s="343">
        <f>SUM(D5:D8)</f>
        <v>9406153</v>
      </c>
      <c r="E9" s="343">
        <f>SUM(E5:E8)</f>
        <v>7641000</v>
      </c>
      <c r="AE9"/>
    </row>
    <row r="10" spans="2:31">
      <c r="B10" s="384" t="s">
        <v>31</v>
      </c>
      <c r="C10" s="344">
        <f>'EIA412 ELECTRIC PLANT'!G27</f>
        <v>620634</v>
      </c>
      <c r="D10" s="344"/>
      <c r="E10" s="344">
        <v>0</v>
      </c>
      <c r="AE10"/>
    </row>
    <row r="11" spans="2:31">
      <c r="B11" s="342" t="s">
        <v>54</v>
      </c>
      <c r="C11" s="343" t="s">
        <v>54</v>
      </c>
      <c r="D11" s="343" t="s">
        <v>54</v>
      </c>
      <c r="E11" s="343" t="s">
        <v>54</v>
      </c>
      <c r="AE11"/>
    </row>
    <row r="12" spans="2:31">
      <c r="AE12"/>
    </row>
    <row r="13" spans="2:31">
      <c r="B13" s="342" t="s">
        <v>28</v>
      </c>
      <c r="C13" s="343">
        <f>C9+C10</f>
        <v>17667787</v>
      </c>
      <c r="D13" s="343">
        <f>D9</f>
        <v>9406153</v>
      </c>
      <c r="E13" s="343">
        <f>C13-D13</f>
        <v>8261634</v>
      </c>
      <c r="F13" t="s">
        <v>54</v>
      </c>
      <c r="AE13"/>
    </row>
    <row r="14" spans="2:31">
      <c r="AE14"/>
    </row>
    <row r="15" spans="2:31">
      <c r="C15" s="286" t="s">
        <v>54</v>
      </c>
      <c r="AE15"/>
    </row>
    <row r="16" spans="2:31">
      <c r="AE16"/>
    </row>
    <row r="17" spans="31:31">
      <c r="AE17"/>
    </row>
    <row r="18" spans="31:31">
      <c r="AE18"/>
    </row>
    <row r="19" spans="31:31">
      <c r="AE19"/>
    </row>
    <row r="20" spans="31:31">
      <c r="AE20"/>
    </row>
    <row r="21" spans="31:31">
      <c r="AE21"/>
    </row>
    <row r="22" spans="31:31">
      <c r="AE22"/>
    </row>
    <row r="23" spans="31:31">
      <c r="AE23"/>
    </row>
    <row r="24" spans="31:31">
      <c r="AE24"/>
    </row>
    <row r="25" spans="31:31">
      <c r="AE25"/>
    </row>
    <row r="26" spans="31:31">
      <c r="AE26"/>
    </row>
    <row r="27" spans="31:31">
      <c r="AE27"/>
    </row>
    <row r="28" spans="31:31">
      <c r="AE28"/>
    </row>
    <row r="29" spans="31:31">
      <c r="AE29"/>
    </row>
    <row r="30" spans="31:31">
      <c r="AE30"/>
    </row>
    <row r="31" spans="31:31">
      <c r="AE31"/>
    </row>
    <row r="32" spans="31:31">
      <c r="AE32"/>
    </row>
    <row r="33" spans="7:31">
      <c r="AE33"/>
    </row>
    <row r="34" spans="7:31">
      <c r="AE34"/>
    </row>
    <row r="35" spans="7:31">
      <c r="AE35"/>
    </row>
    <row r="36" spans="7:31">
      <c r="AE36"/>
    </row>
    <row r="37" spans="7:31">
      <c r="AE37"/>
    </row>
    <row r="38" spans="7:31">
      <c r="AE38"/>
    </row>
    <row r="39" spans="7:31">
      <c r="AE39"/>
    </row>
    <row r="40" spans="7:31">
      <c r="AE40"/>
    </row>
    <row r="41" spans="7:31">
      <c r="AE41"/>
    </row>
    <row r="42" spans="7:31">
      <c r="AE42"/>
    </row>
    <row r="43" spans="7:31">
      <c r="AE43"/>
    </row>
    <row r="44" spans="7:31">
      <c r="AE44"/>
    </row>
    <row r="45" spans="7:31">
      <c r="AE45"/>
    </row>
    <row r="46" spans="7:31">
      <c r="AE46"/>
    </row>
    <row r="47" spans="7:31">
      <c r="G47" s="286">
        <f>G36-G43-G40</f>
        <v>0</v>
      </c>
    </row>
    <row r="65" spans="3:3">
      <c r="C65" t="s">
        <v>54</v>
      </c>
    </row>
  </sheetData>
  <phoneticPr fontId="14"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G40"/>
  <sheetViews>
    <sheetView showGridLines="0" topLeftCell="A26" workbookViewId="0">
      <selection activeCell="F29" sqref="F29"/>
    </sheetView>
  </sheetViews>
  <sheetFormatPr defaultRowHeight="12.75"/>
  <cols>
    <col min="3" max="3" width="1.7109375" customWidth="1"/>
    <col min="4" max="4" width="34.7109375" style="59" customWidth="1"/>
    <col min="5" max="5" width="16.28515625" style="59" customWidth="1"/>
    <col min="6" max="6" width="17.7109375" style="58" customWidth="1"/>
    <col min="7" max="7" width="71.7109375" style="59" customWidth="1"/>
    <col min="8" max="8" width="0.7109375" customWidth="1"/>
  </cols>
  <sheetData>
    <row r="4" spans="4:7" ht="1.5" customHeight="1" thickBot="1"/>
    <row r="5" spans="4:7" ht="15.75">
      <c r="D5" s="66" t="s">
        <v>739</v>
      </c>
      <c r="E5" s="377"/>
      <c r="F5" s="61"/>
      <c r="G5" s="62"/>
    </row>
    <row r="6" spans="4:7">
      <c r="D6" s="67"/>
      <c r="E6" s="376"/>
      <c r="F6" s="21"/>
      <c r="G6" s="63"/>
    </row>
    <row r="7" spans="4:7">
      <c r="D7" s="67" t="s">
        <v>33</v>
      </c>
      <c r="E7" s="376"/>
      <c r="F7" s="21">
        <v>6606</v>
      </c>
      <c r="G7" s="406" t="s">
        <v>737</v>
      </c>
    </row>
    <row r="8" spans="4:7">
      <c r="D8" s="67" t="s">
        <v>34</v>
      </c>
      <c r="E8" s="376"/>
      <c r="F8" s="21">
        <v>27850</v>
      </c>
      <c r="G8" s="406" t="s">
        <v>737</v>
      </c>
    </row>
    <row r="9" spans="4:7">
      <c r="D9" s="67" t="s">
        <v>35</v>
      </c>
      <c r="E9" s="376"/>
      <c r="F9" s="21">
        <v>8191</v>
      </c>
      <c r="G9" s="406" t="s">
        <v>737</v>
      </c>
    </row>
    <row r="10" spans="4:7">
      <c r="D10" s="67" t="s">
        <v>36</v>
      </c>
      <c r="E10" s="376"/>
      <c r="F10" s="21">
        <v>11981</v>
      </c>
      <c r="G10" s="406" t="s">
        <v>737</v>
      </c>
    </row>
    <row r="11" spans="4:7">
      <c r="D11" s="67" t="s">
        <v>37</v>
      </c>
      <c r="E11" s="376"/>
      <c r="F11" s="21">
        <v>71755</v>
      </c>
      <c r="G11" s="406" t="s">
        <v>737</v>
      </c>
    </row>
    <row r="12" spans="4:7">
      <c r="D12" s="67" t="s">
        <v>38</v>
      </c>
      <c r="E12" s="376"/>
      <c r="F12" s="21">
        <v>10837</v>
      </c>
      <c r="G12" s="406" t="s">
        <v>737</v>
      </c>
    </row>
    <row r="13" spans="4:7">
      <c r="D13" s="67" t="s">
        <v>39</v>
      </c>
      <c r="E13" s="376"/>
      <c r="F13" s="21">
        <v>14387</v>
      </c>
      <c r="G13" s="406" t="s">
        <v>737</v>
      </c>
    </row>
    <row r="14" spans="4:7">
      <c r="D14" s="67" t="s">
        <v>40</v>
      </c>
      <c r="E14" s="376"/>
      <c r="F14" s="21">
        <v>9148</v>
      </c>
      <c r="G14" s="406" t="s">
        <v>737</v>
      </c>
    </row>
    <row r="15" spans="4:7">
      <c r="D15" s="67" t="s">
        <v>41</v>
      </c>
      <c r="E15" s="376"/>
      <c r="F15" s="21">
        <v>5474</v>
      </c>
      <c r="G15" s="406" t="s">
        <v>737</v>
      </c>
    </row>
    <row r="16" spans="4:7">
      <c r="D16" s="67" t="s">
        <v>42</v>
      </c>
      <c r="E16" s="376"/>
      <c r="F16" s="21">
        <v>14683</v>
      </c>
      <c r="G16" s="406" t="s">
        <v>737</v>
      </c>
    </row>
    <row r="17" spans="4:7">
      <c r="D17" s="67" t="s">
        <v>43</v>
      </c>
      <c r="E17" s="376"/>
      <c r="F17" s="21">
        <v>50624</v>
      </c>
      <c r="G17" s="406" t="s">
        <v>737</v>
      </c>
    </row>
    <row r="18" spans="4:7">
      <c r="D18" s="67" t="s">
        <v>44</v>
      </c>
      <c r="E18" s="376"/>
      <c r="F18" s="60">
        <v>112545</v>
      </c>
      <c r="G18" s="406" t="s">
        <v>737</v>
      </c>
    </row>
    <row r="19" spans="4:7">
      <c r="D19" s="68" t="s">
        <v>45</v>
      </c>
      <c r="E19" s="378"/>
      <c r="F19" s="64">
        <f>SUM(F7:F18)</f>
        <v>344081</v>
      </c>
      <c r="G19" s="63"/>
    </row>
    <row r="20" spans="4:7">
      <c r="D20" s="74" t="s">
        <v>50</v>
      </c>
      <c r="E20" s="379"/>
      <c r="F20" s="75">
        <v>76985</v>
      </c>
      <c r="G20" s="406" t="s">
        <v>737</v>
      </c>
    </row>
    <row r="21" spans="4:7">
      <c r="D21" s="67" t="s">
        <v>32</v>
      </c>
      <c r="E21" s="376"/>
      <c r="F21" s="21">
        <f>'BES4_W&amp;S Allocator'!F27</f>
        <v>62101.807399999932</v>
      </c>
      <c r="G21" s="63" t="s">
        <v>200</v>
      </c>
    </row>
    <row r="22" spans="4:7">
      <c r="D22" s="67" t="s">
        <v>4</v>
      </c>
      <c r="E22" s="376"/>
      <c r="F22" s="21">
        <f>731657-507637-45560</f>
        <v>178460</v>
      </c>
      <c r="G22" s="406" t="s">
        <v>738</v>
      </c>
    </row>
    <row r="23" spans="4:7" ht="13.5" thickBot="1">
      <c r="D23" s="67"/>
      <c r="E23" s="376"/>
      <c r="F23" s="29"/>
      <c r="G23" s="63"/>
    </row>
    <row r="24" spans="4:7" ht="13.5" thickTop="1">
      <c r="D24" s="51" t="s">
        <v>46</v>
      </c>
      <c r="E24" s="380"/>
      <c r="F24" s="57">
        <f>F19+F21+F22+F20</f>
        <v>661627.80739999993</v>
      </c>
      <c r="G24" s="63"/>
    </row>
    <row r="25" spans="4:7" ht="13.5" thickBot="1">
      <c r="D25" s="69"/>
      <c r="E25" s="381"/>
      <c r="F25" s="45"/>
      <c r="G25" s="65"/>
    </row>
    <row r="26" spans="4:7" ht="3.75" customHeight="1"/>
    <row r="29" spans="4:7">
      <c r="D29" s="59" t="s">
        <v>203</v>
      </c>
      <c r="F29" s="58">
        <f>45560</f>
        <v>45560</v>
      </c>
      <c r="G29" s="406" t="s">
        <v>738</v>
      </c>
    </row>
    <row r="30" spans="4:7">
      <c r="G30" s="376"/>
    </row>
    <row r="31" spans="4:7">
      <c r="G31" s="376"/>
    </row>
    <row r="32" spans="4:7">
      <c r="G32" s="376"/>
    </row>
    <row r="33" spans="4:7">
      <c r="G33" s="376"/>
    </row>
    <row r="34" spans="4:7">
      <c r="G34" s="376"/>
    </row>
    <row r="35" spans="4:7">
      <c r="D35" s="412" t="s">
        <v>643</v>
      </c>
      <c r="E35" s="412"/>
      <c r="F35" s="413">
        <v>-6366</v>
      </c>
      <c r="G35" s="498" t="s">
        <v>727</v>
      </c>
    </row>
    <row r="36" spans="4:7">
      <c r="D36" s="412" t="s">
        <v>0</v>
      </c>
      <c r="E36" s="412"/>
      <c r="F36" s="413">
        <f>F18</f>
        <v>112545</v>
      </c>
      <c r="G36" s="412" t="s">
        <v>1</v>
      </c>
    </row>
    <row r="37" spans="4:7">
      <c r="D37" s="59" t="str">
        <f>D7</f>
        <v>Bad debt expense</v>
      </c>
      <c r="F37" s="58">
        <f>F7</f>
        <v>6606</v>
      </c>
      <c r="G37" s="59" t="s">
        <v>2</v>
      </c>
    </row>
    <row r="38" spans="4:7">
      <c r="D38" s="59" t="str">
        <f>D13</f>
        <v>Advertising and promotional</v>
      </c>
      <c r="F38" s="58">
        <f>F13</f>
        <v>14387</v>
      </c>
      <c r="G38" s="59" t="s">
        <v>1</v>
      </c>
    </row>
    <row r="39" spans="4:7">
      <c r="D39" s="59" t="s">
        <v>704</v>
      </c>
      <c r="F39" s="58">
        <f>'TRANS TARIFF REV &amp; EXP'!Y31</f>
        <v>7361.26</v>
      </c>
      <c r="G39" s="59" t="s">
        <v>705</v>
      </c>
    </row>
    <row r="40" spans="4:7">
      <c r="D40" s="59" t="s">
        <v>5</v>
      </c>
      <c r="F40" s="58">
        <f>F24-SUM(F35:F39)</f>
        <v>527094.54739999992</v>
      </c>
    </row>
  </sheetData>
  <phoneticPr fontId="14" type="noConversion"/>
  <pageMargins left="0.75" right="0.75" top="1" bottom="1" header="0.5" footer="0.5"/>
  <pageSetup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I12"/>
  <sheetViews>
    <sheetView topLeftCell="A10" workbookViewId="0">
      <selection activeCell="L8" sqref="L8"/>
    </sheetView>
  </sheetViews>
  <sheetFormatPr defaultRowHeight="12.75"/>
  <sheetData>
    <row r="4" spans="4:9" ht="15.75">
      <c r="D4" s="70" t="s">
        <v>521</v>
      </c>
    </row>
    <row r="7" spans="4:9">
      <c r="D7" s="71" t="s">
        <v>49</v>
      </c>
      <c r="I7" s="72" t="s">
        <v>736</v>
      </c>
    </row>
    <row r="8" spans="4:9">
      <c r="I8" s="72" t="s">
        <v>742</v>
      </c>
    </row>
    <row r="9" spans="4:9">
      <c r="I9" s="72" t="s">
        <v>280</v>
      </c>
    </row>
    <row r="10" spans="4:9">
      <c r="I10" s="72" t="s">
        <v>281</v>
      </c>
    </row>
    <row r="12" spans="4:9">
      <c r="I12" s="72" t="s">
        <v>735</v>
      </c>
    </row>
  </sheetData>
  <phoneticPr fontId="14" type="noConversion"/>
  <pageMargins left="0.75" right="0.75" top="1" bottom="1" header="0.5" footer="0.5"/>
  <pageSetup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64"/>
  <sheetViews>
    <sheetView workbookViewId="0">
      <pane xSplit="4" ySplit="1" topLeftCell="N53" activePane="bottomRight" state="frozenSplit"/>
      <selection pane="topRight" activeCell="E1" sqref="E1"/>
      <selection pane="bottomLeft" activeCell="A2" sqref="A2"/>
      <selection pane="bottomRight" activeCell="Z31" sqref="Z31"/>
    </sheetView>
  </sheetViews>
  <sheetFormatPr defaultRowHeight="14.1" customHeight="1"/>
  <cols>
    <col min="1" max="3" width="3" style="584" customWidth="1"/>
    <col min="4" max="4" width="47.140625" style="584" customWidth="1"/>
    <col min="5" max="6" width="2.28515625" style="584" customWidth="1"/>
    <col min="7" max="7" width="9.42578125" style="584" bestFit="1" customWidth="1"/>
    <col min="8" max="8" width="2.28515625" style="584" customWidth="1"/>
    <col min="9" max="9" width="8.7109375" style="584" bestFit="1" customWidth="1"/>
    <col min="10" max="10" width="2.28515625" style="584" customWidth="1"/>
    <col min="11" max="11" width="4.5703125" style="584" bestFit="1" customWidth="1"/>
    <col min="12" max="12" width="2.28515625" style="584" customWidth="1"/>
    <col min="13" max="13" width="30.7109375" style="584" customWidth="1"/>
    <col min="14" max="14" width="2.28515625" style="584" customWidth="1"/>
    <col min="15" max="15" width="23.5703125" style="584" bestFit="1" customWidth="1"/>
    <col min="16" max="16" width="2.28515625" style="584" customWidth="1"/>
    <col min="17" max="17" width="30.7109375" style="584" customWidth="1"/>
    <col min="18" max="18" width="2.28515625" style="584" customWidth="1"/>
    <col min="19" max="19" width="5.42578125" style="584" bestFit="1" customWidth="1"/>
    <col min="20" max="20" width="2.28515625" style="584" customWidth="1"/>
    <col min="21" max="21" width="3.85546875" style="584" bestFit="1" customWidth="1"/>
    <col min="22" max="22" width="2.28515625" style="584" customWidth="1"/>
    <col min="23" max="23" width="9.7109375" style="584" bestFit="1" customWidth="1"/>
    <col min="24" max="24" width="2.28515625" style="584" customWidth="1"/>
    <col min="25" max="25" width="9.28515625" style="584" bestFit="1" customWidth="1"/>
    <col min="26" max="26" width="2.28515625" style="584" customWidth="1"/>
    <col min="27" max="16384" width="9.140625" style="455"/>
  </cols>
  <sheetData>
    <row r="1" spans="1:26" s="559" customFormat="1" ht="13.5" thickBot="1">
      <c r="A1" s="580"/>
      <c r="B1" s="580"/>
      <c r="C1" s="580"/>
      <c r="D1" s="580"/>
      <c r="E1" s="580"/>
      <c r="F1" s="580"/>
      <c r="G1" s="581" t="s">
        <v>503</v>
      </c>
      <c r="H1" s="580"/>
      <c r="I1" s="582" t="s">
        <v>47</v>
      </c>
      <c r="J1" s="583"/>
      <c r="K1" s="582" t="s">
        <v>769</v>
      </c>
      <c r="L1" s="583"/>
      <c r="M1" s="582" t="s">
        <v>770</v>
      </c>
      <c r="N1" s="583"/>
      <c r="O1" s="582" t="s">
        <v>771</v>
      </c>
      <c r="P1" s="583"/>
      <c r="Q1" s="582" t="s">
        <v>772</v>
      </c>
      <c r="R1" s="583"/>
      <c r="S1" s="582" t="s">
        <v>773</v>
      </c>
      <c r="T1" s="583"/>
      <c r="U1" s="582" t="s">
        <v>774</v>
      </c>
      <c r="V1" s="583"/>
      <c r="W1" s="582" t="s">
        <v>775</v>
      </c>
      <c r="X1" s="583"/>
      <c r="Y1" s="582" t="s">
        <v>59</v>
      </c>
      <c r="Z1" s="583"/>
    </row>
    <row r="2" spans="1:26" ht="13.5" thickTop="1">
      <c r="A2" s="561"/>
      <c r="B2" s="561" t="s">
        <v>776</v>
      </c>
      <c r="C2" s="561"/>
      <c r="D2" s="561"/>
      <c r="E2" s="561"/>
      <c r="F2" s="561"/>
      <c r="G2" s="561"/>
      <c r="H2" s="561"/>
      <c r="I2" s="563"/>
      <c r="J2" s="562"/>
      <c r="K2" s="562"/>
      <c r="L2" s="562"/>
      <c r="M2" s="562"/>
      <c r="N2" s="562"/>
      <c r="O2" s="562"/>
      <c r="P2" s="562"/>
      <c r="Q2" s="562"/>
      <c r="R2" s="562"/>
      <c r="S2" s="564"/>
      <c r="T2" s="562"/>
      <c r="U2" s="562"/>
      <c r="V2" s="562"/>
      <c r="W2" s="565"/>
      <c r="X2" s="562"/>
      <c r="Y2" s="565"/>
      <c r="Z2" s="562"/>
    </row>
    <row r="3" spans="1:26" ht="12.75">
      <c r="A3" s="561"/>
      <c r="B3" s="561"/>
      <c r="C3" s="561" t="s">
        <v>777</v>
      </c>
      <c r="D3" s="561"/>
      <c r="E3" s="561"/>
      <c r="F3" s="561"/>
      <c r="G3" s="561"/>
      <c r="H3" s="561"/>
      <c r="I3" s="563"/>
      <c r="J3" s="562"/>
      <c r="K3" s="562"/>
      <c r="L3" s="562"/>
      <c r="M3" s="562"/>
      <c r="N3" s="562"/>
      <c r="O3" s="562"/>
      <c r="P3" s="562"/>
      <c r="Q3" s="562"/>
      <c r="R3" s="562"/>
      <c r="S3" s="564"/>
      <c r="T3" s="562"/>
      <c r="U3" s="562"/>
      <c r="V3" s="562"/>
      <c r="W3" s="565"/>
      <c r="X3" s="562"/>
      <c r="Y3" s="565"/>
      <c r="Z3" s="562"/>
    </row>
    <row r="4" spans="1:26" ht="12.75">
      <c r="A4" s="561"/>
      <c r="B4" s="561"/>
      <c r="C4" s="561"/>
      <c r="D4" s="561" t="s">
        <v>778</v>
      </c>
      <c r="E4" s="561"/>
      <c r="F4" s="561"/>
      <c r="G4" s="561"/>
      <c r="H4" s="561"/>
      <c r="I4" s="563"/>
      <c r="J4" s="562"/>
      <c r="K4" s="562"/>
      <c r="L4" s="562"/>
      <c r="M4" s="562"/>
      <c r="N4" s="562"/>
      <c r="O4" s="562"/>
      <c r="P4" s="562"/>
      <c r="Q4" s="562"/>
      <c r="R4" s="562"/>
      <c r="S4" s="564"/>
      <c r="T4" s="562"/>
      <c r="U4" s="562"/>
      <c r="V4" s="562"/>
      <c r="W4" s="565"/>
      <c r="X4" s="562"/>
      <c r="Y4" s="565"/>
      <c r="Z4" s="562"/>
    </row>
    <row r="5" spans="1:26" ht="12.75">
      <c r="A5" s="566"/>
      <c r="B5" s="566"/>
      <c r="C5" s="566"/>
      <c r="D5" s="566"/>
      <c r="E5" s="566"/>
      <c r="F5" s="566"/>
      <c r="G5" s="566" t="s">
        <v>789</v>
      </c>
      <c r="H5" s="566"/>
      <c r="I5" s="567">
        <v>41666</v>
      </c>
      <c r="J5" s="568"/>
      <c r="K5" s="568" t="s">
        <v>790</v>
      </c>
      <c r="L5" s="568"/>
      <c r="M5" s="568" t="s">
        <v>803</v>
      </c>
      <c r="N5" s="568"/>
      <c r="O5" s="568" t="s">
        <v>807</v>
      </c>
      <c r="P5" s="568"/>
      <c r="Q5" s="568" t="s">
        <v>809</v>
      </c>
      <c r="R5" s="568"/>
      <c r="S5" s="569">
        <v>-1</v>
      </c>
      <c r="T5" s="568"/>
      <c r="U5" s="568"/>
      <c r="V5" s="568"/>
      <c r="W5" s="570">
        <v>19576.62</v>
      </c>
      <c r="X5" s="568"/>
      <c r="Y5" s="570">
        <f t="shared" ref="Y5:Y16" si="0">ROUND(IF(ISNUMBER(W5), S5*W5, S5),5)</f>
        <v>-19576.62</v>
      </c>
      <c r="Z5" s="568"/>
    </row>
    <row r="6" spans="1:26" ht="12.75">
      <c r="A6" s="566"/>
      <c r="B6" s="566"/>
      <c r="C6" s="566"/>
      <c r="D6" s="566"/>
      <c r="E6" s="566"/>
      <c r="F6" s="566"/>
      <c r="G6" s="566" t="s">
        <v>789</v>
      </c>
      <c r="H6" s="566"/>
      <c r="I6" s="567">
        <v>41697</v>
      </c>
      <c r="J6" s="568"/>
      <c r="K6" s="568" t="s">
        <v>791</v>
      </c>
      <c r="L6" s="568"/>
      <c r="M6" s="568" t="s">
        <v>803</v>
      </c>
      <c r="N6" s="568"/>
      <c r="O6" s="568" t="s">
        <v>807</v>
      </c>
      <c r="P6" s="568"/>
      <c r="Q6" s="568" t="s">
        <v>809</v>
      </c>
      <c r="R6" s="568"/>
      <c r="S6" s="569">
        <v>-1</v>
      </c>
      <c r="T6" s="568"/>
      <c r="U6" s="568"/>
      <c r="V6" s="568"/>
      <c r="W6" s="570">
        <v>19679.95</v>
      </c>
      <c r="X6" s="568"/>
      <c r="Y6" s="570">
        <f t="shared" si="0"/>
        <v>-19679.95</v>
      </c>
      <c r="Z6" s="568"/>
    </row>
    <row r="7" spans="1:26" ht="12.75">
      <c r="A7" s="566"/>
      <c r="B7" s="566"/>
      <c r="C7" s="566"/>
      <c r="D7" s="566"/>
      <c r="E7" s="566"/>
      <c r="F7" s="566"/>
      <c r="G7" s="566" t="s">
        <v>789</v>
      </c>
      <c r="H7" s="566"/>
      <c r="I7" s="567">
        <v>41723</v>
      </c>
      <c r="J7" s="568"/>
      <c r="K7" s="568" t="s">
        <v>792</v>
      </c>
      <c r="L7" s="568"/>
      <c r="M7" s="568" t="s">
        <v>803</v>
      </c>
      <c r="N7" s="568"/>
      <c r="O7" s="568" t="s">
        <v>807</v>
      </c>
      <c r="P7" s="568"/>
      <c r="Q7" s="568" t="s">
        <v>809</v>
      </c>
      <c r="R7" s="568"/>
      <c r="S7" s="569">
        <v>-1</v>
      </c>
      <c r="T7" s="568"/>
      <c r="U7" s="568"/>
      <c r="V7" s="568"/>
      <c r="W7" s="570">
        <v>16694.32</v>
      </c>
      <c r="X7" s="568"/>
      <c r="Y7" s="570">
        <f t="shared" si="0"/>
        <v>-16694.32</v>
      </c>
      <c r="Z7" s="568"/>
    </row>
    <row r="8" spans="1:26" ht="12.75">
      <c r="A8" s="566"/>
      <c r="B8" s="566"/>
      <c r="C8" s="566"/>
      <c r="D8" s="566"/>
      <c r="E8" s="566"/>
      <c r="F8" s="566"/>
      <c r="G8" s="566" t="s">
        <v>789</v>
      </c>
      <c r="H8" s="566"/>
      <c r="I8" s="567">
        <v>41757</v>
      </c>
      <c r="J8" s="568"/>
      <c r="K8" s="568" t="s">
        <v>793</v>
      </c>
      <c r="L8" s="568"/>
      <c r="M8" s="568" t="s">
        <v>803</v>
      </c>
      <c r="N8" s="568"/>
      <c r="O8" s="568" t="s">
        <v>807</v>
      </c>
      <c r="P8" s="568"/>
      <c r="Q8" s="568" t="s">
        <v>809</v>
      </c>
      <c r="R8" s="568"/>
      <c r="S8" s="569">
        <v>-1</v>
      </c>
      <c r="T8" s="568"/>
      <c r="U8" s="568"/>
      <c r="V8" s="568"/>
      <c r="W8" s="570">
        <v>17917.7</v>
      </c>
      <c r="X8" s="568"/>
      <c r="Y8" s="570">
        <f t="shared" si="0"/>
        <v>-17917.7</v>
      </c>
      <c r="Z8" s="568"/>
    </row>
    <row r="9" spans="1:26" ht="12.75">
      <c r="A9" s="566"/>
      <c r="B9" s="566"/>
      <c r="C9" s="566"/>
      <c r="D9" s="566"/>
      <c r="E9" s="566"/>
      <c r="F9" s="566"/>
      <c r="G9" s="566" t="s">
        <v>789</v>
      </c>
      <c r="H9" s="566"/>
      <c r="I9" s="567">
        <v>41787</v>
      </c>
      <c r="J9" s="568"/>
      <c r="K9" s="568" t="s">
        <v>794</v>
      </c>
      <c r="L9" s="568"/>
      <c r="M9" s="568" t="s">
        <v>803</v>
      </c>
      <c r="N9" s="568"/>
      <c r="O9" s="568" t="s">
        <v>807</v>
      </c>
      <c r="P9" s="568"/>
      <c r="Q9" s="568" t="s">
        <v>809</v>
      </c>
      <c r="R9" s="568"/>
      <c r="S9" s="569">
        <v>-1</v>
      </c>
      <c r="T9" s="568"/>
      <c r="U9" s="568"/>
      <c r="V9" s="568"/>
      <c r="W9" s="570">
        <v>15502.92</v>
      </c>
      <c r="X9" s="568"/>
      <c r="Y9" s="570">
        <f t="shared" si="0"/>
        <v>-15502.92</v>
      </c>
      <c r="Z9" s="568"/>
    </row>
    <row r="10" spans="1:26" ht="12.75">
      <c r="A10" s="566"/>
      <c r="B10" s="566"/>
      <c r="C10" s="566"/>
      <c r="D10" s="566"/>
      <c r="E10" s="566"/>
      <c r="F10" s="566"/>
      <c r="G10" s="566" t="s">
        <v>789</v>
      </c>
      <c r="H10" s="566"/>
      <c r="I10" s="567">
        <v>41813</v>
      </c>
      <c r="J10" s="568"/>
      <c r="K10" s="568" t="s">
        <v>795</v>
      </c>
      <c r="L10" s="568"/>
      <c r="M10" s="568" t="s">
        <v>803</v>
      </c>
      <c r="N10" s="568"/>
      <c r="O10" s="568" t="s">
        <v>807</v>
      </c>
      <c r="P10" s="568"/>
      <c r="Q10" s="568" t="s">
        <v>809</v>
      </c>
      <c r="R10" s="568"/>
      <c r="S10" s="569">
        <v>-1</v>
      </c>
      <c r="T10" s="568"/>
      <c r="U10" s="568"/>
      <c r="V10" s="568"/>
      <c r="W10" s="570">
        <v>20533.080000000002</v>
      </c>
      <c r="X10" s="568"/>
      <c r="Y10" s="570">
        <f t="shared" si="0"/>
        <v>-20533.080000000002</v>
      </c>
      <c r="Z10" s="568"/>
    </row>
    <row r="11" spans="1:26" ht="12.75">
      <c r="A11" s="566"/>
      <c r="B11" s="566"/>
      <c r="C11" s="566"/>
      <c r="D11" s="566"/>
      <c r="E11" s="566"/>
      <c r="F11" s="566"/>
      <c r="G11" s="566" t="s">
        <v>789</v>
      </c>
      <c r="H11" s="566"/>
      <c r="I11" s="567">
        <v>41849</v>
      </c>
      <c r="J11" s="568"/>
      <c r="K11" s="568" t="s">
        <v>796</v>
      </c>
      <c r="L11" s="568"/>
      <c r="M11" s="568" t="s">
        <v>803</v>
      </c>
      <c r="N11" s="568"/>
      <c r="O11" s="568" t="s">
        <v>807</v>
      </c>
      <c r="P11" s="568"/>
      <c r="Q11" s="568" t="s">
        <v>809</v>
      </c>
      <c r="R11" s="568"/>
      <c r="S11" s="569">
        <v>-1</v>
      </c>
      <c r="T11" s="568"/>
      <c r="U11" s="568"/>
      <c r="V11" s="568"/>
      <c r="W11" s="570">
        <v>18830.23</v>
      </c>
      <c r="X11" s="568"/>
      <c r="Y11" s="570">
        <f t="shared" si="0"/>
        <v>-18830.23</v>
      </c>
      <c r="Z11" s="568"/>
    </row>
    <row r="12" spans="1:26" ht="12.75">
      <c r="A12" s="566"/>
      <c r="B12" s="566"/>
      <c r="C12" s="566"/>
      <c r="D12" s="566"/>
      <c r="E12" s="566"/>
      <c r="F12" s="566"/>
      <c r="G12" s="566" t="s">
        <v>789</v>
      </c>
      <c r="H12" s="566"/>
      <c r="I12" s="567">
        <v>41873</v>
      </c>
      <c r="J12" s="568"/>
      <c r="K12" s="568" t="s">
        <v>797</v>
      </c>
      <c r="L12" s="568"/>
      <c r="M12" s="568" t="s">
        <v>803</v>
      </c>
      <c r="N12" s="568"/>
      <c r="O12" s="568" t="s">
        <v>807</v>
      </c>
      <c r="P12" s="568"/>
      <c r="Q12" s="568" t="s">
        <v>809</v>
      </c>
      <c r="R12" s="568"/>
      <c r="S12" s="569">
        <v>-1</v>
      </c>
      <c r="T12" s="568"/>
      <c r="U12" s="568"/>
      <c r="V12" s="568"/>
      <c r="W12" s="570">
        <v>22599.82</v>
      </c>
      <c r="X12" s="568"/>
      <c r="Y12" s="570">
        <f t="shared" si="0"/>
        <v>-22599.82</v>
      </c>
      <c r="Z12" s="568"/>
    </row>
    <row r="13" spans="1:26" ht="12.75">
      <c r="A13" s="566"/>
      <c r="B13" s="566"/>
      <c r="C13" s="566"/>
      <c r="D13" s="566"/>
      <c r="E13" s="566"/>
      <c r="F13" s="566"/>
      <c r="G13" s="566" t="s">
        <v>789</v>
      </c>
      <c r="H13" s="566"/>
      <c r="I13" s="567">
        <v>41907</v>
      </c>
      <c r="J13" s="568"/>
      <c r="K13" s="568" t="s">
        <v>798</v>
      </c>
      <c r="L13" s="568"/>
      <c r="M13" s="568" t="s">
        <v>803</v>
      </c>
      <c r="N13" s="568"/>
      <c r="O13" s="568" t="s">
        <v>807</v>
      </c>
      <c r="P13" s="568"/>
      <c r="Q13" s="568" t="s">
        <v>809</v>
      </c>
      <c r="R13" s="568"/>
      <c r="S13" s="569">
        <v>-1</v>
      </c>
      <c r="T13" s="568"/>
      <c r="U13" s="568"/>
      <c r="V13" s="568"/>
      <c r="W13" s="570">
        <v>20437.900000000001</v>
      </c>
      <c r="X13" s="568"/>
      <c r="Y13" s="570">
        <f t="shared" si="0"/>
        <v>-20437.900000000001</v>
      </c>
      <c r="Z13" s="568"/>
    </row>
    <row r="14" spans="1:26" ht="12.75">
      <c r="A14" s="566"/>
      <c r="B14" s="566"/>
      <c r="C14" s="566"/>
      <c r="D14" s="566"/>
      <c r="E14" s="566"/>
      <c r="F14" s="566"/>
      <c r="G14" s="566" t="s">
        <v>789</v>
      </c>
      <c r="H14" s="566"/>
      <c r="I14" s="567">
        <v>41939</v>
      </c>
      <c r="J14" s="568"/>
      <c r="K14" s="568" t="s">
        <v>799</v>
      </c>
      <c r="L14" s="568"/>
      <c r="M14" s="568" t="s">
        <v>803</v>
      </c>
      <c r="N14" s="568"/>
      <c r="O14" s="568" t="s">
        <v>807</v>
      </c>
      <c r="P14" s="568"/>
      <c r="Q14" s="568" t="s">
        <v>809</v>
      </c>
      <c r="R14" s="568"/>
      <c r="S14" s="569">
        <v>-1</v>
      </c>
      <c r="T14" s="568"/>
      <c r="U14" s="568"/>
      <c r="V14" s="568"/>
      <c r="W14" s="570">
        <v>18928.34</v>
      </c>
      <c r="X14" s="568"/>
      <c r="Y14" s="570">
        <f t="shared" si="0"/>
        <v>-18928.34</v>
      </c>
      <c r="Z14" s="568"/>
    </row>
    <row r="15" spans="1:26" ht="12.75">
      <c r="A15" s="566"/>
      <c r="B15" s="566"/>
      <c r="C15" s="566"/>
      <c r="D15" s="566"/>
      <c r="E15" s="566"/>
      <c r="F15" s="566"/>
      <c r="G15" s="566" t="s">
        <v>789</v>
      </c>
      <c r="H15" s="566"/>
      <c r="I15" s="567">
        <v>41967</v>
      </c>
      <c r="J15" s="568"/>
      <c r="K15" s="568" t="s">
        <v>800</v>
      </c>
      <c r="L15" s="568"/>
      <c r="M15" s="568" t="s">
        <v>803</v>
      </c>
      <c r="N15" s="568"/>
      <c r="O15" s="568" t="s">
        <v>807</v>
      </c>
      <c r="P15" s="568"/>
      <c r="Q15" s="568" t="s">
        <v>809</v>
      </c>
      <c r="R15" s="568"/>
      <c r="S15" s="569">
        <v>-1</v>
      </c>
      <c r="T15" s="568"/>
      <c r="U15" s="568"/>
      <c r="V15" s="568"/>
      <c r="W15" s="570">
        <v>14924.48</v>
      </c>
      <c r="X15" s="568"/>
      <c r="Y15" s="570">
        <f t="shared" si="0"/>
        <v>-14924.48</v>
      </c>
      <c r="Z15" s="568"/>
    </row>
    <row r="16" spans="1:26" ht="13.5" thickBot="1">
      <c r="A16" s="566"/>
      <c r="B16" s="566"/>
      <c r="C16" s="566"/>
      <c r="D16" s="566"/>
      <c r="E16" s="566"/>
      <c r="F16" s="566"/>
      <c r="G16" s="566" t="s">
        <v>789</v>
      </c>
      <c r="H16" s="566"/>
      <c r="I16" s="567">
        <v>42004</v>
      </c>
      <c r="J16" s="568"/>
      <c r="K16" s="568" t="s">
        <v>801</v>
      </c>
      <c r="L16" s="568"/>
      <c r="M16" s="568" t="s">
        <v>803</v>
      </c>
      <c r="N16" s="568"/>
      <c r="O16" s="568" t="s">
        <v>807</v>
      </c>
      <c r="P16" s="568"/>
      <c r="Q16" s="568" t="s">
        <v>809</v>
      </c>
      <c r="R16" s="568"/>
      <c r="S16" s="571">
        <v>-1</v>
      </c>
      <c r="T16" s="568"/>
      <c r="U16" s="568"/>
      <c r="V16" s="568"/>
      <c r="W16" s="570">
        <v>16358.08</v>
      </c>
      <c r="X16" s="568"/>
      <c r="Y16" s="572">
        <f t="shared" si="0"/>
        <v>-16358.08</v>
      </c>
      <c r="Z16" s="568"/>
    </row>
    <row r="17" spans="1:27" ht="12.75">
      <c r="A17" s="566"/>
      <c r="B17" s="566"/>
      <c r="C17" s="566"/>
      <c r="D17" s="566" t="s">
        <v>779</v>
      </c>
      <c r="E17" s="566"/>
      <c r="F17" s="566"/>
      <c r="G17" s="566"/>
      <c r="H17" s="566"/>
      <c r="I17" s="567"/>
      <c r="J17" s="568"/>
      <c r="K17" s="568"/>
      <c r="L17" s="568"/>
      <c r="M17" s="568"/>
      <c r="N17" s="568"/>
      <c r="O17" s="568"/>
      <c r="P17" s="568"/>
      <c r="Q17" s="568"/>
      <c r="R17" s="568"/>
      <c r="S17" s="569">
        <f>ROUND(SUM(S4:S16),5)</f>
        <v>-12</v>
      </c>
      <c r="T17" s="568"/>
      <c r="U17" s="568"/>
      <c r="V17" s="568"/>
      <c r="W17" s="570"/>
      <c r="X17" s="568"/>
      <c r="Y17" s="570">
        <f>ROUND(SUM(Y4:Y16),5)</f>
        <v>-221983.44</v>
      </c>
      <c r="Z17" s="568"/>
    </row>
    <row r="18" spans="1:27" ht="12.75">
      <c r="A18" s="561"/>
      <c r="B18" s="561"/>
      <c r="C18" s="561"/>
      <c r="D18" s="561" t="s">
        <v>780</v>
      </c>
      <c r="E18" s="561"/>
      <c r="F18" s="561"/>
      <c r="G18" s="561"/>
      <c r="H18" s="561"/>
      <c r="I18" s="563"/>
      <c r="J18" s="562"/>
      <c r="K18" s="562"/>
      <c r="L18" s="562"/>
      <c r="M18" s="562"/>
      <c r="N18" s="562"/>
      <c r="O18" s="562"/>
      <c r="P18" s="562"/>
      <c r="Q18" s="562"/>
      <c r="R18" s="562"/>
      <c r="S18" s="564"/>
      <c r="T18" s="562"/>
      <c r="U18" s="562"/>
      <c r="V18" s="562"/>
      <c r="W18" s="565"/>
      <c r="X18" s="562"/>
      <c r="Y18" s="565"/>
      <c r="Z18" s="562"/>
    </row>
    <row r="19" spans="1:27" ht="12.75">
      <c r="A19" s="566"/>
      <c r="B19" s="566"/>
      <c r="C19" s="566"/>
      <c r="D19" s="566"/>
      <c r="E19" s="566"/>
      <c r="F19" s="566"/>
      <c r="G19" s="566" t="s">
        <v>789</v>
      </c>
      <c r="H19" s="566"/>
      <c r="I19" s="567">
        <v>41666</v>
      </c>
      <c r="J19" s="568"/>
      <c r="K19" s="568" t="s">
        <v>790</v>
      </c>
      <c r="L19" s="568"/>
      <c r="M19" s="568" t="s">
        <v>804</v>
      </c>
      <c r="N19" s="568"/>
      <c r="O19" s="568" t="s">
        <v>807</v>
      </c>
      <c r="P19" s="568"/>
      <c r="Q19" s="568" t="s">
        <v>810</v>
      </c>
      <c r="R19" s="568"/>
      <c r="S19" s="569">
        <v>1</v>
      </c>
      <c r="T19" s="568"/>
      <c r="U19" s="568"/>
      <c r="V19" s="568"/>
      <c r="W19" s="570">
        <v>652.6</v>
      </c>
      <c r="X19" s="568"/>
      <c r="Y19" s="570">
        <f t="shared" ref="Y19:Y30" si="1">ROUND(IF(ISNUMBER(W19), S19*W19, S19),5)</f>
        <v>652.6</v>
      </c>
      <c r="Z19" s="568"/>
    </row>
    <row r="20" spans="1:27" ht="12.75">
      <c r="A20" s="566"/>
      <c r="B20" s="566"/>
      <c r="C20" s="566"/>
      <c r="D20" s="566"/>
      <c r="E20" s="566"/>
      <c r="F20" s="566"/>
      <c r="G20" s="566" t="s">
        <v>789</v>
      </c>
      <c r="H20" s="566"/>
      <c r="I20" s="567">
        <v>41697</v>
      </c>
      <c r="J20" s="568"/>
      <c r="K20" s="568" t="s">
        <v>791</v>
      </c>
      <c r="L20" s="568"/>
      <c r="M20" s="568" t="s">
        <v>804</v>
      </c>
      <c r="N20" s="568"/>
      <c r="O20" s="568" t="s">
        <v>807</v>
      </c>
      <c r="P20" s="568"/>
      <c r="Q20" s="568" t="s">
        <v>810</v>
      </c>
      <c r="R20" s="568"/>
      <c r="S20" s="569">
        <v>1</v>
      </c>
      <c r="T20" s="568"/>
      <c r="U20" s="568"/>
      <c r="V20" s="568"/>
      <c r="W20" s="570">
        <v>649.05999999999995</v>
      </c>
      <c r="X20" s="568"/>
      <c r="Y20" s="570">
        <f t="shared" si="1"/>
        <v>649.05999999999995</v>
      </c>
      <c r="Z20" s="568"/>
    </row>
    <row r="21" spans="1:27" ht="12.75">
      <c r="A21" s="566"/>
      <c r="B21" s="566"/>
      <c r="C21" s="566"/>
      <c r="D21" s="566"/>
      <c r="E21" s="566"/>
      <c r="F21" s="566"/>
      <c r="G21" s="566" t="s">
        <v>789</v>
      </c>
      <c r="H21" s="566"/>
      <c r="I21" s="567">
        <v>41723</v>
      </c>
      <c r="J21" s="568"/>
      <c r="K21" s="568" t="s">
        <v>792</v>
      </c>
      <c r="L21" s="568"/>
      <c r="M21" s="568" t="s">
        <v>804</v>
      </c>
      <c r="N21" s="568"/>
      <c r="O21" s="568" t="s">
        <v>807</v>
      </c>
      <c r="P21" s="568"/>
      <c r="Q21" s="568" t="s">
        <v>810</v>
      </c>
      <c r="R21" s="568"/>
      <c r="S21" s="569">
        <v>1</v>
      </c>
      <c r="T21" s="568"/>
      <c r="U21" s="568"/>
      <c r="V21" s="568"/>
      <c r="W21" s="570">
        <v>556.74</v>
      </c>
      <c r="X21" s="568"/>
      <c r="Y21" s="570">
        <f t="shared" si="1"/>
        <v>556.74</v>
      </c>
      <c r="Z21" s="568"/>
    </row>
    <row r="22" spans="1:27" ht="12.75">
      <c r="A22" s="566"/>
      <c r="B22" s="566"/>
      <c r="C22" s="566"/>
      <c r="D22" s="566"/>
      <c r="E22" s="566"/>
      <c r="F22" s="566"/>
      <c r="G22" s="566" t="s">
        <v>789</v>
      </c>
      <c r="H22" s="566"/>
      <c r="I22" s="567">
        <v>41757</v>
      </c>
      <c r="J22" s="568"/>
      <c r="K22" s="568" t="s">
        <v>793</v>
      </c>
      <c r="L22" s="568"/>
      <c r="M22" s="568" t="s">
        <v>804</v>
      </c>
      <c r="N22" s="568"/>
      <c r="O22" s="568" t="s">
        <v>807</v>
      </c>
      <c r="P22" s="568"/>
      <c r="Q22" s="568" t="s">
        <v>810</v>
      </c>
      <c r="R22" s="568"/>
      <c r="S22" s="569">
        <v>1</v>
      </c>
      <c r="T22" s="568"/>
      <c r="U22" s="568"/>
      <c r="V22" s="568"/>
      <c r="W22" s="570">
        <v>596.47</v>
      </c>
      <c r="X22" s="568"/>
      <c r="Y22" s="570">
        <f t="shared" si="1"/>
        <v>596.47</v>
      </c>
      <c r="Z22" s="568"/>
    </row>
    <row r="23" spans="1:27" ht="12.75">
      <c r="A23" s="566"/>
      <c r="B23" s="566"/>
      <c r="C23" s="566"/>
      <c r="D23" s="566"/>
      <c r="E23" s="566"/>
      <c r="F23" s="566"/>
      <c r="G23" s="566" t="s">
        <v>789</v>
      </c>
      <c r="H23" s="566"/>
      <c r="I23" s="567">
        <v>41787</v>
      </c>
      <c r="J23" s="568"/>
      <c r="K23" s="568" t="s">
        <v>794</v>
      </c>
      <c r="L23" s="568"/>
      <c r="M23" s="568" t="s">
        <v>804</v>
      </c>
      <c r="N23" s="568"/>
      <c r="O23" s="568" t="s">
        <v>807</v>
      </c>
      <c r="P23" s="568"/>
      <c r="Q23" s="568" t="s">
        <v>810</v>
      </c>
      <c r="R23" s="568"/>
      <c r="S23" s="569">
        <v>1</v>
      </c>
      <c r="T23" s="568"/>
      <c r="U23" s="568"/>
      <c r="V23" s="568"/>
      <c r="W23" s="570">
        <v>516.66999999999996</v>
      </c>
      <c r="X23" s="568"/>
      <c r="Y23" s="570">
        <f t="shared" si="1"/>
        <v>516.66999999999996</v>
      </c>
      <c r="Z23" s="568"/>
    </row>
    <row r="24" spans="1:27" ht="12.75">
      <c r="A24" s="566"/>
      <c r="B24" s="566"/>
      <c r="C24" s="566"/>
      <c r="D24" s="566"/>
      <c r="E24" s="566"/>
      <c r="F24" s="566"/>
      <c r="G24" s="566" t="s">
        <v>789</v>
      </c>
      <c r="H24" s="566"/>
      <c r="I24" s="567">
        <v>41813</v>
      </c>
      <c r="J24" s="568"/>
      <c r="K24" s="568" t="s">
        <v>795</v>
      </c>
      <c r="L24" s="568"/>
      <c r="M24" s="568" t="s">
        <v>804</v>
      </c>
      <c r="N24" s="568"/>
      <c r="O24" s="568" t="s">
        <v>807</v>
      </c>
      <c r="P24" s="568"/>
      <c r="Q24" s="568" t="s">
        <v>810</v>
      </c>
      <c r="R24" s="568"/>
      <c r="S24" s="569">
        <v>1</v>
      </c>
      <c r="T24" s="568"/>
      <c r="U24" s="568"/>
      <c r="V24" s="568"/>
      <c r="W24" s="570">
        <v>677.71</v>
      </c>
      <c r="X24" s="568"/>
      <c r="Y24" s="570">
        <f t="shared" si="1"/>
        <v>677.71</v>
      </c>
      <c r="Z24" s="568"/>
    </row>
    <row r="25" spans="1:27" ht="12.75">
      <c r="A25" s="566"/>
      <c r="B25" s="566"/>
      <c r="C25" s="566"/>
      <c r="D25" s="566"/>
      <c r="E25" s="566"/>
      <c r="F25" s="566"/>
      <c r="G25" s="566" t="s">
        <v>789</v>
      </c>
      <c r="H25" s="566"/>
      <c r="I25" s="567">
        <v>41849</v>
      </c>
      <c r="J25" s="568"/>
      <c r="K25" s="568" t="s">
        <v>796</v>
      </c>
      <c r="L25" s="568"/>
      <c r="M25" s="568" t="s">
        <v>804</v>
      </c>
      <c r="N25" s="568"/>
      <c r="O25" s="568" t="s">
        <v>807</v>
      </c>
      <c r="P25" s="568"/>
      <c r="Q25" s="568" t="s">
        <v>810</v>
      </c>
      <c r="R25" s="568"/>
      <c r="S25" s="569">
        <v>1</v>
      </c>
      <c r="T25" s="568"/>
      <c r="U25" s="568"/>
      <c r="V25" s="568"/>
      <c r="W25" s="570">
        <v>623.91999999999996</v>
      </c>
      <c r="X25" s="568"/>
      <c r="Y25" s="570">
        <f t="shared" si="1"/>
        <v>623.91999999999996</v>
      </c>
      <c r="Z25" s="568"/>
    </row>
    <row r="26" spans="1:27" ht="12.75">
      <c r="A26" s="566"/>
      <c r="B26" s="566"/>
      <c r="C26" s="566"/>
      <c r="D26" s="566"/>
      <c r="E26" s="566"/>
      <c r="F26" s="566"/>
      <c r="G26" s="566" t="s">
        <v>789</v>
      </c>
      <c r="H26" s="566"/>
      <c r="I26" s="567">
        <v>41873</v>
      </c>
      <c r="J26" s="568"/>
      <c r="K26" s="568" t="s">
        <v>797</v>
      </c>
      <c r="L26" s="568"/>
      <c r="M26" s="568" t="s">
        <v>804</v>
      </c>
      <c r="N26" s="568"/>
      <c r="O26" s="568" t="s">
        <v>807</v>
      </c>
      <c r="P26" s="568"/>
      <c r="Q26" s="568" t="s">
        <v>810</v>
      </c>
      <c r="R26" s="568"/>
      <c r="S26" s="569">
        <v>1</v>
      </c>
      <c r="T26" s="568"/>
      <c r="U26" s="568"/>
      <c r="V26" s="568"/>
      <c r="W26" s="570">
        <v>745.08</v>
      </c>
      <c r="X26" s="568"/>
      <c r="Y26" s="570">
        <f t="shared" si="1"/>
        <v>745.08</v>
      </c>
      <c r="Z26" s="568"/>
    </row>
    <row r="27" spans="1:27" ht="12.75">
      <c r="A27" s="566"/>
      <c r="B27" s="566"/>
      <c r="C27" s="566"/>
      <c r="D27" s="566"/>
      <c r="E27" s="566"/>
      <c r="F27" s="566"/>
      <c r="G27" s="566" t="s">
        <v>789</v>
      </c>
      <c r="H27" s="566"/>
      <c r="I27" s="567">
        <v>41907</v>
      </c>
      <c r="J27" s="568"/>
      <c r="K27" s="568" t="s">
        <v>798</v>
      </c>
      <c r="L27" s="568"/>
      <c r="M27" s="568" t="s">
        <v>804</v>
      </c>
      <c r="N27" s="568"/>
      <c r="O27" s="568" t="s">
        <v>807</v>
      </c>
      <c r="P27" s="568"/>
      <c r="Q27" s="568" t="s">
        <v>810</v>
      </c>
      <c r="R27" s="568"/>
      <c r="S27" s="569">
        <v>1</v>
      </c>
      <c r="T27" s="568"/>
      <c r="U27" s="568"/>
      <c r="V27" s="568"/>
      <c r="W27" s="570">
        <v>675.23</v>
      </c>
      <c r="X27" s="568"/>
      <c r="Y27" s="570">
        <f t="shared" si="1"/>
        <v>675.23</v>
      </c>
      <c r="Z27" s="568"/>
    </row>
    <row r="28" spans="1:27" ht="12.75">
      <c r="A28" s="566"/>
      <c r="B28" s="566"/>
      <c r="C28" s="566"/>
      <c r="D28" s="566"/>
      <c r="E28" s="566"/>
      <c r="F28" s="566"/>
      <c r="G28" s="566" t="s">
        <v>789</v>
      </c>
      <c r="H28" s="566"/>
      <c r="I28" s="567">
        <v>41939</v>
      </c>
      <c r="J28" s="568"/>
      <c r="K28" s="568" t="s">
        <v>799</v>
      </c>
      <c r="L28" s="568"/>
      <c r="M28" s="568" t="s">
        <v>804</v>
      </c>
      <c r="N28" s="568"/>
      <c r="O28" s="568" t="s">
        <v>807</v>
      </c>
      <c r="P28" s="568"/>
      <c r="Q28" s="568" t="s">
        <v>810</v>
      </c>
      <c r="R28" s="568"/>
      <c r="S28" s="569">
        <v>1</v>
      </c>
      <c r="T28" s="568"/>
      <c r="U28" s="568"/>
      <c r="V28" s="568"/>
      <c r="W28" s="570">
        <v>624.5</v>
      </c>
      <c r="X28" s="568"/>
      <c r="Y28" s="570">
        <f t="shared" si="1"/>
        <v>624.5</v>
      </c>
      <c r="Z28" s="568"/>
    </row>
    <row r="29" spans="1:27" ht="12.75">
      <c r="A29" s="566"/>
      <c r="B29" s="566"/>
      <c r="C29" s="566"/>
      <c r="D29" s="566"/>
      <c r="E29" s="566"/>
      <c r="F29" s="566"/>
      <c r="G29" s="566" t="s">
        <v>789</v>
      </c>
      <c r="H29" s="566"/>
      <c r="I29" s="567">
        <v>41967</v>
      </c>
      <c r="J29" s="568"/>
      <c r="K29" s="568" t="s">
        <v>800</v>
      </c>
      <c r="L29" s="568"/>
      <c r="M29" s="568" t="s">
        <v>804</v>
      </c>
      <c r="N29" s="568"/>
      <c r="O29" s="568" t="s">
        <v>807</v>
      </c>
      <c r="P29" s="568"/>
      <c r="Q29" s="568" t="s">
        <v>810</v>
      </c>
      <c r="R29" s="568"/>
      <c r="S29" s="569">
        <v>1</v>
      </c>
      <c r="T29" s="568"/>
      <c r="U29" s="568"/>
      <c r="V29" s="568"/>
      <c r="W29" s="570">
        <v>500.02</v>
      </c>
      <c r="X29" s="568"/>
      <c r="Y29" s="570">
        <f t="shared" si="1"/>
        <v>500.02</v>
      </c>
      <c r="Z29" s="568"/>
    </row>
    <row r="30" spans="1:27" ht="13.5" thickBot="1">
      <c r="A30" s="566"/>
      <c r="B30" s="566"/>
      <c r="C30" s="566"/>
      <c r="D30" s="566"/>
      <c r="E30" s="566"/>
      <c r="F30" s="566"/>
      <c r="G30" s="566" t="s">
        <v>789</v>
      </c>
      <c r="H30" s="566"/>
      <c r="I30" s="567">
        <v>42004</v>
      </c>
      <c r="J30" s="568"/>
      <c r="K30" s="568" t="s">
        <v>801</v>
      </c>
      <c r="L30" s="568"/>
      <c r="M30" s="568" t="s">
        <v>804</v>
      </c>
      <c r="N30" s="568"/>
      <c r="O30" s="568" t="s">
        <v>807</v>
      </c>
      <c r="P30" s="568"/>
      <c r="Q30" s="568" t="s">
        <v>810</v>
      </c>
      <c r="R30" s="568"/>
      <c r="S30" s="571">
        <v>1</v>
      </c>
      <c r="T30" s="568"/>
      <c r="U30" s="568"/>
      <c r="V30" s="568"/>
      <c r="W30" s="570">
        <v>543.26</v>
      </c>
      <c r="X30" s="568"/>
      <c r="Y30" s="572">
        <f t="shared" si="1"/>
        <v>543.26</v>
      </c>
      <c r="Z30" s="568"/>
    </row>
    <row r="31" spans="1:27" ht="12.75">
      <c r="A31" s="566"/>
      <c r="B31" s="566"/>
      <c r="C31" s="566"/>
      <c r="D31" s="566" t="s">
        <v>781</v>
      </c>
      <c r="E31" s="566"/>
      <c r="F31" s="566"/>
      <c r="G31" s="566"/>
      <c r="H31" s="566"/>
      <c r="I31" s="567"/>
      <c r="J31" s="568"/>
      <c r="K31" s="568"/>
      <c r="L31" s="568"/>
      <c r="M31" s="568"/>
      <c r="N31" s="568"/>
      <c r="O31" s="568"/>
      <c r="P31" s="568"/>
      <c r="Q31" s="568"/>
      <c r="R31" s="568"/>
      <c r="S31" s="569">
        <f>ROUND(SUM(S18:S30),5)</f>
        <v>12</v>
      </c>
      <c r="T31" s="568"/>
      <c r="U31" s="568"/>
      <c r="V31" s="568"/>
      <c r="W31" s="570"/>
      <c r="X31" s="568"/>
      <c r="Y31" s="570">
        <f>ROUND(SUM(Y18:Y30),5)</f>
        <v>7361.26</v>
      </c>
      <c r="Z31" s="568"/>
      <c r="AA31" s="455" t="s">
        <v>813</v>
      </c>
    </row>
    <row r="32" spans="1:27" ht="12.75">
      <c r="A32" s="561"/>
      <c r="B32" s="561"/>
      <c r="C32" s="561"/>
      <c r="D32" s="561" t="s">
        <v>782</v>
      </c>
      <c r="E32" s="561"/>
      <c r="F32" s="561"/>
      <c r="G32" s="561"/>
      <c r="H32" s="561"/>
      <c r="I32" s="563"/>
      <c r="J32" s="562"/>
      <c r="K32" s="562"/>
      <c r="L32" s="562"/>
      <c r="M32" s="562"/>
      <c r="N32" s="562"/>
      <c r="O32" s="562"/>
      <c r="P32" s="562"/>
      <c r="Q32" s="562"/>
      <c r="R32" s="562"/>
      <c r="S32" s="564"/>
      <c r="T32" s="562"/>
      <c r="U32" s="562"/>
      <c r="V32" s="562"/>
      <c r="W32" s="565"/>
      <c r="X32" s="562"/>
      <c r="Y32" s="565"/>
      <c r="Z32" s="562"/>
    </row>
    <row r="33" spans="1:26" ht="12.75">
      <c r="A33" s="566"/>
      <c r="B33" s="566"/>
      <c r="C33" s="566"/>
      <c r="D33" s="566"/>
      <c r="E33" s="566"/>
      <c r="F33" s="566"/>
      <c r="G33" s="566" t="s">
        <v>789</v>
      </c>
      <c r="H33" s="566"/>
      <c r="I33" s="567">
        <v>41666</v>
      </c>
      <c r="J33" s="568"/>
      <c r="K33" s="568" t="s">
        <v>790</v>
      </c>
      <c r="L33" s="568"/>
      <c r="M33" s="568" t="s">
        <v>805</v>
      </c>
      <c r="N33" s="568"/>
      <c r="O33" s="568" t="s">
        <v>807</v>
      </c>
      <c r="P33" s="568"/>
      <c r="Q33" s="568" t="s">
        <v>811</v>
      </c>
      <c r="R33" s="568"/>
      <c r="S33" s="569">
        <v>-1</v>
      </c>
      <c r="T33" s="568"/>
      <c r="U33" s="568"/>
      <c r="V33" s="568"/>
      <c r="W33" s="570">
        <v>748.25</v>
      </c>
      <c r="X33" s="568"/>
      <c r="Y33" s="570">
        <f t="shared" ref="Y33:Y44" si="2">ROUND(IF(ISNUMBER(W33), S33*W33, S33),5)</f>
        <v>-748.25</v>
      </c>
      <c r="Z33" s="568"/>
    </row>
    <row r="34" spans="1:26" ht="12.75">
      <c r="A34" s="566"/>
      <c r="B34" s="566"/>
      <c r="C34" s="566"/>
      <c r="D34" s="566"/>
      <c r="E34" s="566"/>
      <c r="F34" s="566"/>
      <c r="G34" s="566" t="s">
        <v>789</v>
      </c>
      <c r="H34" s="566"/>
      <c r="I34" s="567">
        <v>41697</v>
      </c>
      <c r="J34" s="568"/>
      <c r="K34" s="568" t="s">
        <v>791</v>
      </c>
      <c r="L34" s="568"/>
      <c r="M34" s="568" t="s">
        <v>805</v>
      </c>
      <c r="N34" s="568"/>
      <c r="O34" s="568" t="s">
        <v>807</v>
      </c>
      <c r="P34" s="568"/>
      <c r="Q34" s="568" t="s">
        <v>811</v>
      </c>
      <c r="R34" s="568"/>
      <c r="S34" s="569">
        <v>-1</v>
      </c>
      <c r="T34" s="568"/>
      <c r="U34" s="568"/>
      <c r="V34" s="568"/>
      <c r="W34" s="570">
        <v>714.46</v>
      </c>
      <c r="X34" s="568"/>
      <c r="Y34" s="570">
        <f t="shared" si="2"/>
        <v>-714.46</v>
      </c>
      <c r="Z34" s="568"/>
    </row>
    <row r="35" spans="1:26" ht="12.75">
      <c r="A35" s="566"/>
      <c r="B35" s="566"/>
      <c r="C35" s="566"/>
      <c r="D35" s="566"/>
      <c r="E35" s="566"/>
      <c r="F35" s="566"/>
      <c r="G35" s="566" t="s">
        <v>789</v>
      </c>
      <c r="H35" s="566"/>
      <c r="I35" s="567">
        <v>41723</v>
      </c>
      <c r="J35" s="568"/>
      <c r="K35" s="568" t="s">
        <v>792</v>
      </c>
      <c r="L35" s="568"/>
      <c r="M35" s="568" t="s">
        <v>805</v>
      </c>
      <c r="N35" s="568"/>
      <c r="O35" s="568" t="s">
        <v>807</v>
      </c>
      <c r="P35" s="568"/>
      <c r="Q35" s="568" t="s">
        <v>811</v>
      </c>
      <c r="R35" s="568"/>
      <c r="S35" s="569">
        <v>-1</v>
      </c>
      <c r="T35" s="568"/>
      <c r="U35" s="568"/>
      <c r="V35" s="568"/>
      <c r="W35" s="570">
        <v>646.33000000000004</v>
      </c>
      <c r="X35" s="568"/>
      <c r="Y35" s="570">
        <f t="shared" si="2"/>
        <v>-646.33000000000004</v>
      </c>
      <c r="Z35" s="568"/>
    </row>
    <row r="36" spans="1:26" ht="12.75">
      <c r="A36" s="566"/>
      <c r="B36" s="566"/>
      <c r="C36" s="566"/>
      <c r="D36" s="566"/>
      <c r="E36" s="566"/>
      <c r="F36" s="566"/>
      <c r="G36" s="566" t="s">
        <v>789</v>
      </c>
      <c r="H36" s="566"/>
      <c r="I36" s="567">
        <v>41757</v>
      </c>
      <c r="J36" s="568"/>
      <c r="K36" s="568" t="s">
        <v>793</v>
      </c>
      <c r="L36" s="568"/>
      <c r="M36" s="568" t="s">
        <v>805</v>
      </c>
      <c r="N36" s="568"/>
      <c r="O36" s="568" t="s">
        <v>807</v>
      </c>
      <c r="P36" s="568"/>
      <c r="Q36" s="568" t="s">
        <v>811</v>
      </c>
      <c r="R36" s="568"/>
      <c r="S36" s="569">
        <v>-1</v>
      </c>
      <c r="T36" s="568"/>
      <c r="U36" s="568"/>
      <c r="V36" s="568"/>
      <c r="W36" s="570">
        <v>727.65</v>
      </c>
      <c r="X36" s="568"/>
      <c r="Y36" s="570">
        <f t="shared" si="2"/>
        <v>-727.65</v>
      </c>
      <c r="Z36" s="568"/>
    </row>
    <row r="37" spans="1:26" ht="12.75">
      <c r="A37" s="566"/>
      <c r="B37" s="566"/>
      <c r="C37" s="566"/>
      <c r="D37" s="566"/>
      <c r="E37" s="566"/>
      <c r="F37" s="566"/>
      <c r="G37" s="566" t="s">
        <v>789</v>
      </c>
      <c r="H37" s="566"/>
      <c r="I37" s="567">
        <v>41787</v>
      </c>
      <c r="J37" s="568"/>
      <c r="K37" s="568" t="s">
        <v>794</v>
      </c>
      <c r="L37" s="568"/>
      <c r="M37" s="568" t="s">
        <v>805</v>
      </c>
      <c r="N37" s="568"/>
      <c r="O37" s="568" t="s">
        <v>807</v>
      </c>
      <c r="P37" s="568"/>
      <c r="Q37" s="568" t="s">
        <v>811</v>
      </c>
      <c r="R37" s="568"/>
      <c r="S37" s="569">
        <v>-1</v>
      </c>
      <c r="T37" s="568"/>
      <c r="U37" s="568"/>
      <c r="V37" s="568"/>
      <c r="W37" s="570">
        <v>618.19000000000005</v>
      </c>
      <c r="X37" s="568"/>
      <c r="Y37" s="570">
        <f t="shared" si="2"/>
        <v>-618.19000000000005</v>
      </c>
      <c r="Z37" s="568"/>
    </row>
    <row r="38" spans="1:26" ht="12.75">
      <c r="A38" s="566"/>
      <c r="B38" s="566"/>
      <c r="C38" s="566"/>
      <c r="D38" s="566"/>
      <c r="E38" s="566"/>
      <c r="F38" s="566"/>
      <c r="G38" s="566" t="s">
        <v>789</v>
      </c>
      <c r="H38" s="566"/>
      <c r="I38" s="567">
        <v>41813</v>
      </c>
      <c r="J38" s="568"/>
      <c r="K38" s="568" t="s">
        <v>795</v>
      </c>
      <c r="L38" s="568"/>
      <c r="M38" s="568" t="s">
        <v>805</v>
      </c>
      <c r="N38" s="568"/>
      <c r="O38" s="568" t="s">
        <v>807</v>
      </c>
      <c r="P38" s="568"/>
      <c r="Q38" s="568" t="s">
        <v>811</v>
      </c>
      <c r="R38" s="568"/>
      <c r="S38" s="569">
        <v>-1</v>
      </c>
      <c r="T38" s="568"/>
      <c r="U38" s="568"/>
      <c r="V38" s="568"/>
      <c r="W38" s="570">
        <v>863.12</v>
      </c>
      <c r="X38" s="568"/>
      <c r="Y38" s="570">
        <f t="shared" si="2"/>
        <v>-863.12</v>
      </c>
      <c r="Z38" s="568"/>
    </row>
    <row r="39" spans="1:26" ht="12.75">
      <c r="A39" s="566"/>
      <c r="B39" s="566"/>
      <c r="C39" s="566"/>
      <c r="D39" s="566"/>
      <c r="E39" s="566"/>
      <c r="F39" s="566"/>
      <c r="G39" s="566" t="s">
        <v>789</v>
      </c>
      <c r="H39" s="566"/>
      <c r="I39" s="567">
        <v>41849</v>
      </c>
      <c r="J39" s="568"/>
      <c r="K39" s="568" t="s">
        <v>796</v>
      </c>
      <c r="L39" s="568"/>
      <c r="M39" s="568" t="s">
        <v>805</v>
      </c>
      <c r="N39" s="568"/>
      <c r="O39" s="568" t="s">
        <v>807</v>
      </c>
      <c r="P39" s="568"/>
      <c r="Q39" s="568" t="s">
        <v>811</v>
      </c>
      <c r="R39" s="568"/>
      <c r="S39" s="569">
        <v>-1</v>
      </c>
      <c r="T39" s="568"/>
      <c r="U39" s="568"/>
      <c r="V39" s="568"/>
      <c r="W39" s="570">
        <v>790.77</v>
      </c>
      <c r="X39" s="568"/>
      <c r="Y39" s="570">
        <f t="shared" si="2"/>
        <v>-790.77</v>
      </c>
      <c r="Z39" s="568"/>
    </row>
    <row r="40" spans="1:26" ht="12.75">
      <c r="A40" s="566"/>
      <c r="B40" s="566"/>
      <c r="C40" s="566"/>
      <c r="D40" s="566"/>
      <c r="E40" s="566"/>
      <c r="F40" s="566"/>
      <c r="G40" s="566" t="s">
        <v>789</v>
      </c>
      <c r="H40" s="566"/>
      <c r="I40" s="567">
        <v>41873</v>
      </c>
      <c r="J40" s="568"/>
      <c r="K40" s="568" t="s">
        <v>797</v>
      </c>
      <c r="L40" s="568"/>
      <c r="M40" s="568" t="s">
        <v>805</v>
      </c>
      <c r="N40" s="568"/>
      <c r="O40" s="568" t="s">
        <v>807</v>
      </c>
      <c r="P40" s="568"/>
      <c r="Q40" s="568" t="s">
        <v>811</v>
      </c>
      <c r="R40" s="568"/>
      <c r="S40" s="569">
        <v>-1</v>
      </c>
      <c r="T40" s="568"/>
      <c r="U40" s="568"/>
      <c r="V40" s="568"/>
      <c r="W40" s="570">
        <v>819.14</v>
      </c>
      <c r="X40" s="568"/>
      <c r="Y40" s="570">
        <f t="shared" si="2"/>
        <v>-819.14</v>
      </c>
      <c r="Z40" s="568"/>
    </row>
    <row r="41" spans="1:26" ht="12.75">
      <c r="A41" s="566"/>
      <c r="B41" s="566"/>
      <c r="C41" s="566"/>
      <c r="D41" s="566"/>
      <c r="E41" s="566"/>
      <c r="F41" s="566"/>
      <c r="G41" s="566" t="s">
        <v>789</v>
      </c>
      <c r="H41" s="566"/>
      <c r="I41" s="567">
        <v>41907</v>
      </c>
      <c r="J41" s="568"/>
      <c r="K41" s="568" t="s">
        <v>798</v>
      </c>
      <c r="L41" s="568"/>
      <c r="M41" s="568" t="s">
        <v>805</v>
      </c>
      <c r="N41" s="568"/>
      <c r="O41" s="568" t="s">
        <v>807</v>
      </c>
      <c r="P41" s="568"/>
      <c r="Q41" s="568" t="s">
        <v>811</v>
      </c>
      <c r="R41" s="568"/>
      <c r="S41" s="569">
        <v>-1</v>
      </c>
      <c r="T41" s="568"/>
      <c r="U41" s="568"/>
      <c r="V41" s="568"/>
      <c r="W41" s="570">
        <v>835.57</v>
      </c>
      <c r="X41" s="568"/>
      <c r="Y41" s="570">
        <f t="shared" si="2"/>
        <v>-835.57</v>
      </c>
      <c r="Z41" s="568"/>
    </row>
    <row r="42" spans="1:26" ht="12.75">
      <c r="A42" s="566"/>
      <c r="B42" s="566"/>
      <c r="C42" s="566"/>
      <c r="D42" s="566"/>
      <c r="E42" s="566"/>
      <c r="F42" s="566"/>
      <c r="G42" s="566" t="s">
        <v>789</v>
      </c>
      <c r="H42" s="566"/>
      <c r="I42" s="567">
        <v>41939</v>
      </c>
      <c r="J42" s="568"/>
      <c r="K42" s="568" t="s">
        <v>799</v>
      </c>
      <c r="L42" s="568"/>
      <c r="M42" s="568" t="s">
        <v>805</v>
      </c>
      <c r="N42" s="568"/>
      <c r="O42" s="568" t="s">
        <v>807</v>
      </c>
      <c r="P42" s="568"/>
      <c r="Q42" s="568" t="s">
        <v>811</v>
      </c>
      <c r="R42" s="568"/>
      <c r="S42" s="569">
        <v>-1</v>
      </c>
      <c r="T42" s="568"/>
      <c r="U42" s="568"/>
      <c r="V42" s="568"/>
      <c r="W42" s="570">
        <v>786.34</v>
      </c>
      <c r="X42" s="568"/>
      <c r="Y42" s="570">
        <f t="shared" si="2"/>
        <v>-786.34</v>
      </c>
      <c r="Z42" s="568"/>
    </row>
    <row r="43" spans="1:26" ht="12.75">
      <c r="A43" s="566"/>
      <c r="B43" s="566"/>
      <c r="C43" s="566"/>
      <c r="D43" s="566"/>
      <c r="E43" s="566"/>
      <c r="F43" s="566"/>
      <c r="G43" s="566" t="s">
        <v>789</v>
      </c>
      <c r="H43" s="566"/>
      <c r="I43" s="567">
        <v>41967</v>
      </c>
      <c r="J43" s="568"/>
      <c r="K43" s="568" t="s">
        <v>800</v>
      </c>
      <c r="L43" s="568"/>
      <c r="M43" s="568" t="s">
        <v>805</v>
      </c>
      <c r="N43" s="568"/>
      <c r="O43" s="568" t="s">
        <v>807</v>
      </c>
      <c r="P43" s="568"/>
      <c r="Q43" s="568" t="s">
        <v>811</v>
      </c>
      <c r="R43" s="568"/>
      <c r="S43" s="569">
        <v>-1</v>
      </c>
      <c r="T43" s="568"/>
      <c r="U43" s="568"/>
      <c r="V43" s="568"/>
      <c r="W43" s="570">
        <v>800.66</v>
      </c>
      <c r="X43" s="568"/>
      <c r="Y43" s="570">
        <f t="shared" si="2"/>
        <v>-800.66</v>
      </c>
      <c r="Z43" s="568"/>
    </row>
    <row r="44" spans="1:26" ht="13.5" thickBot="1">
      <c r="A44" s="566"/>
      <c r="B44" s="566"/>
      <c r="C44" s="566"/>
      <c r="D44" s="566"/>
      <c r="E44" s="566"/>
      <c r="F44" s="566"/>
      <c r="G44" s="566" t="s">
        <v>789</v>
      </c>
      <c r="H44" s="566"/>
      <c r="I44" s="567">
        <v>42004</v>
      </c>
      <c r="J44" s="568"/>
      <c r="K44" s="568" t="s">
        <v>801</v>
      </c>
      <c r="L44" s="568"/>
      <c r="M44" s="568" t="s">
        <v>805</v>
      </c>
      <c r="N44" s="568"/>
      <c r="O44" s="568" t="s">
        <v>807</v>
      </c>
      <c r="P44" s="568"/>
      <c r="Q44" s="568" t="s">
        <v>811</v>
      </c>
      <c r="R44" s="568"/>
      <c r="S44" s="571">
        <v>-1</v>
      </c>
      <c r="T44" s="568"/>
      <c r="U44" s="568"/>
      <c r="V44" s="568"/>
      <c r="W44" s="570">
        <v>631.9</v>
      </c>
      <c r="X44" s="568"/>
      <c r="Y44" s="572">
        <f t="shared" si="2"/>
        <v>-631.9</v>
      </c>
      <c r="Z44" s="568"/>
    </row>
    <row r="45" spans="1:26" ht="12.75">
      <c r="A45" s="566"/>
      <c r="B45" s="566"/>
      <c r="C45" s="566"/>
      <c r="D45" s="566" t="s">
        <v>783</v>
      </c>
      <c r="E45" s="566"/>
      <c r="F45" s="566"/>
      <c r="G45" s="566"/>
      <c r="H45" s="566"/>
      <c r="I45" s="567"/>
      <c r="J45" s="568"/>
      <c r="K45" s="568"/>
      <c r="L45" s="568"/>
      <c r="M45" s="568"/>
      <c r="N45" s="568"/>
      <c r="O45" s="568"/>
      <c r="P45" s="568"/>
      <c r="Q45" s="568"/>
      <c r="R45" s="568"/>
      <c r="S45" s="569">
        <f>ROUND(SUM(S32:S44),5)</f>
        <v>-12</v>
      </c>
      <c r="T45" s="568"/>
      <c r="U45" s="568"/>
      <c r="V45" s="568"/>
      <c r="W45" s="570"/>
      <c r="X45" s="568"/>
      <c r="Y45" s="570">
        <f>ROUND(SUM(Y32:Y44),5)</f>
        <v>-8982.3799999999992</v>
      </c>
      <c r="Z45" s="568"/>
    </row>
    <row r="46" spans="1:26" ht="12.75">
      <c r="A46" s="561"/>
      <c r="B46" s="561"/>
      <c r="C46" s="561"/>
      <c r="D46" s="561" t="s">
        <v>784</v>
      </c>
      <c r="E46" s="561"/>
      <c r="F46" s="561"/>
      <c r="G46" s="561"/>
      <c r="H46" s="561"/>
      <c r="I46" s="563"/>
      <c r="J46" s="562"/>
      <c r="K46" s="562"/>
      <c r="L46" s="562"/>
      <c r="M46" s="562"/>
      <c r="N46" s="562"/>
      <c r="O46" s="562"/>
      <c r="P46" s="562"/>
      <c r="Q46" s="562"/>
      <c r="R46" s="562"/>
      <c r="S46" s="564"/>
      <c r="T46" s="562"/>
      <c r="U46" s="562"/>
      <c r="V46" s="562"/>
      <c r="W46" s="565"/>
      <c r="X46" s="562"/>
      <c r="Y46" s="565"/>
      <c r="Z46" s="562"/>
    </row>
    <row r="47" spans="1:26" ht="12.75">
      <c r="A47" s="566"/>
      <c r="B47" s="566"/>
      <c r="C47" s="566"/>
      <c r="D47" s="566"/>
      <c r="E47" s="566"/>
      <c r="F47" s="566"/>
      <c r="G47" s="566" t="s">
        <v>789</v>
      </c>
      <c r="H47" s="566"/>
      <c r="I47" s="567">
        <v>41666</v>
      </c>
      <c r="J47" s="568"/>
      <c r="K47" s="568" t="s">
        <v>790</v>
      </c>
      <c r="L47" s="568"/>
      <c r="M47" s="568" t="s">
        <v>806</v>
      </c>
      <c r="N47" s="568"/>
      <c r="O47" s="568" t="s">
        <v>807</v>
      </c>
      <c r="P47" s="568"/>
      <c r="Q47" s="568" t="s">
        <v>812</v>
      </c>
      <c r="R47" s="568"/>
      <c r="S47" s="569">
        <v>-1</v>
      </c>
      <c r="T47" s="568"/>
      <c r="U47" s="568"/>
      <c r="V47" s="568"/>
      <c r="W47" s="570">
        <v>1428.52</v>
      </c>
      <c r="X47" s="568"/>
      <c r="Y47" s="570">
        <f t="shared" ref="Y47:Y59" si="3">ROUND(IF(ISNUMBER(W47), S47*W47, S47),5)</f>
        <v>-1428.52</v>
      </c>
      <c r="Z47" s="568"/>
    </row>
    <row r="48" spans="1:26" ht="12.75">
      <c r="A48" s="566"/>
      <c r="B48" s="566"/>
      <c r="C48" s="566"/>
      <c r="D48" s="566"/>
      <c r="E48" s="566"/>
      <c r="F48" s="566"/>
      <c r="G48" s="566" t="s">
        <v>789</v>
      </c>
      <c r="H48" s="566"/>
      <c r="I48" s="567">
        <v>41697</v>
      </c>
      <c r="J48" s="568"/>
      <c r="K48" s="568" t="s">
        <v>791</v>
      </c>
      <c r="L48" s="568"/>
      <c r="M48" s="568" t="s">
        <v>806</v>
      </c>
      <c r="N48" s="568"/>
      <c r="O48" s="568" t="s">
        <v>807</v>
      </c>
      <c r="P48" s="568"/>
      <c r="Q48" s="568" t="s">
        <v>812</v>
      </c>
      <c r="R48" s="568"/>
      <c r="S48" s="569">
        <v>-1</v>
      </c>
      <c r="T48" s="568"/>
      <c r="U48" s="568"/>
      <c r="V48" s="568"/>
      <c r="W48" s="570">
        <v>1240.95</v>
      </c>
      <c r="X48" s="568"/>
      <c r="Y48" s="570">
        <f t="shared" si="3"/>
        <v>-1240.95</v>
      </c>
      <c r="Z48" s="568"/>
    </row>
    <row r="49" spans="1:26" ht="12.75">
      <c r="A49" s="566"/>
      <c r="B49" s="566"/>
      <c r="C49" s="566"/>
      <c r="D49" s="566"/>
      <c r="E49" s="566"/>
      <c r="F49" s="566"/>
      <c r="G49" s="566" t="s">
        <v>789</v>
      </c>
      <c r="H49" s="566"/>
      <c r="I49" s="567">
        <v>41723</v>
      </c>
      <c r="J49" s="568"/>
      <c r="K49" s="568" t="s">
        <v>792</v>
      </c>
      <c r="L49" s="568"/>
      <c r="M49" s="568" t="s">
        <v>806</v>
      </c>
      <c r="N49" s="568"/>
      <c r="O49" s="568" t="s">
        <v>807</v>
      </c>
      <c r="P49" s="568"/>
      <c r="Q49" s="568" t="s">
        <v>812</v>
      </c>
      <c r="R49" s="568"/>
      <c r="S49" s="569">
        <v>-1</v>
      </c>
      <c r="T49" s="568"/>
      <c r="U49" s="568"/>
      <c r="V49" s="568"/>
      <c r="W49" s="570">
        <v>1217.22</v>
      </c>
      <c r="X49" s="568"/>
      <c r="Y49" s="570">
        <f t="shared" si="3"/>
        <v>-1217.22</v>
      </c>
      <c r="Z49" s="568"/>
    </row>
    <row r="50" spans="1:26" ht="12.75">
      <c r="A50" s="566"/>
      <c r="B50" s="566"/>
      <c r="C50" s="566"/>
      <c r="D50" s="566"/>
      <c r="E50" s="566"/>
      <c r="F50" s="566"/>
      <c r="G50" s="566" t="s">
        <v>789</v>
      </c>
      <c r="H50" s="566"/>
      <c r="I50" s="567">
        <v>41757</v>
      </c>
      <c r="J50" s="568"/>
      <c r="K50" s="568" t="s">
        <v>793</v>
      </c>
      <c r="L50" s="568"/>
      <c r="M50" s="568" t="s">
        <v>806</v>
      </c>
      <c r="N50" s="568"/>
      <c r="O50" s="568" t="s">
        <v>807</v>
      </c>
      <c r="P50" s="568"/>
      <c r="Q50" s="568" t="s">
        <v>812</v>
      </c>
      <c r="R50" s="568"/>
      <c r="S50" s="569">
        <v>-1</v>
      </c>
      <c r="T50" s="568"/>
      <c r="U50" s="568"/>
      <c r="V50" s="568"/>
      <c r="W50" s="570">
        <v>1236.8800000000001</v>
      </c>
      <c r="X50" s="568"/>
      <c r="Y50" s="570">
        <f t="shared" si="3"/>
        <v>-1236.8800000000001</v>
      </c>
      <c r="Z50" s="568"/>
    </row>
    <row r="51" spans="1:26" ht="12.75">
      <c r="A51" s="566"/>
      <c r="B51" s="566"/>
      <c r="C51" s="566"/>
      <c r="D51" s="566"/>
      <c r="E51" s="566"/>
      <c r="F51" s="566"/>
      <c r="G51" s="566" t="s">
        <v>789</v>
      </c>
      <c r="H51" s="566"/>
      <c r="I51" s="567">
        <v>41787</v>
      </c>
      <c r="J51" s="568"/>
      <c r="K51" s="568" t="s">
        <v>794</v>
      </c>
      <c r="L51" s="568"/>
      <c r="M51" s="568" t="s">
        <v>806</v>
      </c>
      <c r="N51" s="568"/>
      <c r="O51" s="568" t="s">
        <v>807</v>
      </c>
      <c r="P51" s="568"/>
      <c r="Q51" s="568" t="s">
        <v>812</v>
      </c>
      <c r="R51" s="568"/>
      <c r="S51" s="569">
        <v>-1</v>
      </c>
      <c r="T51" s="568"/>
      <c r="U51" s="568"/>
      <c r="V51" s="568"/>
      <c r="W51" s="570">
        <v>1101.22</v>
      </c>
      <c r="X51" s="568"/>
      <c r="Y51" s="570">
        <f t="shared" si="3"/>
        <v>-1101.22</v>
      </c>
      <c r="Z51" s="568"/>
    </row>
    <row r="52" spans="1:26" ht="12.75">
      <c r="A52" s="566"/>
      <c r="B52" s="566"/>
      <c r="C52" s="566"/>
      <c r="D52" s="566"/>
      <c r="E52" s="566"/>
      <c r="F52" s="566"/>
      <c r="G52" s="566" t="s">
        <v>789</v>
      </c>
      <c r="H52" s="566"/>
      <c r="I52" s="567">
        <v>41813</v>
      </c>
      <c r="J52" s="568"/>
      <c r="K52" s="568" t="s">
        <v>795</v>
      </c>
      <c r="L52" s="568"/>
      <c r="M52" s="568" t="s">
        <v>806</v>
      </c>
      <c r="N52" s="568"/>
      <c r="O52" s="568" t="s">
        <v>807</v>
      </c>
      <c r="P52" s="568"/>
      <c r="Q52" s="568" t="s">
        <v>812</v>
      </c>
      <c r="R52" s="568"/>
      <c r="S52" s="569">
        <v>-1</v>
      </c>
      <c r="T52" s="568"/>
      <c r="U52" s="568"/>
      <c r="V52" s="568"/>
      <c r="W52" s="570">
        <v>1194.28</v>
      </c>
      <c r="X52" s="568"/>
      <c r="Y52" s="570">
        <f t="shared" si="3"/>
        <v>-1194.28</v>
      </c>
      <c r="Z52" s="568"/>
    </row>
    <row r="53" spans="1:26" ht="12.75">
      <c r="A53" s="566"/>
      <c r="B53" s="566"/>
      <c r="C53" s="566"/>
      <c r="D53" s="566"/>
      <c r="E53" s="566"/>
      <c r="F53" s="566"/>
      <c r="G53" s="566" t="s">
        <v>789</v>
      </c>
      <c r="H53" s="566"/>
      <c r="I53" s="567">
        <v>41849</v>
      </c>
      <c r="J53" s="568"/>
      <c r="K53" s="568" t="s">
        <v>796</v>
      </c>
      <c r="L53" s="568"/>
      <c r="M53" s="568" t="s">
        <v>806</v>
      </c>
      <c r="N53" s="568"/>
      <c r="O53" s="568" t="s">
        <v>807</v>
      </c>
      <c r="P53" s="568"/>
      <c r="Q53" s="568" t="s">
        <v>812</v>
      </c>
      <c r="R53" s="568"/>
      <c r="S53" s="569">
        <v>-1</v>
      </c>
      <c r="T53" s="568"/>
      <c r="U53" s="568"/>
      <c r="V53" s="568"/>
      <c r="W53" s="570">
        <v>1176.29</v>
      </c>
      <c r="X53" s="568"/>
      <c r="Y53" s="570">
        <f t="shared" si="3"/>
        <v>-1176.29</v>
      </c>
      <c r="Z53" s="568"/>
    </row>
    <row r="54" spans="1:26" ht="12.75">
      <c r="A54" s="566"/>
      <c r="B54" s="566"/>
      <c r="C54" s="566"/>
      <c r="D54" s="566"/>
      <c r="E54" s="566"/>
      <c r="F54" s="566"/>
      <c r="G54" s="566" t="s">
        <v>789</v>
      </c>
      <c r="H54" s="566"/>
      <c r="I54" s="567">
        <v>41873</v>
      </c>
      <c r="J54" s="568"/>
      <c r="K54" s="568" t="s">
        <v>797</v>
      </c>
      <c r="L54" s="568"/>
      <c r="M54" s="568" t="s">
        <v>806</v>
      </c>
      <c r="N54" s="568"/>
      <c r="O54" s="568" t="s">
        <v>807</v>
      </c>
      <c r="P54" s="568"/>
      <c r="Q54" s="568" t="s">
        <v>812</v>
      </c>
      <c r="R54" s="568"/>
      <c r="S54" s="569">
        <v>-1</v>
      </c>
      <c r="T54" s="568"/>
      <c r="U54" s="568"/>
      <c r="V54" s="568"/>
      <c r="W54" s="570">
        <v>1416.93</v>
      </c>
      <c r="X54" s="568"/>
      <c r="Y54" s="570">
        <f t="shared" si="3"/>
        <v>-1416.93</v>
      </c>
      <c r="Z54" s="568"/>
    </row>
    <row r="55" spans="1:26" ht="12.75">
      <c r="A55" s="566"/>
      <c r="B55" s="566"/>
      <c r="C55" s="566"/>
      <c r="D55" s="566"/>
      <c r="E55" s="566"/>
      <c r="F55" s="566"/>
      <c r="G55" s="566" t="s">
        <v>789</v>
      </c>
      <c r="H55" s="566"/>
      <c r="I55" s="567">
        <v>41907</v>
      </c>
      <c r="J55" s="568"/>
      <c r="K55" s="568" t="s">
        <v>798</v>
      </c>
      <c r="L55" s="568"/>
      <c r="M55" s="568" t="s">
        <v>806</v>
      </c>
      <c r="N55" s="568"/>
      <c r="O55" s="568" t="s">
        <v>807</v>
      </c>
      <c r="P55" s="568"/>
      <c r="Q55" s="568" t="s">
        <v>812</v>
      </c>
      <c r="R55" s="568"/>
      <c r="S55" s="569">
        <v>-1</v>
      </c>
      <c r="T55" s="568"/>
      <c r="U55" s="568"/>
      <c r="V55" s="568"/>
      <c r="W55" s="570">
        <v>1234.1099999999999</v>
      </c>
      <c r="X55" s="568"/>
      <c r="Y55" s="570">
        <f t="shared" si="3"/>
        <v>-1234.1099999999999</v>
      </c>
      <c r="Z55" s="568"/>
    </row>
    <row r="56" spans="1:26" ht="12.75">
      <c r="A56" s="566"/>
      <c r="B56" s="566"/>
      <c r="C56" s="566"/>
      <c r="D56" s="566"/>
      <c r="E56" s="566"/>
      <c r="F56" s="566"/>
      <c r="G56" s="566" t="s">
        <v>789</v>
      </c>
      <c r="H56" s="566"/>
      <c r="I56" s="567">
        <v>41939</v>
      </c>
      <c r="J56" s="568"/>
      <c r="K56" s="568" t="s">
        <v>799</v>
      </c>
      <c r="L56" s="568"/>
      <c r="M56" s="568" t="s">
        <v>806</v>
      </c>
      <c r="N56" s="568"/>
      <c r="O56" s="568" t="s">
        <v>807</v>
      </c>
      <c r="P56" s="568"/>
      <c r="Q56" s="568" t="s">
        <v>812</v>
      </c>
      <c r="R56" s="568"/>
      <c r="S56" s="569">
        <v>-1</v>
      </c>
      <c r="T56" s="568"/>
      <c r="U56" s="568"/>
      <c r="V56" s="568"/>
      <c r="W56" s="570">
        <v>1101.8900000000001</v>
      </c>
      <c r="X56" s="568"/>
      <c r="Y56" s="570">
        <f t="shared" si="3"/>
        <v>-1101.8900000000001</v>
      </c>
      <c r="Z56" s="568"/>
    </row>
    <row r="57" spans="1:26" ht="12.75">
      <c r="A57" s="566"/>
      <c r="B57" s="566"/>
      <c r="C57" s="566"/>
      <c r="D57" s="566"/>
      <c r="E57" s="566"/>
      <c r="F57" s="566"/>
      <c r="G57" s="566" t="s">
        <v>789</v>
      </c>
      <c r="H57" s="566"/>
      <c r="I57" s="567">
        <v>41967</v>
      </c>
      <c r="J57" s="568"/>
      <c r="K57" s="568" t="s">
        <v>800</v>
      </c>
      <c r="L57" s="568"/>
      <c r="M57" s="568" t="s">
        <v>806</v>
      </c>
      <c r="N57" s="568"/>
      <c r="O57" s="568" t="s">
        <v>807</v>
      </c>
      <c r="P57" s="568"/>
      <c r="Q57" s="568" t="s">
        <v>812</v>
      </c>
      <c r="R57" s="568"/>
      <c r="S57" s="569">
        <v>-1</v>
      </c>
      <c r="T57" s="568"/>
      <c r="U57" s="568"/>
      <c r="V57" s="568"/>
      <c r="W57" s="570">
        <v>942.05</v>
      </c>
      <c r="X57" s="568"/>
      <c r="Y57" s="570">
        <f t="shared" si="3"/>
        <v>-942.05</v>
      </c>
      <c r="Z57" s="568"/>
    </row>
    <row r="58" spans="1:26" ht="12.75">
      <c r="A58" s="566"/>
      <c r="B58" s="566"/>
      <c r="C58" s="566"/>
      <c r="D58" s="566"/>
      <c r="E58" s="566"/>
      <c r="F58" s="566"/>
      <c r="G58" s="566" t="s">
        <v>789</v>
      </c>
      <c r="H58" s="566"/>
      <c r="I58" s="567">
        <v>41995</v>
      </c>
      <c r="J58" s="568"/>
      <c r="K58" s="568" t="s">
        <v>802</v>
      </c>
      <c r="L58" s="568"/>
      <c r="M58" s="568" t="s">
        <v>806</v>
      </c>
      <c r="N58" s="568"/>
      <c r="O58" s="568" t="s">
        <v>808</v>
      </c>
      <c r="P58" s="568"/>
      <c r="Q58" s="568" t="s">
        <v>812</v>
      </c>
      <c r="R58" s="568"/>
      <c r="S58" s="569">
        <v>-1</v>
      </c>
      <c r="T58" s="568"/>
      <c r="U58" s="568"/>
      <c r="V58" s="568"/>
      <c r="W58" s="570">
        <v>0</v>
      </c>
      <c r="X58" s="568"/>
      <c r="Y58" s="570">
        <f t="shared" si="3"/>
        <v>0</v>
      </c>
      <c r="Z58" s="568"/>
    </row>
    <row r="59" spans="1:26" ht="13.5" thickBot="1">
      <c r="A59" s="566"/>
      <c r="B59" s="566"/>
      <c r="C59" s="566"/>
      <c r="D59" s="566"/>
      <c r="E59" s="566"/>
      <c r="F59" s="566"/>
      <c r="G59" s="566" t="s">
        <v>789</v>
      </c>
      <c r="H59" s="566"/>
      <c r="I59" s="567">
        <v>42004</v>
      </c>
      <c r="J59" s="568"/>
      <c r="K59" s="568" t="s">
        <v>801</v>
      </c>
      <c r="L59" s="568"/>
      <c r="M59" s="568" t="s">
        <v>806</v>
      </c>
      <c r="N59" s="568"/>
      <c r="O59" s="568" t="s">
        <v>807</v>
      </c>
      <c r="P59" s="568"/>
      <c r="Q59" s="568" t="s">
        <v>812</v>
      </c>
      <c r="R59" s="568"/>
      <c r="S59" s="573">
        <v>-1</v>
      </c>
      <c r="T59" s="568"/>
      <c r="U59" s="568"/>
      <c r="V59" s="568"/>
      <c r="W59" s="570">
        <v>1118.77</v>
      </c>
      <c r="X59" s="568"/>
      <c r="Y59" s="574">
        <f t="shared" si="3"/>
        <v>-1118.77</v>
      </c>
      <c r="Z59" s="568"/>
    </row>
    <row r="60" spans="1:26" ht="13.5" thickBot="1">
      <c r="A60" s="566"/>
      <c r="B60" s="566"/>
      <c r="C60" s="566"/>
      <c r="D60" s="566" t="s">
        <v>785</v>
      </c>
      <c r="E60" s="566"/>
      <c r="F60" s="566"/>
      <c r="G60" s="566"/>
      <c r="H60" s="566"/>
      <c r="I60" s="567"/>
      <c r="J60" s="568"/>
      <c r="K60" s="568"/>
      <c r="L60" s="568"/>
      <c r="M60" s="568"/>
      <c r="N60" s="568"/>
      <c r="O60" s="568"/>
      <c r="P60" s="568"/>
      <c r="Q60" s="568"/>
      <c r="R60" s="568"/>
      <c r="S60" s="575">
        <f>ROUND(SUM(S46:S59),5)</f>
        <v>-13</v>
      </c>
      <c r="T60" s="568"/>
      <c r="U60" s="568"/>
      <c r="V60" s="568"/>
      <c r="W60" s="570"/>
      <c r="X60" s="568"/>
      <c r="Y60" s="576">
        <f>ROUND(SUM(Y46:Y59),5)</f>
        <v>-14409.11</v>
      </c>
      <c r="Z60" s="568"/>
    </row>
    <row r="61" spans="1:26" ht="13.5" thickBot="1">
      <c r="A61" s="566"/>
      <c r="B61" s="566"/>
      <c r="C61" s="566" t="s">
        <v>786</v>
      </c>
      <c r="D61" s="566"/>
      <c r="E61" s="566"/>
      <c r="F61" s="566"/>
      <c r="G61" s="566"/>
      <c r="H61" s="566"/>
      <c r="I61" s="567"/>
      <c r="J61" s="568"/>
      <c r="K61" s="568"/>
      <c r="L61" s="568"/>
      <c r="M61" s="568"/>
      <c r="N61" s="568"/>
      <c r="O61" s="568"/>
      <c r="P61" s="568"/>
      <c r="Q61" s="568"/>
      <c r="R61" s="568"/>
      <c r="S61" s="575">
        <f>ROUND(S17+S31+S45+S60,5)</f>
        <v>-25</v>
      </c>
      <c r="T61" s="568"/>
      <c r="U61" s="568"/>
      <c r="V61" s="568"/>
      <c r="W61" s="570"/>
      <c r="X61" s="568"/>
      <c r="Y61" s="576">
        <f>ROUND(Y17+Y31+Y45+Y60,5)</f>
        <v>-238013.67</v>
      </c>
      <c r="Z61" s="568"/>
    </row>
    <row r="62" spans="1:26" ht="13.5" thickBot="1">
      <c r="A62" s="566"/>
      <c r="B62" s="566" t="s">
        <v>787</v>
      </c>
      <c r="C62" s="566"/>
      <c r="D62" s="566"/>
      <c r="E62" s="566"/>
      <c r="F62" s="566"/>
      <c r="G62" s="566"/>
      <c r="H62" s="566"/>
      <c r="I62" s="567"/>
      <c r="J62" s="568"/>
      <c r="K62" s="568"/>
      <c r="L62" s="568"/>
      <c r="M62" s="568"/>
      <c r="N62" s="568"/>
      <c r="O62" s="568"/>
      <c r="P62" s="568"/>
      <c r="Q62" s="568"/>
      <c r="R62" s="568"/>
      <c r="S62" s="575">
        <f>S61</f>
        <v>-25</v>
      </c>
      <c r="T62" s="568"/>
      <c r="U62" s="568"/>
      <c r="V62" s="568"/>
      <c r="W62" s="570"/>
      <c r="X62" s="568"/>
      <c r="Y62" s="576">
        <f>Y61</f>
        <v>-238013.67</v>
      </c>
      <c r="Z62" s="568"/>
    </row>
    <row r="63" spans="1:26" s="579" customFormat="1" ht="12" thickBot="1">
      <c r="A63" s="561" t="s">
        <v>788</v>
      </c>
      <c r="B63" s="561"/>
      <c r="C63" s="561"/>
      <c r="D63" s="561"/>
      <c r="E63" s="561"/>
      <c r="F63" s="561"/>
      <c r="G63" s="561"/>
      <c r="H63" s="561"/>
      <c r="I63" s="563"/>
      <c r="J63" s="562"/>
      <c r="K63" s="562"/>
      <c r="L63" s="562"/>
      <c r="M63" s="562"/>
      <c r="N63" s="562"/>
      <c r="O63" s="562"/>
      <c r="P63" s="562"/>
      <c r="Q63" s="562"/>
      <c r="R63" s="562"/>
      <c r="S63" s="577">
        <f>S62</f>
        <v>-25</v>
      </c>
      <c r="T63" s="562"/>
      <c r="U63" s="562"/>
      <c r="V63" s="562"/>
      <c r="W63" s="565"/>
      <c r="X63" s="562"/>
      <c r="Y63" s="578">
        <f>Y62</f>
        <v>-238013.67</v>
      </c>
      <c r="Z63" s="562"/>
    </row>
    <row r="64" spans="1:26" ht="13.5" thickTop="1">
      <c r="A64" s="431"/>
      <c r="B64" s="431"/>
      <c r="C64" s="431"/>
      <c r="D64" s="431"/>
      <c r="E64" s="431"/>
      <c r="F64" s="431"/>
      <c r="G64" s="431"/>
      <c r="H64" s="431"/>
    </row>
  </sheetData>
  <pageMargins left="0.7" right="0.7" top="0.75" bottom="0.75" header="0.1" footer="0.3"/>
  <pageSetup orientation="portrait" r:id="rId1"/>
  <headerFooter>
    <oddHeader>&amp;L&amp;"Arial,Bold"&amp;8 9:10 AM
&amp;"Arial,Bold"&amp;8 03/11/16
&amp;"Arial,Bold"&amp;8 Accrual Basis&amp;C&amp;"Arial,Bold"&amp;12 CENTRAL MUNICIPAL POWER AGENCY AND SERVICES
&amp;"Arial,Bold"&amp;14 Sales by Item Detail
&amp;"Arial,Bold"&amp;10 January through December 2014</oddHeader>
    <oddFooter>&amp;R&amp;"Arial,Bold"&amp;8 Page &amp;P of &amp;N</oddFooter>
  </headerFooter>
  <drawing r:id="rId2"/>
  <legacyDrawing r:id="rId3"/>
  <controls>
    <mc:AlternateContent xmlns:mc="http://schemas.openxmlformats.org/markup-compatibility/2006">
      <mc:Choice Requires="x14">
        <control shapeId="9217" r:id="rId4" name="FILTER">
          <controlPr defaultSize="0" autoLine="0" r:id="rId5">
            <anchor moveWithCells="1">
              <from>
                <xdr:col>0</xdr:col>
                <xdr:colOff>0</xdr:colOff>
                <xdr:row>0</xdr:row>
                <xdr:rowOff>0</xdr:rowOff>
              </from>
              <to>
                <xdr:col>3</xdr:col>
                <xdr:colOff>314325</xdr:colOff>
                <xdr:row>1</xdr:row>
                <xdr:rowOff>57150</xdr:rowOff>
              </to>
            </anchor>
          </controlPr>
        </control>
      </mc:Choice>
      <mc:Fallback>
        <control shapeId="9217" r:id="rId4" name="FILTER"/>
      </mc:Fallback>
    </mc:AlternateContent>
    <mc:AlternateContent xmlns:mc="http://schemas.openxmlformats.org/markup-compatibility/2006">
      <mc:Choice Requires="x14">
        <control shapeId="9218" r:id="rId6" name="HEADER">
          <controlPr defaultSize="0" autoLine="0" r:id="rId7">
            <anchor moveWithCells="1">
              <from>
                <xdr:col>0</xdr:col>
                <xdr:colOff>0</xdr:colOff>
                <xdr:row>0</xdr:row>
                <xdr:rowOff>0</xdr:rowOff>
              </from>
              <to>
                <xdr:col>3</xdr:col>
                <xdr:colOff>314325</xdr:colOff>
                <xdr:row>1</xdr:row>
                <xdr:rowOff>57150</xdr:rowOff>
              </to>
            </anchor>
          </controlPr>
        </control>
      </mc:Choice>
      <mc:Fallback>
        <control shapeId="9218" r:id="rId6" name="HEADER"/>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43" workbookViewId="0">
      <selection activeCell="F60" sqref="F60"/>
    </sheetView>
  </sheetViews>
  <sheetFormatPr defaultRowHeight="12.75"/>
  <cols>
    <col min="1" max="1" width="6.7109375" customWidth="1"/>
    <col min="2" max="2" width="40.85546875" customWidth="1"/>
    <col min="3" max="3" width="16.7109375" customWidth="1"/>
    <col min="4" max="4" width="6.7109375" customWidth="1"/>
    <col min="5" max="5" width="44.7109375" customWidth="1"/>
    <col min="6" max="6" width="16.7109375" customWidth="1"/>
    <col min="8" max="8" width="11.28515625" bestFit="1" customWidth="1"/>
    <col min="9" max="9" width="10.28515625" bestFit="1" customWidth="1"/>
  </cols>
  <sheetData>
    <row r="1" spans="1:9" ht="15">
      <c r="A1" s="592" t="s">
        <v>387</v>
      </c>
      <c r="B1" s="592"/>
      <c r="C1" s="592"/>
      <c r="D1" s="592"/>
      <c r="E1" s="592"/>
      <c r="F1" s="592"/>
    </row>
    <row r="2" spans="1:9" ht="15">
      <c r="A2" s="593" t="s">
        <v>282</v>
      </c>
      <c r="B2" s="593"/>
      <c r="C2" s="593"/>
      <c r="D2" s="593"/>
      <c r="E2" s="593"/>
      <c r="F2" s="593"/>
    </row>
    <row r="3" spans="1:9" ht="15">
      <c r="A3" s="594">
        <v>42004</v>
      </c>
      <c r="B3" s="594"/>
      <c r="C3" s="594"/>
      <c r="D3" s="594"/>
      <c r="E3" s="594"/>
      <c r="F3" s="594"/>
    </row>
    <row r="5" spans="1:9" ht="15">
      <c r="A5" s="595" t="s">
        <v>283</v>
      </c>
      <c r="B5" s="595"/>
      <c r="C5" s="595"/>
      <c r="D5" s="595"/>
      <c r="E5" s="595"/>
      <c r="F5" s="595"/>
    </row>
    <row r="6" spans="1:9">
      <c r="A6" s="194" t="s">
        <v>56</v>
      </c>
      <c r="B6" s="195"/>
      <c r="C6" s="194" t="s">
        <v>284</v>
      </c>
      <c r="D6" s="194" t="s">
        <v>56</v>
      </c>
      <c r="E6" s="195"/>
      <c r="F6" s="194" t="s">
        <v>284</v>
      </c>
    </row>
    <row r="7" spans="1:9" ht="13.5" thickBot="1">
      <c r="A7" s="196" t="s">
        <v>58</v>
      </c>
      <c r="B7" s="194" t="s">
        <v>285</v>
      </c>
      <c r="C7" s="196" t="s">
        <v>286</v>
      </c>
      <c r="D7" s="196" t="s">
        <v>287</v>
      </c>
      <c r="E7" s="194" t="s">
        <v>288</v>
      </c>
      <c r="F7" s="196" t="s">
        <v>286</v>
      </c>
    </row>
    <row r="8" spans="1:9" ht="14.25" thickTop="1" thickBot="1">
      <c r="A8" s="6"/>
      <c r="B8" s="197" t="s">
        <v>289</v>
      </c>
      <c r="C8" s="198"/>
      <c r="D8" s="199"/>
      <c r="E8" s="197" t="s">
        <v>290</v>
      </c>
      <c r="F8" s="198"/>
    </row>
    <row r="9" spans="1:9" ht="13.5" thickTop="1">
      <c r="A9" s="6">
        <v>1</v>
      </c>
      <c r="B9" s="200" t="s">
        <v>291</v>
      </c>
      <c r="C9" s="201"/>
      <c r="D9" s="202"/>
      <c r="E9" s="200"/>
      <c r="F9" s="201"/>
    </row>
    <row r="10" spans="1:9">
      <c r="A10" s="203"/>
      <c r="B10" s="204" t="s">
        <v>292</v>
      </c>
      <c r="C10" s="205">
        <f>'EIA412 ELECTRIC PLANT'!G25</f>
        <v>17047153</v>
      </c>
      <c r="D10" s="206">
        <v>29</v>
      </c>
      <c r="E10" s="204" t="s">
        <v>293</v>
      </c>
      <c r="F10" s="207"/>
      <c r="H10" s="208" t="s">
        <v>54</v>
      </c>
      <c r="I10" s="209"/>
    </row>
    <row r="11" spans="1:9">
      <c r="A11" s="210">
        <v>2</v>
      </c>
      <c r="B11" s="211" t="s">
        <v>294</v>
      </c>
      <c r="C11" s="212">
        <f>'EIA412 ELECTRIC PLANT'!G27</f>
        <v>620634</v>
      </c>
      <c r="D11" s="213">
        <v>30</v>
      </c>
      <c r="E11" s="214" t="s">
        <v>295</v>
      </c>
      <c r="F11" s="215">
        <f>10640810</f>
        <v>10640810</v>
      </c>
      <c r="H11" s="215" t="s">
        <v>54</v>
      </c>
      <c r="I11" s="375" t="s">
        <v>54</v>
      </c>
    </row>
    <row r="12" spans="1:9">
      <c r="A12" s="6">
        <v>3</v>
      </c>
      <c r="B12" s="200" t="s">
        <v>296</v>
      </c>
      <c r="C12" s="201"/>
      <c r="D12" s="202"/>
      <c r="E12" s="200"/>
      <c r="F12" s="201"/>
      <c r="I12" s="209"/>
    </row>
    <row r="13" spans="1:9">
      <c r="A13" s="6"/>
      <c r="B13" s="200" t="s">
        <v>297</v>
      </c>
      <c r="C13" s="201"/>
      <c r="D13" s="202">
        <v>31</v>
      </c>
      <c r="E13" s="200" t="s">
        <v>298</v>
      </c>
      <c r="F13" s="201"/>
    </row>
    <row r="14" spans="1:9">
      <c r="A14" s="203"/>
      <c r="B14" s="204" t="s">
        <v>299</v>
      </c>
      <c r="C14" s="205">
        <f>-'EIA412 ELECTRIC PLANT'!I20</f>
        <v>-9406153</v>
      </c>
      <c r="D14" s="206"/>
      <c r="E14" s="204" t="s">
        <v>300</v>
      </c>
      <c r="F14" s="207"/>
      <c r="H14" s="208" t="s">
        <v>54</v>
      </c>
    </row>
    <row r="15" spans="1:9" ht="26.25" thickBot="1">
      <c r="A15" s="210">
        <v>4</v>
      </c>
      <c r="B15" s="216" t="s">
        <v>301</v>
      </c>
      <c r="C15" s="217">
        <f>C10+C11+C14</f>
        <v>8261634</v>
      </c>
      <c r="D15" s="218">
        <v>32</v>
      </c>
      <c r="E15" s="219" t="s">
        <v>302</v>
      </c>
      <c r="F15" s="220">
        <f>F14+F11+F10</f>
        <v>10640810</v>
      </c>
    </row>
    <row r="16" spans="1:9" ht="14.25" thickTop="1" thickBot="1">
      <c r="A16" s="221">
        <v>5</v>
      </c>
      <c r="B16" s="214" t="s">
        <v>303</v>
      </c>
      <c r="C16" s="215"/>
      <c r="D16" s="202"/>
      <c r="E16" s="222" t="s">
        <v>304</v>
      </c>
      <c r="F16" s="201"/>
    </row>
    <row r="17" spans="1:8" ht="13.5" thickTop="1">
      <c r="A17" s="223">
        <v>6</v>
      </c>
      <c r="B17" s="200" t="s">
        <v>296</v>
      </c>
      <c r="C17" s="201"/>
      <c r="D17" s="202"/>
      <c r="E17" s="200"/>
      <c r="F17" s="201"/>
    </row>
    <row r="18" spans="1:8">
      <c r="A18" s="6"/>
      <c r="B18" s="200" t="s">
        <v>305</v>
      </c>
      <c r="C18" s="201"/>
      <c r="D18" s="202"/>
      <c r="E18" s="200" t="s">
        <v>306</v>
      </c>
      <c r="F18" s="201"/>
    </row>
    <row r="19" spans="1:8">
      <c r="A19" s="203"/>
      <c r="B19" s="204" t="s">
        <v>307</v>
      </c>
      <c r="C19" s="207"/>
      <c r="D19" s="206">
        <v>33</v>
      </c>
      <c r="E19" s="204" t="s">
        <v>308</v>
      </c>
      <c r="F19" s="484">
        <v>0</v>
      </c>
    </row>
    <row r="20" spans="1:8">
      <c r="A20" s="6">
        <v>7</v>
      </c>
      <c r="B20" s="224" t="s">
        <v>309</v>
      </c>
      <c r="C20" s="201"/>
      <c r="D20" s="225" t="s">
        <v>310</v>
      </c>
      <c r="E20" s="214" t="s">
        <v>311</v>
      </c>
      <c r="F20" s="207"/>
    </row>
    <row r="21" spans="1:8" ht="13.5" thickBot="1">
      <c r="A21" s="203"/>
      <c r="B21" s="224" t="s">
        <v>312</v>
      </c>
      <c r="C21" s="226">
        <f>C15+C16-C19</f>
        <v>8261634</v>
      </c>
      <c r="D21" s="213" t="s">
        <v>313</v>
      </c>
      <c r="E21" s="211" t="s">
        <v>314</v>
      </c>
      <c r="F21" s="207">
        <f>77371+224562</f>
        <v>301933</v>
      </c>
      <c r="H21" t="s">
        <v>54</v>
      </c>
    </row>
    <row r="22" spans="1:8" ht="14.25" thickTop="1" thickBot="1">
      <c r="A22" s="6"/>
      <c r="B22" s="197" t="s">
        <v>315</v>
      </c>
      <c r="C22" s="201"/>
      <c r="D22" s="213" t="s">
        <v>316</v>
      </c>
      <c r="E22" s="211" t="s">
        <v>317</v>
      </c>
      <c r="F22" s="207"/>
    </row>
    <row r="23" spans="1:8" ht="13.5" thickTop="1">
      <c r="A23" s="203">
        <v>8</v>
      </c>
      <c r="B23" s="204" t="s">
        <v>318</v>
      </c>
      <c r="C23" s="207"/>
      <c r="D23" s="213" t="s">
        <v>319</v>
      </c>
      <c r="E23" s="211" t="s">
        <v>320</v>
      </c>
      <c r="F23" s="207"/>
    </row>
    <row r="24" spans="1:8">
      <c r="A24" s="6">
        <v>9</v>
      </c>
      <c r="B24" s="200" t="s">
        <v>296</v>
      </c>
      <c r="C24" s="201"/>
      <c r="D24" s="213"/>
      <c r="E24" s="211"/>
      <c r="F24" s="211"/>
    </row>
    <row r="25" spans="1:8">
      <c r="A25" s="203"/>
      <c r="B25" s="204" t="s">
        <v>321</v>
      </c>
      <c r="C25" s="207"/>
      <c r="D25" s="213"/>
      <c r="E25" s="211"/>
      <c r="F25" s="211"/>
    </row>
    <row r="26" spans="1:8">
      <c r="A26" s="6">
        <v>10</v>
      </c>
      <c r="B26" s="200" t="s">
        <v>322</v>
      </c>
      <c r="C26" s="201"/>
      <c r="D26" s="199">
        <v>34</v>
      </c>
      <c r="E26" s="227" t="s">
        <v>323</v>
      </c>
      <c r="F26" s="228"/>
    </row>
    <row r="27" spans="1:8">
      <c r="A27" s="203"/>
      <c r="B27" s="204" t="s">
        <v>324</v>
      </c>
      <c r="C27" s="207"/>
      <c r="D27" s="206"/>
      <c r="E27" s="204" t="s">
        <v>325</v>
      </c>
      <c r="F27" s="207"/>
    </row>
    <row r="28" spans="1:8" ht="25.5">
      <c r="A28" s="210">
        <v>11</v>
      </c>
      <c r="B28" s="229" t="s">
        <v>326</v>
      </c>
      <c r="C28" s="230"/>
      <c r="D28" s="199">
        <v>35</v>
      </c>
      <c r="E28" s="227" t="s">
        <v>327</v>
      </c>
      <c r="F28" s="201"/>
    </row>
    <row r="29" spans="1:8">
      <c r="A29" s="231" t="s">
        <v>328</v>
      </c>
      <c r="B29" s="211" t="s">
        <v>329</v>
      </c>
      <c r="C29" s="215">
        <v>0</v>
      </c>
      <c r="D29" s="206"/>
      <c r="E29" s="232" t="s">
        <v>330</v>
      </c>
      <c r="F29" s="207"/>
    </row>
    <row r="30" spans="1:8">
      <c r="A30" s="210" t="s">
        <v>331</v>
      </c>
      <c r="B30" s="211" t="s">
        <v>332</v>
      </c>
      <c r="C30" s="215"/>
      <c r="D30" s="202">
        <v>36</v>
      </c>
      <c r="E30" s="233" t="s">
        <v>333</v>
      </c>
      <c r="F30" s="201"/>
    </row>
    <row r="31" spans="1:8">
      <c r="A31" s="210" t="s">
        <v>334</v>
      </c>
      <c r="B31" s="211" t="s">
        <v>335</v>
      </c>
      <c r="C31" s="215"/>
      <c r="D31" s="206"/>
      <c r="E31" s="204" t="s">
        <v>336</v>
      </c>
      <c r="F31" s="207"/>
    </row>
    <row r="32" spans="1:8" ht="13.5" thickBot="1">
      <c r="A32" s="210" t="s">
        <v>337</v>
      </c>
      <c r="B32" s="211" t="s">
        <v>338</v>
      </c>
      <c r="C32" s="215">
        <f>72247</f>
        <v>72247</v>
      </c>
      <c r="D32" s="206">
        <v>37</v>
      </c>
      <c r="E32" s="234" t="s">
        <v>339</v>
      </c>
      <c r="F32" s="235">
        <f>F19+F20+F21+F22+F23+F27+F29-F31</f>
        <v>301933</v>
      </c>
    </row>
    <row r="33" spans="1:6" ht="27" thickTop="1" thickBot="1">
      <c r="A33" s="210">
        <v>12</v>
      </c>
      <c r="B33" s="236" t="s">
        <v>340</v>
      </c>
      <c r="C33" s="217">
        <f>C23+C25+C27+C28+C29+C30+C31+C32</f>
        <v>72247</v>
      </c>
      <c r="D33" s="206"/>
      <c r="E33" s="197" t="s">
        <v>341</v>
      </c>
      <c r="F33" s="237"/>
    </row>
    <row r="34" spans="1:6" ht="14.25" thickTop="1" thickBot="1">
      <c r="A34" s="6"/>
      <c r="B34" s="197" t="s">
        <v>342</v>
      </c>
      <c r="C34" s="201"/>
      <c r="D34" s="213">
        <v>38</v>
      </c>
      <c r="E34" s="232" t="s">
        <v>343</v>
      </c>
      <c r="F34" s="215"/>
    </row>
    <row r="35" spans="1:6" ht="13.5" thickTop="1">
      <c r="A35" s="6">
        <v>13</v>
      </c>
      <c r="B35" s="200" t="s">
        <v>344</v>
      </c>
      <c r="D35" s="213">
        <v>39</v>
      </c>
      <c r="E35" s="214" t="s">
        <v>345</v>
      </c>
      <c r="F35" s="215"/>
    </row>
    <row r="36" spans="1:6">
      <c r="A36" s="203"/>
      <c r="B36" s="204" t="s">
        <v>346</v>
      </c>
      <c r="C36" s="237">
        <f>400+1880346</f>
        <v>1880746</v>
      </c>
      <c r="D36" s="206">
        <v>40</v>
      </c>
      <c r="E36" s="238" t="s">
        <v>347</v>
      </c>
      <c r="F36" s="226">
        <f>F34+F35</f>
        <v>0</v>
      </c>
    </row>
    <row r="37" spans="1:6" ht="13.5" thickBot="1">
      <c r="A37" s="6">
        <v>14</v>
      </c>
      <c r="B37" s="200" t="s">
        <v>348</v>
      </c>
      <c r="C37" s="201"/>
      <c r="D37" s="202"/>
      <c r="E37" s="200"/>
      <c r="F37" s="201"/>
    </row>
    <row r="38" spans="1:6" ht="14.25" thickTop="1" thickBot="1">
      <c r="A38" s="203"/>
      <c r="B38" s="204" t="s">
        <v>349</v>
      </c>
      <c r="C38" s="207">
        <f>7020+5851+36691</f>
        <v>49562</v>
      </c>
      <c r="D38" s="206"/>
      <c r="E38" s="197" t="s">
        <v>350</v>
      </c>
      <c r="F38" s="237"/>
    </row>
    <row r="39" spans="1:6" ht="13.5" thickTop="1">
      <c r="A39" s="210">
        <v>15</v>
      </c>
      <c r="B39" s="211" t="s">
        <v>202</v>
      </c>
      <c r="C39" s="215">
        <f>567284</f>
        <v>567284</v>
      </c>
      <c r="D39" s="206">
        <v>41</v>
      </c>
      <c r="E39" s="204" t="s">
        <v>351</v>
      </c>
      <c r="F39" s="237"/>
    </row>
    <row r="40" spans="1:6">
      <c r="A40" s="6">
        <v>16</v>
      </c>
      <c r="B40" s="200" t="s">
        <v>296</v>
      </c>
      <c r="C40" s="201"/>
      <c r="D40" s="202"/>
      <c r="E40" s="200"/>
      <c r="F40" s="201"/>
    </row>
    <row r="41" spans="1:6">
      <c r="A41" s="203"/>
      <c r="B41" s="204" t="s">
        <v>352</v>
      </c>
      <c r="C41" s="207"/>
      <c r="D41" s="206">
        <v>42</v>
      </c>
      <c r="E41" s="204" t="s">
        <v>353</v>
      </c>
      <c r="F41" s="207">
        <f>450343</f>
        <v>450343</v>
      </c>
    </row>
    <row r="42" spans="1:6">
      <c r="A42" s="6">
        <v>17</v>
      </c>
      <c r="B42" s="200" t="s">
        <v>354</v>
      </c>
      <c r="C42" s="201"/>
      <c r="D42" s="202">
        <v>43</v>
      </c>
      <c r="E42" s="233" t="s">
        <v>355</v>
      </c>
      <c r="F42" s="201"/>
    </row>
    <row r="43" spans="1:6">
      <c r="A43" s="203"/>
      <c r="B43" s="204" t="s">
        <v>356</v>
      </c>
      <c r="C43" s="207"/>
      <c r="D43" s="206"/>
      <c r="E43" s="204" t="s">
        <v>357</v>
      </c>
      <c r="F43" s="207"/>
    </row>
    <row r="44" spans="1:6">
      <c r="A44" s="210">
        <v>18</v>
      </c>
      <c r="B44" s="211" t="s">
        <v>358</v>
      </c>
      <c r="C44" s="215">
        <f>558325</f>
        <v>558325</v>
      </c>
      <c r="D44" s="206">
        <v>44</v>
      </c>
      <c r="E44" s="204" t="s">
        <v>359</v>
      </c>
      <c r="F44" s="207">
        <f>20161</f>
        <v>20161</v>
      </c>
    </row>
    <row r="45" spans="1:6">
      <c r="A45" s="210">
        <v>19</v>
      </c>
      <c r="B45" s="211" t="s">
        <v>360</v>
      </c>
      <c r="C45" s="215"/>
      <c r="D45" s="206">
        <v>45</v>
      </c>
      <c r="E45" s="204" t="s">
        <v>361</v>
      </c>
      <c r="F45" s="207"/>
    </row>
    <row r="46" spans="1:6">
      <c r="A46" s="210">
        <v>20</v>
      </c>
      <c r="B46" s="211" t="s">
        <v>362</v>
      </c>
      <c r="C46" s="239">
        <f>85588</f>
        <v>85588</v>
      </c>
      <c r="D46" s="206">
        <v>46</v>
      </c>
      <c r="E46" s="204" t="s">
        <v>363</v>
      </c>
      <c r="F46" s="207">
        <f>0</f>
        <v>0</v>
      </c>
    </row>
    <row r="47" spans="1:6">
      <c r="A47" s="221">
        <v>21</v>
      </c>
      <c r="B47" s="211" t="s">
        <v>364</v>
      </c>
      <c r="C47" s="215"/>
      <c r="D47" s="206">
        <v>47</v>
      </c>
      <c r="E47" s="204" t="s">
        <v>365</v>
      </c>
      <c r="F47" s="207">
        <f>97259+74418</f>
        <v>171677</v>
      </c>
    </row>
    <row r="48" spans="1:6" ht="26.25" thickBot="1">
      <c r="A48" s="221">
        <v>22</v>
      </c>
      <c r="B48" s="211" t="s">
        <v>366</v>
      </c>
      <c r="C48" s="215"/>
      <c r="D48" s="206">
        <v>48</v>
      </c>
      <c r="E48" s="240" t="s">
        <v>367</v>
      </c>
      <c r="F48" s="226">
        <f>F39+F41+F43+F44+F45+F46+F47</f>
        <v>642181</v>
      </c>
    </row>
    <row r="49" spans="1:6" ht="27" thickTop="1" thickBot="1">
      <c r="A49" s="221">
        <v>23</v>
      </c>
      <c r="B49" s="236" t="s">
        <v>368</v>
      </c>
      <c r="C49" s="217">
        <f>C36+C38+C39+C41+C43+C44+C45+C46+C47+C48</f>
        <v>3141505</v>
      </c>
      <c r="D49" s="206"/>
      <c r="E49" s="197" t="s">
        <v>369</v>
      </c>
      <c r="F49" s="237"/>
    </row>
    <row r="50" spans="1:6" ht="14.25" thickTop="1" thickBot="1">
      <c r="B50" s="197" t="s">
        <v>370</v>
      </c>
      <c r="C50" s="201"/>
      <c r="D50" s="241">
        <v>49</v>
      </c>
      <c r="E50" s="233" t="s">
        <v>371</v>
      </c>
      <c r="F50" s="201"/>
    </row>
    <row r="51" spans="1:6" ht="13.5" thickTop="1">
      <c r="A51" s="242">
        <v>24</v>
      </c>
      <c r="B51" s="204" t="s">
        <v>372</v>
      </c>
      <c r="C51" s="207">
        <f>1243+9872</f>
        <v>11115</v>
      </c>
      <c r="D51" s="206"/>
      <c r="E51" s="243" t="s">
        <v>373</v>
      </c>
      <c r="F51" s="207"/>
    </row>
    <row r="52" spans="1:6">
      <c r="A52" s="223">
        <v>25</v>
      </c>
      <c r="B52" s="200" t="s">
        <v>374</v>
      </c>
      <c r="C52" s="201"/>
      <c r="D52" s="241">
        <v>50</v>
      </c>
      <c r="E52" s="200" t="s">
        <v>375</v>
      </c>
      <c r="F52" s="201"/>
    </row>
    <row r="53" spans="1:6">
      <c r="A53" s="244"/>
      <c r="B53" s="204" t="s">
        <v>376</v>
      </c>
      <c r="C53" s="207"/>
      <c r="D53" s="206"/>
      <c r="E53" s="204" t="s">
        <v>377</v>
      </c>
      <c r="F53" s="207">
        <v>57387</v>
      </c>
    </row>
    <row r="54" spans="1:6">
      <c r="A54" s="223">
        <v>26</v>
      </c>
      <c r="B54" s="200" t="s">
        <v>378</v>
      </c>
      <c r="C54" s="201"/>
      <c r="D54" s="202"/>
      <c r="E54" s="200"/>
      <c r="F54" s="201"/>
    </row>
    <row r="55" spans="1:6">
      <c r="A55" s="6"/>
      <c r="B55" s="200" t="s">
        <v>379</v>
      </c>
      <c r="C55" s="201"/>
      <c r="D55" s="202">
        <v>51</v>
      </c>
      <c r="E55" s="200" t="s">
        <v>380</v>
      </c>
      <c r="F55" s="201"/>
    </row>
    <row r="56" spans="1:6">
      <c r="A56" s="203"/>
      <c r="B56" s="204" t="s">
        <v>381</v>
      </c>
      <c r="C56" s="207">
        <f>46743+109067</f>
        <v>155810</v>
      </c>
      <c r="D56" s="206"/>
      <c r="E56" s="243" t="s">
        <v>382</v>
      </c>
      <c r="F56" s="237"/>
    </row>
    <row r="57" spans="1:6">
      <c r="A57" s="210">
        <v>27</v>
      </c>
      <c r="B57" s="245" t="s">
        <v>383</v>
      </c>
      <c r="C57" s="217">
        <f>C51+C53+C56</f>
        <v>166925</v>
      </c>
      <c r="D57" s="206">
        <v>52</v>
      </c>
      <c r="E57" s="238" t="s">
        <v>384</v>
      </c>
      <c r="F57" s="226">
        <f>F51+F53+F56</f>
        <v>57387</v>
      </c>
    </row>
    <row r="58" spans="1:6" ht="26.25" thickBot="1">
      <c r="A58" s="246">
        <v>28</v>
      </c>
      <c r="B58" s="247" t="s">
        <v>385</v>
      </c>
      <c r="C58" s="248">
        <f>C21+C33+C49+C57</f>
        <v>11642311</v>
      </c>
      <c r="D58" s="249">
        <v>53</v>
      </c>
      <c r="E58" s="250" t="s">
        <v>386</v>
      </c>
      <c r="F58" s="248">
        <f>F15+F32+F36+F48+F57</f>
        <v>11642311</v>
      </c>
    </row>
    <row r="59" spans="1:6">
      <c r="A59" s="16"/>
      <c r="B59" s="16"/>
      <c r="C59" s="251"/>
      <c r="D59" s="16"/>
      <c r="E59" s="16"/>
      <c r="F59" s="252"/>
    </row>
    <row r="60" spans="1:6">
      <c r="A60" s="16"/>
      <c r="B60" s="191"/>
      <c r="C60" s="483" t="s">
        <v>54</v>
      </c>
      <c r="D60" s="16"/>
      <c r="E60" s="16"/>
      <c r="F60" s="337">
        <f>C58-F58</f>
        <v>0</v>
      </c>
    </row>
    <row r="61" spans="1:6">
      <c r="A61" s="16"/>
      <c r="B61" s="191"/>
      <c r="C61" s="253" t="s">
        <v>54</v>
      </c>
      <c r="D61" s="16"/>
      <c r="E61" s="16"/>
      <c r="F61" s="252"/>
    </row>
    <row r="62" spans="1:6">
      <c r="A62" s="16"/>
      <c r="B62" s="191"/>
      <c r="C62" s="253"/>
      <c r="D62" s="16"/>
      <c r="E62" s="16"/>
      <c r="F62" s="337" t="s">
        <v>54</v>
      </c>
    </row>
    <row r="63" spans="1:6">
      <c r="A63" s="16"/>
      <c r="B63" s="191"/>
      <c r="C63" s="253"/>
      <c r="D63" s="16"/>
      <c r="E63" s="16"/>
      <c r="F63" s="252"/>
    </row>
    <row r="64" spans="1:6">
      <c r="A64" s="16"/>
      <c r="B64" s="191"/>
      <c r="C64" s="253"/>
      <c r="D64" s="16"/>
      <c r="E64" s="16"/>
      <c r="F64" s="252"/>
    </row>
    <row r="65" spans="1:6">
      <c r="A65" s="16"/>
      <c r="B65" s="191"/>
      <c r="C65" s="253"/>
      <c r="D65" s="16"/>
      <c r="E65" s="16"/>
      <c r="F65" s="252"/>
    </row>
    <row r="66" spans="1:6">
      <c r="A66" s="16"/>
      <c r="B66" s="16"/>
      <c r="C66" s="253"/>
      <c r="D66" s="16"/>
      <c r="E66" s="16"/>
      <c r="F66" s="16"/>
    </row>
    <row r="67" spans="1:6">
      <c r="A67" s="16"/>
      <c r="B67" s="16"/>
      <c r="C67" s="253"/>
      <c r="D67" s="16"/>
      <c r="E67" s="16"/>
      <c r="F67" s="16"/>
    </row>
    <row r="68" spans="1:6">
      <c r="A68" s="16"/>
      <c r="B68" s="16"/>
      <c r="C68" s="253"/>
      <c r="D68" s="16"/>
      <c r="E68" s="16"/>
      <c r="F68" s="16"/>
    </row>
    <row r="69" spans="1:6">
      <c r="A69" s="16"/>
      <c r="B69" s="16"/>
      <c r="C69" s="253"/>
      <c r="D69" s="16"/>
      <c r="E69" s="16"/>
      <c r="F69" s="16"/>
    </row>
    <row r="70" spans="1:6">
      <c r="A70" s="16"/>
      <c r="B70" s="16"/>
      <c r="C70" s="253"/>
      <c r="D70" s="16"/>
      <c r="E70" s="16"/>
      <c r="F70" s="16"/>
    </row>
    <row r="71" spans="1:6">
      <c r="A71" s="16"/>
      <c r="B71" s="16"/>
      <c r="C71" s="16"/>
      <c r="D71" s="16"/>
      <c r="E71" s="16"/>
      <c r="F71" s="16"/>
    </row>
    <row r="72" spans="1:6">
      <c r="A72" s="16"/>
      <c r="B72" s="16"/>
      <c r="C72" s="16"/>
      <c r="D72" s="16"/>
      <c r="E72" s="16"/>
      <c r="F72" s="16"/>
    </row>
    <row r="73" spans="1:6">
      <c r="A73" s="16"/>
      <c r="B73" s="16"/>
      <c r="C73" s="16"/>
      <c r="D73" s="16"/>
      <c r="E73" s="16"/>
      <c r="F73" s="16"/>
    </row>
    <row r="74" spans="1:6">
      <c r="A74" s="16"/>
      <c r="B74" s="16"/>
      <c r="C74" s="16"/>
      <c r="D74" s="16"/>
      <c r="E74" s="16"/>
      <c r="F74" s="16"/>
    </row>
    <row r="75" spans="1:6">
      <c r="A75" s="16"/>
      <c r="B75" s="16"/>
      <c r="C75" s="16"/>
      <c r="D75" s="16"/>
      <c r="E75" s="16"/>
      <c r="F75" s="16"/>
    </row>
    <row r="76" spans="1:6">
      <c r="A76" s="16"/>
      <c r="B76" s="16"/>
      <c r="C76" s="16"/>
      <c r="D76" s="16"/>
      <c r="E76" s="16"/>
      <c r="F76" s="16"/>
    </row>
    <row r="77" spans="1:6">
      <c r="A77" s="16"/>
      <c r="B77" s="16"/>
      <c r="C77" s="16"/>
      <c r="D77" s="16"/>
      <c r="E77" s="16"/>
      <c r="F77" s="16"/>
    </row>
    <row r="78" spans="1:6">
      <c r="A78" s="16"/>
      <c r="B78" s="16"/>
      <c r="C78" s="16"/>
      <c r="D78" s="16"/>
      <c r="E78" s="16"/>
      <c r="F78" s="16"/>
    </row>
  </sheetData>
  <mergeCells count="4">
    <mergeCell ref="A1:F1"/>
    <mergeCell ref="A2:F2"/>
    <mergeCell ref="A3:F3"/>
    <mergeCell ref="A5:F5"/>
  </mergeCells>
  <phoneticPr fontId="14"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opLeftCell="A16" workbookViewId="0">
      <selection activeCell="B46" sqref="B46"/>
    </sheetView>
  </sheetViews>
  <sheetFormatPr defaultRowHeight="12.75"/>
  <cols>
    <col min="1" max="1" width="6.7109375" customWidth="1"/>
    <col min="2" max="2" width="89.28515625" customWidth="1"/>
    <col min="3" max="3" width="16.7109375" style="56" customWidth="1"/>
    <col min="5" max="5" width="9.7109375" bestFit="1" customWidth="1"/>
  </cols>
  <sheetData>
    <row r="1" spans="1:6" ht="15">
      <c r="A1" s="596" t="str">
        <f>'EIA412 BALANCE SHEET'!A1:F1</f>
        <v>BLUE EARTH</v>
      </c>
      <c r="B1" s="596"/>
      <c r="C1" s="596"/>
      <c r="D1" s="255"/>
      <c r="E1" s="255"/>
      <c r="F1" s="255"/>
    </row>
    <row r="2" spans="1:6" ht="15">
      <c r="A2" s="593" t="s">
        <v>282</v>
      </c>
      <c r="B2" s="593"/>
      <c r="C2" s="593"/>
      <c r="D2" s="255"/>
      <c r="E2" s="255"/>
      <c r="F2" s="255"/>
    </row>
    <row r="3" spans="1:6" ht="15">
      <c r="A3" s="596">
        <f>'EIA412 BALANCE SHEET'!A3:F3</f>
        <v>42004</v>
      </c>
      <c r="B3" s="596"/>
      <c r="C3" s="596"/>
      <c r="D3" s="256"/>
      <c r="E3" s="256"/>
      <c r="F3" s="256"/>
    </row>
    <row r="4" spans="1:6">
      <c r="A4" s="257"/>
      <c r="B4" s="257"/>
      <c r="C4" s="258"/>
      <c r="D4" s="257"/>
      <c r="E4" s="257"/>
      <c r="F4" s="257"/>
    </row>
    <row r="5" spans="1:6" ht="15">
      <c r="A5" s="595" t="s">
        <v>388</v>
      </c>
      <c r="B5" s="595"/>
      <c r="C5" s="595"/>
      <c r="D5" s="259"/>
      <c r="E5" s="259"/>
      <c r="F5" s="259"/>
    </row>
    <row r="6" spans="1:6">
      <c r="A6" s="260" t="s">
        <v>56</v>
      </c>
      <c r="B6" s="260"/>
      <c r="C6" s="261" t="s">
        <v>59</v>
      </c>
    </row>
    <row r="7" spans="1:6">
      <c r="A7" s="262" t="s">
        <v>58</v>
      </c>
      <c r="B7" s="262"/>
      <c r="C7" s="263" t="s">
        <v>286</v>
      </c>
    </row>
    <row r="8" spans="1:6">
      <c r="A8" s="196">
        <v>1</v>
      </c>
      <c r="B8" s="262" t="s">
        <v>389</v>
      </c>
      <c r="C8" s="453">
        <f>5390329</f>
        <v>5390329</v>
      </c>
    </row>
    <row r="9" spans="1:6">
      <c r="A9" s="196">
        <v>2</v>
      </c>
      <c r="B9" s="262" t="s">
        <v>390</v>
      </c>
      <c r="C9" s="265">
        <f>'EIA412 OP &amp; MAINT'!C31+'EIA412 OP &amp; MAINT'!D31</f>
        <v>4197897.2025000006</v>
      </c>
    </row>
    <row r="10" spans="1:6">
      <c r="A10" s="196">
        <v>3</v>
      </c>
      <c r="B10" s="262" t="s">
        <v>391</v>
      </c>
      <c r="C10" s="265">
        <f>+'EIA412 OP &amp; MAINT'!E31</f>
        <v>380943.89749999996</v>
      </c>
      <c r="E10" s="208" t="s">
        <v>54</v>
      </c>
      <c r="F10" s="208" t="s">
        <v>54</v>
      </c>
    </row>
    <row r="11" spans="1:6">
      <c r="A11" s="266">
        <v>4</v>
      </c>
      <c r="B11" s="267" t="s">
        <v>392</v>
      </c>
      <c r="C11" s="268">
        <f>'EIA412 ELECTRIC PLANT'!K20</f>
        <v>523512</v>
      </c>
      <c r="E11" s="208"/>
      <c r="F11" s="208" t="s">
        <v>54</v>
      </c>
    </row>
    <row r="12" spans="1:6">
      <c r="A12" s="196">
        <v>5</v>
      </c>
      <c r="B12" s="262" t="s">
        <v>393</v>
      </c>
      <c r="C12" s="264">
        <v>0</v>
      </c>
      <c r="F12" s="208" t="s">
        <v>54</v>
      </c>
    </row>
    <row r="13" spans="1:6">
      <c r="A13" s="196">
        <v>6</v>
      </c>
      <c r="B13" s="262" t="s">
        <v>394</v>
      </c>
      <c r="C13" s="265">
        <f>'EIA412 TAXES'!C18</f>
        <v>248325</v>
      </c>
    </row>
    <row r="14" spans="1:6">
      <c r="A14" s="196">
        <v>7</v>
      </c>
      <c r="B14" s="262" t="s">
        <v>395</v>
      </c>
      <c r="C14" s="265">
        <f>SUM(C9:C13)</f>
        <v>5350678.1000000006</v>
      </c>
    </row>
    <row r="15" spans="1:6">
      <c r="A15" s="266">
        <v>8</v>
      </c>
      <c r="B15" s="269" t="s">
        <v>396</v>
      </c>
      <c r="C15" s="270">
        <f>+C8-C14</f>
        <v>39650.899999999441</v>
      </c>
    </row>
    <row r="16" spans="1:6">
      <c r="A16" s="196">
        <v>9</v>
      </c>
      <c r="B16" s="262" t="s">
        <v>397</v>
      </c>
      <c r="C16" s="454">
        <v>2599</v>
      </c>
    </row>
    <row r="17" spans="1:8">
      <c r="A17" s="196">
        <v>10</v>
      </c>
      <c r="B17" s="262" t="s">
        <v>398</v>
      </c>
      <c r="C17" s="265">
        <f>+C16+C15</f>
        <v>42249.899999999441</v>
      </c>
    </row>
    <row r="18" spans="1:8">
      <c r="A18" s="196">
        <v>11</v>
      </c>
      <c r="B18" s="272" t="s">
        <v>399</v>
      </c>
      <c r="C18" s="428">
        <f>29097+294743+0+3282+18321+77515</f>
        <v>422958</v>
      </c>
    </row>
    <row r="19" spans="1:8">
      <c r="A19" s="196">
        <v>12</v>
      </c>
      <c r="B19" s="262" t="s">
        <v>400</v>
      </c>
      <c r="C19" s="271">
        <f>18123+116586+7626+3359+42831</f>
        <v>188525</v>
      </c>
    </row>
    <row r="20" spans="1:8">
      <c r="A20" s="196">
        <v>13</v>
      </c>
      <c r="B20" s="262" t="s">
        <v>401</v>
      </c>
      <c r="C20" s="271">
        <v>0</v>
      </c>
    </row>
    <row r="21" spans="1:8">
      <c r="A21" s="196">
        <v>14</v>
      </c>
      <c r="B21" s="262" t="s">
        <v>402</v>
      </c>
      <c r="C21" s="271">
        <v>0</v>
      </c>
    </row>
    <row r="22" spans="1:8">
      <c r="A22" s="196">
        <v>15</v>
      </c>
      <c r="B22" s="273" t="s">
        <v>403</v>
      </c>
      <c r="C22" s="265">
        <f>+C17+C18-C19+C20-C21</f>
        <v>276682.89999999944</v>
      </c>
    </row>
    <row r="23" spans="1:8">
      <c r="A23" s="196">
        <v>16</v>
      </c>
      <c r="B23" s="262" t="s">
        <v>404</v>
      </c>
      <c r="C23" s="264">
        <f>'BES2_Debt Detail'!I15</f>
        <v>9647</v>
      </c>
      <c r="D23" s="459" t="s">
        <v>54</v>
      </c>
    </row>
    <row r="24" spans="1:8">
      <c r="A24" s="196">
        <v>17</v>
      </c>
      <c r="B24" s="262" t="s">
        <v>405</v>
      </c>
      <c r="C24" s="453">
        <v>0</v>
      </c>
    </row>
    <row r="25" spans="1:8">
      <c r="A25" s="196">
        <v>18</v>
      </c>
      <c r="B25" s="262" t="s">
        <v>406</v>
      </c>
      <c r="C25" s="271">
        <v>0</v>
      </c>
    </row>
    <row r="26" spans="1:8">
      <c r="A26" s="196">
        <v>19</v>
      </c>
      <c r="B26" s="273" t="s">
        <v>407</v>
      </c>
      <c r="C26" s="265">
        <f>SUM(C23:C25)</f>
        <v>9647</v>
      </c>
    </row>
    <row r="27" spans="1:8">
      <c r="A27" s="196">
        <v>20</v>
      </c>
      <c r="B27" s="273" t="s">
        <v>408</v>
      </c>
      <c r="C27" s="265">
        <f>+C22-C26</f>
        <v>267035.89999999944</v>
      </c>
      <c r="E27" t="s">
        <v>54</v>
      </c>
      <c r="F27" s="208" t="s">
        <v>54</v>
      </c>
    </row>
    <row r="28" spans="1:8">
      <c r="A28" s="196">
        <v>21</v>
      </c>
      <c r="B28" s="262" t="s">
        <v>409</v>
      </c>
      <c r="C28" s="271">
        <v>0</v>
      </c>
      <c r="E28" s="6"/>
      <c r="F28" s="6"/>
      <c r="G28" s="6"/>
    </row>
    <row r="29" spans="1:8">
      <c r="A29" s="196">
        <v>22</v>
      </c>
      <c r="B29" s="262" t="s">
        <v>410</v>
      </c>
      <c r="C29" s="271">
        <v>0</v>
      </c>
      <c r="E29" s="6"/>
      <c r="F29" s="6"/>
      <c r="G29" s="6"/>
    </row>
    <row r="30" spans="1:8">
      <c r="A30" s="196">
        <v>23</v>
      </c>
      <c r="B30" s="273" t="s">
        <v>411</v>
      </c>
      <c r="C30" s="274">
        <f>+C27+C28-C29</f>
        <v>267035.89999999944</v>
      </c>
      <c r="E30" s="396" t="s">
        <v>54</v>
      </c>
      <c r="F30" s="396" t="s">
        <v>54</v>
      </c>
      <c r="G30" s="208"/>
      <c r="H30" s="208"/>
    </row>
    <row r="31" spans="1:8">
      <c r="A31" s="196">
        <v>24</v>
      </c>
      <c r="B31" s="262" t="s">
        <v>412</v>
      </c>
      <c r="C31" s="271">
        <v>0</v>
      </c>
    </row>
    <row r="32" spans="1:8">
      <c r="A32" s="196">
        <v>25</v>
      </c>
      <c r="B32" s="262" t="s">
        <v>413</v>
      </c>
      <c r="C32" s="271">
        <f>C23+'BES2_Debt Detail'!I28</f>
        <v>245730</v>
      </c>
      <c r="E32" s="397" t="s">
        <v>54</v>
      </c>
    </row>
    <row r="33" spans="1:3">
      <c r="A33" s="196">
        <v>26</v>
      </c>
      <c r="B33" s="262" t="s">
        <v>414</v>
      </c>
      <c r="C33" s="271">
        <v>0</v>
      </c>
    </row>
    <row r="34" spans="1:3">
      <c r="A34" s="196">
        <v>27</v>
      </c>
      <c r="B34" s="262" t="s">
        <v>415</v>
      </c>
      <c r="C34" s="271"/>
    </row>
    <row r="35" spans="1:3">
      <c r="A35" s="196">
        <v>28</v>
      </c>
      <c r="B35" s="262" t="s">
        <v>416</v>
      </c>
      <c r="C35" s="275">
        <f>+C31+C32+C33+C34</f>
        <v>245730</v>
      </c>
    </row>
    <row r="36" spans="1:3">
      <c r="A36" s="196">
        <v>29</v>
      </c>
      <c r="B36" s="262" t="s">
        <v>417</v>
      </c>
      <c r="C36" s="271">
        <f>'EIA412 TAXES'!C18-'EIA412 INCOME STATEMENT'!C13</f>
        <v>0</v>
      </c>
    </row>
    <row r="37" spans="1:3">
      <c r="C37"/>
    </row>
    <row r="38" spans="1:3">
      <c r="A38" t="s">
        <v>418</v>
      </c>
      <c r="C38"/>
    </row>
    <row r="39" spans="1:3">
      <c r="A39" t="s">
        <v>419</v>
      </c>
      <c r="C39"/>
    </row>
    <row r="40" spans="1:3">
      <c r="C40"/>
    </row>
    <row r="41" spans="1:3">
      <c r="A41" s="463" t="s">
        <v>814</v>
      </c>
      <c r="B41" s="455"/>
      <c r="C41"/>
    </row>
    <row r="42" spans="1:3">
      <c r="A42" s="463" t="s">
        <v>815</v>
      </c>
      <c r="B42" s="455"/>
      <c r="C42"/>
    </row>
    <row r="43" spans="1:3">
      <c r="A43" s="463" t="s">
        <v>54</v>
      </c>
      <c r="B43" s="455"/>
      <c r="C43" s="276"/>
    </row>
    <row r="44" spans="1:3">
      <c r="A44" s="455"/>
      <c r="B44" s="455"/>
      <c r="C44" s="276"/>
    </row>
    <row r="45" spans="1:3">
      <c r="A45" s="455"/>
      <c r="B45" s="455"/>
      <c r="C45" s="276"/>
    </row>
    <row r="46" spans="1:3">
      <c r="A46" s="455"/>
      <c r="B46" s="455"/>
      <c r="C46" s="276"/>
    </row>
    <row r="47" spans="1:3">
      <c r="C47" s="276"/>
    </row>
    <row r="48" spans="1:3">
      <c r="C48" s="276"/>
    </row>
    <row r="49" spans="3:3">
      <c r="C49" s="276"/>
    </row>
    <row r="50" spans="3:3">
      <c r="C50" s="276"/>
    </row>
    <row r="51" spans="3:3">
      <c r="C51" s="276"/>
    </row>
    <row r="52" spans="3:3">
      <c r="C52" s="276"/>
    </row>
  </sheetData>
  <mergeCells count="4">
    <mergeCell ref="A1:C1"/>
    <mergeCell ref="A2:C2"/>
    <mergeCell ref="A3:C3"/>
    <mergeCell ref="A5:C5"/>
  </mergeCells>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workbookViewId="0">
      <selection activeCell="K20" sqref="K20"/>
    </sheetView>
  </sheetViews>
  <sheetFormatPr defaultRowHeight="12.75"/>
  <cols>
    <col min="1" max="1" width="6.7109375" customWidth="1"/>
    <col min="2" max="2" width="38.5703125" customWidth="1"/>
    <col min="3" max="3" width="18.28515625" customWidth="1"/>
    <col min="4" max="6" width="15.7109375" customWidth="1"/>
    <col min="7" max="7" width="18.28515625" customWidth="1"/>
    <col min="8" max="8" width="12" bestFit="1" customWidth="1"/>
    <col min="9" max="9" width="13.5703125" bestFit="1" customWidth="1"/>
    <col min="11" max="11" width="13.42578125" bestFit="1" customWidth="1"/>
  </cols>
  <sheetData>
    <row r="1" spans="1:14" ht="15">
      <c r="A1" s="596" t="str">
        <f>'EIA412 BALANCE SHEET'!A1:F1</f>
        <v>BLUE EARTH</v>
      </c>
      <c r="B1" s="596"/>
      <c r="C1" s="596"/>
      <c r="D1" s="596"/>
      <c r="E1" s="596"/>
      <c r="F1" s="596"/>
      <c r="G1" s="596"/>
    </row>
    <row r="2" spans="1:14" ht="15">
      <c r="A2" s="593" t="s">
        <v>282</v>
      </c>
      <c r="B2" s="593"/>
      <c r="C2" s="593"/>
      <c r="D2" s="593"/>
      <c r="E2" s="593"/>
      <c r="F2" s="593"/>
      <c r="G2" s="593"/>
    </row>
    <row r="3" spans="1:14" s="500" customFormat="1" ht="15">
      <c r="A3" s="593" t="s">
        <v>766</v>
      </c>
      <c r="B3" s="593"/>
      <c r="C3" s="593"/>
      <c r="D3" s="593"/>
      <c r="E3" s="593"/>
      <c r="F3" s="593"/>
      <c r="G3" s="593"/>
    </row>
    <row r="4" spans="1:14" ht="15">
      <c r="A4" s="596">
        <f>'EIA412 BALANCE SHEET'!A3:F3</f>
        <v>42004</v>
      </c>
      <c r="B4" s="596"/>
      <c r="C4" s="596"/>
      <c r="D4" s="596"/>
      <c r="E4" s="596"/>
      <c r="F4" s="596"/>
      <c r="G4" s="596"/>
    </row>
    <row r="5" spans="1:14">
      <c r="A5" s="257"/>
      <c r="B5" s="257" t="s">
        <v>54</v>
      </c>
      <c r="C5" s="257"/>
    </row>
    <row r="6" spans="1:14" ht="15">
      <c r="A6" s="595" t="s">
        <v>289</v>
      </c>
      <c r="B6" s="595"/>
      <c r="C6" s="595"/>
      <c r="D6" s="595"/>
      <c r="E6" s="595"/>
      <c r="F6" s="595"/>
      <c r="G6" s="595"/>
    </row>
    <row r="7" spans="1:14">
      <c r="A7" s="277" t="s">
        <v>56</v>
      </c>
      <c r="B7" s="277"/>
      <c r="C7" s="277" t="s">
        <v>420</v>
      </c>
      <c r="D7" s="277"/>
      <c r="E7" s="277"/>
      <c r="F7" s="277"/>
      <c r="G7" s="277" t="s">
        <v>421</v>
      </c>
    </row>
    <row r="8" spans="1:14">
      <c r="A8" s="196" t="s">
        <v>58</v>
      </c>
      <c r="B8" s="196"/>
      <c r="C8" s="196" t="s">
        <v>422</v>
      </c>
      <c r="D8" s="196" t="s">
        <v>423</v>
      </c>
      <c r="E8" s="196" t="s">
        <v>424</v>
      </c>
      <c r="F8" s="196" t="s">
        <v>425</v>
      </c>
      <c r="G8" s="196" t="s">
        <v>422</v>
      </c>
    </row>
    <row r="9" spans="1:14" ht="20.100000000000001" customHeight="1">
      <c r="A9" s="213">
        <v>1</v>
      </c>
      <c r="B9" s="211" t="s">
        <v>426</v>
      </c>
      <c r="C9" s="278">
        <v>0</v>
      </c>
      <c r="D9" s="279">
        <v>0</v>
      </c>
      <c r="E9" s="279">
        <v>0</v>
      </c>
      <c r="F9" s="279">
        <v>0</v>
      </c>
      <c r="G9" s="280">
        <f>+C9+D9+E9+F9</f>
        <v>0</v>
      </c>
      <c r="I9" s="208" t="s">
        <v>54</v>
      </c>
    </row>
    <row r="10" spans="1:14" ht="10.5" customHeight="1">
      <c r="A10" s="213"/>
      <c r="B10" s="245"/>
      <c r="C10" s="279"/>
      <c r="D10" s="279"/>
      <c r="E10" s="279"/>
      <c r="F10" s="279"/>
      <c r="G10" s="281"/>
      <c r="H10" s="208" t="s">
        <v>54</v>
      </c>
      <c r="I10" s="396" t="s">
        <v>54</v>
      </c>
    </row>
    <row r="11" spans="1:14" ht="20.100000000000001" customHeight="1">
      <c r="A11" s="213">
        <v>2</v>
      </c>
      <c r="B11" s="211" t="s">
        <v>427</v>
      </c>
      <c r="C11" s="282">
        <v>0</v>
      </c>
      <c r="D11" s="279">
        <v>0</v>
      </c>
      <c r="E11" s="279">
        <v>0</v>
      </c>
      <c r="F11" s="279">
        <v>0</v>
      </c>
      <c r="G11" s="280">
        <f>+C11+D11+E11+F11</f>
        <v>0</v>
      </c>
      <c r="H11" s="208" t="s">
        <v>54</v>
      </c>
    </row>
    <row r="12" spans="1:14" ht="20.100000000000001" customHeight="1">
      <c r="A12" s="213">
        <v>3</v>
      </c>
      <c r="B12" s="211" t="s">
        <v>428</v>
      </c>
      <c r="C12" s="278">
        <v>0</v>
      </c>
      <c r="D12" s="279">
        <v>0</v>
      </c>
      <c r="E12" s="279">
        <v>0</v>
      </c>
      <c r="F12" s="279">
        <v>0</v>
      </c>
      <c r="G12" s="280">
        <f t="shared" ref="G12:G24" si="0">+C12+D12+E12+F12</f>
        <v>0</v>
      </c>
      <c r="I12" s="397" t="s">
        <v>54</v>
      </c>
      <c r="K12" s="397" t="s">
        <v>54</v>
      </c>
    </row>
    <row r="13" spans="1:14" ht="20.100000000000001" customHeight="1">
      <c r="A13" s="213">
        <v>4</v>
      </c>
      <c r="B13" s="211" t="s">
        <v>429</v>
      </c>
      <c r="C13" s="278">
        <v>0</v>
      </c>
      <c r="D13" s="279">
        <v>0</v>
      </c>
      <c r="E13" s="279">
        <v>0</v>
      </c>
      <c r="F13" s="279">
        <v>0</v>
      </c>
      <c r="G13" s="280">
        <f t="shared" si="0"/>
        <v>0</v>
      </c>
      <c r="I13" t="s">
        <v>430</v>
      </c>
      <c r="K13" s="605" t="s">
        <v>740</v>
      </c>
      <c r="L13" t="s">
        <v>54</v>
      </c>
    </row>
    <row r="14" spans="1:14">
      <c r="A14" s="213">
        <v>5</v>
      </c>
      <c r="B14" s="229" t="s">
        <v>767</v>
      </c>
      <c r="C14" s="280">
        <v>4275606</v>
      </c>
      <c r="D14" s="279">
        <v>0</v>
      </c>
      <c r="E14" s="279">
        <v>-25030</v>
      </c>
      <c r="F14" s="279">
        <v>0</v>
      </c>
      <c r="G14" s="285">
        <f t="shared" si="0"/>
        <v>4250576</v>
      </c>
      <c r="I14" s="283">
        <v>2533045</v>
      </c>
      <c r="K14" s="286">
        <v>123635</v>
      </c>
    </row>
    <row r="15" spans="1:14" ht="20.100000000000001" customHeight="1">
      <c r="A15" s="213">
        <v>6</v>
      </c>
      <c r="B15" s="245" t="s">
        <v>431</v>
      </c>
      <c r="C15" s="285">
        <v>4275606</v>
      </c>
      <c r="D15" s="285">
        <f>SUM(D11:D14)</f>
        <v>0</v>
      </c>
      <c r="E15" s="284">
        <f>SUM(E11:E14)</f>
        <v>-25030</v>
      </c>
      <c r="F15" s="284">
        <f>SUM(F11:F14)</f>
        <v>0</v>
      </c>
      <c r="G15" s="285">
        <f>SUM(G11:G14)</f>
        <v>4250576</v>
      </c>
      <c r="I15" s="286">
        <f>I14</f>
        <v>2533045</v>
      </c>
      <c r="K15" s="286">
        <f>K14</f>
        <v>123635</v>
      </c>
      <c r="L15" t="str">
        <f>BES5_Depreciation!A5</f>
        <v xml:space="preserve"> </v>
      </c>
      <c r="N15" s="208" t="s">
        <v>54</v>
      </c>
    </row>
    <row r="16" spans="1:14" s="500" customFormat="1" ht="9.75" customHeight="1">
      <c r="A16" s="470"/>
      <c r="B16" s="245"/>
      <c r="C16" s="285"/>
      <c r="D16" s="285"/>
      <c r="E16" s="284"/>
      <c r="F16" s="284"/>
      <c r="G16" s="285"/>
      <c r="I16" s="458"/>
      <c r="K16" s="458"/>
      <c r="N16" s="208"/>
    </row>
    <row r="17" spans="1:14" ht="20.100000000000001" customHeight="1">
      <c r="A17" s="213">
        <v>7</v>
      </c>
      <c r="B17" s="211" t="s">
        <v>432</v>
      </c>
      <c r="C17" s="285">
        <v>2520033</v>
      </c>
      <c r="D17" s="279">
        <v>0</v>
      </c>
      <c r="E17" s="279">
        <v>0</v>
      </c>
      <c r="F17" s="279">
        <v>0</v>
      </c>
      <c r="G17" s="285">
        <f t="shared" si="0"/>
        <v>2520033</v>
      </c>
      <c r="I17" s="458">
        <v>2032420</v>
      </c>
      <c r="K17" s="286">
        <v>38696</v>
      </c>
      <c r="L17" t="str">
        <f>BES5_Depreciation!A6</f>
        <v xml:space="preserve"> </v>
      </c>
      <c r="N17" s="208" t="s">
        <v>54</v>
      </c>
    </row>
    <row r="18" spans="1:14" ht="20.100000000000001" customHeight="1">
      <c r="A18" s="213">
        <v>8</v>
      </c>
      <c r="B18" s="211" t="s">
        <v>433</v>
      </c>
      <c r="C18" s="285">
        <v>8372097</v>
      </c>
      <c r="D18" s="279">
        <f>100000+543138</f>
        <v>643138</v>
      </c>
      <c r="E18" s="279">
        <v>0</v>
      </c>
      <c r="F18" s="279">
        <v>0</v>
      </c>
      <c r="G18" s="285">
        <f t="shared" si="0"/>
        <v>9015235</v>
      </c>
      <c r="I18" s="458">
        <v>4298134</v>
      </c>
      <c r="K18" s="286">
        <v>292312</v>
      </c>
      <c r="L18" t="str">
        <f>BES5_Depreciation!A7</f>
        <v xml:space="preserve"> </v>
      </c>
      <c r="N18" s="208" t="s">
        <v>54</v>
      </c>
    </row>
    <row r="19" spans="1:14" ht="20.100000000000001" customHeight="1">
      <c r="A19" s="213">
        <v>9</v>
      </c>
      <c r="B19" s="211" t="s">
        <v>434</v>
      </c>
      <c r="C19" s="285">
        <v>1138932</v>
      </c>
      <c r="D19" s="279">
        <f>130438</f>
        <v>130438</v>
      </c>
      <c r="E19" s="279">
        <v>0</v>
      </c>
      <c r="F19" s="279">
        <v>-8061</v>
      </c>
      <c r="G19" s="285">
        <f t="shared" si="0"/>
        <v>1261309</v>
      </c>
      <c r="I19" s="458">
        <v>542554</v>
      </c>
      <c r="K19" s="286">
        <v>68869</v>
      </c>
      <c r="L19" t="str">
        <f>BES5_Depreciation!A8</f>
        <v xml:space="preserve"> </v>
      </c>
      <c r="N19" s="208" t="s">
        <v>54</v>
      </c>
    </row>
    <row r="20" spans="1:14" ht="25.5">
      <c r="A20" s="213">
        <v>10</v>
      </c>
      <c r="B20" s="287" t="s">
        <v>435</v>
      </c>
      <c r="C20" s="284">
        <v>16306668</v>
      </c>
      <c r="D20" s="284">
        <f>SUM(D15:D19)</f>
        <v>773576</v>
      </c>
      <c r="E20" s="284">
        <f>SUM(E15:E19)</f>
        <v>-25030</v>
      </c>
      <c r="F20" s="284">
        <f>SUM(F15:F19)</f>
        <v>-8061</v>
      </c>
      <c r="G20" s="285">
        <f>SUM(C20:F20)</f>
        <v>17047153</v>
      </c>
      <c r="I20" s="283">
        <f>SUM(I15:I19)</f>
        <v>9406153</v>
      </c>
      <c r="K20" s="286">
        <f>SUM(K15:K19)</f>
        <v>523512</v>
      </c>
      <c r="L20" t="s">
        <v>54</v>
      </c>
      <c r="N20" s="208" t="s">
        <v>54</v>
      </c>
    </row>
    <row r="21" spans="1:14" s="500" customFormat="1" ht="9.75" customHeight="1">
      <c r="A21" s="470"/>
      <c r="B21" s="287"/>
      <c r="C21" s="284"/>
      <c r="D21" s="284"/>
      <c r="E21" s="284"/>
      <c r="F21" s="284"/>
      <c r="G21" s="285"/>
      <c r="I21" s="283"/>
      <c r="K21" s="458"/>
      <c r="N21" s="208"/>
    </row>
    <row r="22" spans="1:14" ht="20.100000000000001" customHeight="1">
      <c r="A22" s="213">
        <v>11</v>
      </c>
      <c r="B22" s="211" t="s">
        <v>436</v>
      </c>
      <c r="C22" s="278">
        <v>0</v>
      </c>
      <c r="D22" s="279">
        <v>0</v>
      </c>
      <c r="E22" s="279">
        <v>0</v>
      </c>
      <c r="F22" s="279">
        <v>0</v>
      </c>
      <c r="G22" s="285">
        <f t="shared" si="0"/>
        <v>0</v>
      </c>
      <c r="I22" s="459" t="s">
        <v>54</v>
      </c>
    </row>
    <row r="23" spans="1:14" ht="20.100000000000001" customHeight="1">
      <c r="A23" s="213">
        <v>12</v>
      </c>
      <c r="B23" s="211" t="s">
        <v>437</v>
      </c>
      <c r="C23" s="278">
        <v>0</v>
      </c>
      <c r="D23" s="279">
        <v>0</v>
      </c>
      <c r="E23" s="279">
        <v>0</v>
      </c>
      <c r="F23" s="279">
        <v>0</v>
      </c>
      <c r="G23" s="285">
        <f t="shared" si="0"/>
        <v>0</v>
      </c>
    </row>
    <row r="24" spans="1:14" ht="25.5">
      <c r="A24" s="213">
        <v>13</v>
      </c>
      <c r="B24" s="229" t="s">
        <v>438</v>
      </c>
      <c r="C24" s="278">
        <v>0</v>
      </c>
      <c r="D24" s="279">
        <v>0</v>
      </c>
      <c r="E24" s="279">
        <v>0</v>
      </c>
      <c r="F24" s="279">
        <v>0</v>
      </c>
      <c r="G24" s="280">
        <f t="shared" si="0"/>
        <v>0</v>
      </c>
    </row>
    <row r="25" spans="1:14" ht="25.5">
      <c r="A25" s="213">
        <v>14</v>
      </c>
      <c r="B25" s="287" t="s">
        <v>439</v>
      </c>
      <c r="C25" s="282">
        <v>16306668</v>
      </c>
      <c r="D25" s="282">
        <f>SUM(D20:D24)</f>
        <v>773576</v>
      </c>
      <c r="E25" s="282">
        <f>SUM(E20:E24)</f>
        <v>-25030</v>
      </c>
      <c r="F25" s="282">
        <f>SUM(F20:F24)</f>
        <v>-8061</v>
      </c>
      <c r="G25" s="280">
        <f>+C25+D25+E25+F25</f>
        <v>17047153</v>
      </c>
      <c r="I25" s="208" t="s">
        <v>54</v>
      </c>
    </row>
    <row r="26" spans="1:14" s="500" customFormat="1" ht="8.25" customHeight="1">
      <c r="A26" s="470"/>
      <c r="B26" s="287"/>
      <c r="C26" s="282"/>
      <c r="D26" s="282"/>
      <c r="E26" s="282"/>
      <c r="F26" s="282"/>
      <c r="G26" s="280"/>
      <c r="I26" s="208"/>
    </row>
    <row r="27" spans="1:14" ht="20.100000000000001" customHeight="1">
      <c r="A27" s="213">
        <v>15</v>
      </c>
      <c r="B27" s="211" t="s">
        <v>440</v>
      </c>
      <c r="C27" s="279">
        <v>52583</v>
      </c>
      <c r="D27" s="279">
        <f>570497</f>
        <v>570497</v>
      </c>
      <c r="E27" s="279">
        <v>0</v>
      </c>
      <c r="F27" s="279">
        <v>-2446</v>
      </c>
      <c r="G27" s="280">
        <f>+C27+D27+E27+F27</f>
        <v>620634</v>
      </c>
    </row>
    <row r="28" spans="1:14" ht="25.5">
      <c r="A28" s="213">
        <v>16</v>
      </c>
      <c r="B28" s="287" t="s">
        <v>441</v>
      </c>
      <c r="C28" s="280">
        <v>16359251</v>
      </c>
      <c r="D28" s="280">
        <f>SUM(D25:D27)</f>
        <v>1344073</v>
      </c>
      <c r="E28" s="280">
        <f>SUM(E25:E27)</f>
        <v>-25030</v>
      </c>
      <c r="F28" s="280">
        <f>SUM(F25:F27)</f>
        <v>-10507</v>
      </c>
      <c r="G28" s="280">
        <f>+C28+D28+E28+F28</f>
        <v>17667787</v>
      </c>
      <c r="I28" s="208">
        <f>G28-I20</f>
        <v>8261634</v>
      </c>
    </row>
    <row r="29" spans="1:14" ht="20.100000000000001" customHeight="1">
      <c r="B29" s="500" t="s">
        <v>768</v>
      </c>
      <c r="C29" t="s">
        <v>54</v>
      </c>
      <c r="D29" t="s">
        <v>54</v>
      </c>
      <c r="G29" s="208"/>
      <c r="I29" s="208">
        <f>I28-G27</f>
        <v>7641000</v>
      </c>
    </row>
    <row r="30" spans="1:14">
      <c r="C30" s="208" t="s">
        <v>54</v>
      </c>
      <c r="E30" s="208" t="s">
        <v>54</v>
      </c>
      <c r="G30" s="208"/>
      <c r="I30" s="208" t="s">
        <v>54</v>
      </c>
    </row>
  </sheetData>
  <mergeCells count="5">
    <mergeCell ref="A1:G1"/>
    <mergeCell ref="A2:G2"/>
    <mergeCell ref="A4:G4"/>
    <mergeCell ref="A6:G6"/>
    <mergeCell ref="A3:G3"/>
  </mergeCells>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4" workbookViewId="0">
      <selection activeCell="E19" sqref="E19"/>
    </sheetView>
  </sheetViews>
  <sheetFormatPr defaultRowHeight="12.75"/>
  <cols>
    <col min="2" max="2" width="86.140625" customWidth="1"/>
    <col min="3" max="3" width="15.7109375" bestFit="1" customWidth="1"/>
  </cols>
  <sheetData>
    <row r="1" spans="1:7" ht="15">
      <c r="A1" s="596" t="str">
        <f>'EIA412 BALANCE SHEET'!A1:F1</f>
        <v>BLUE EARTH</v>
      </c>
      <c r="B1" s="596"/>
      <c r="C1" s="596"/>
      <c r="D1" s="288"/>
      <c r="E1" s="288"/>
      <c r="F1" s="288"/>
      <c r="G1" s="288"/>
    </row>
    <row r="2" spans="1:7" ht="15">
      <c r="A2" s="593" t="s">
        <v>282</v>
      </c>
      <c r="B2" s="593"/>
      <c r="C2" s="593"/>
      <c r="D2" s="102"/>
      <c r="E2" s="102"/>
      <c r="F2" s="102"/>
      <c r="G2" s="102"/>
    </row>
    <row r="3" spans="1:7" ht="15">
      <c r="A3" s="596">
        <f>'EIA412 BALANCE SHEET'!A3:F3</f>
        <v>42004</v>
      </c>
      <c r="B3" s="596"/>
      <c r="C3" s="596"/>
      <c r="D3" s="288"/>
      <c r="E3" s="288"/>
      <c r="F3" s="288"/>
      <c r="G3" s="288"/>
    </row>
    <row r="4" spans="1:7" ht="15">
      <c r="A4" s="254"/>
      <c r="B4" s="254"/>
      <c r="C4" s="254"/>
      <c r="D4" s="254"/>
      <c r="E4" s="254"/>
      <c r="F4" s="254"/>
      <c r="G4" s="254"/>
    </row>
    <row r="5" spans="1:7" ht="15">
      <c r="A5" s="254"/>
      <c r="B5" s="254"/>
      <c r="C5" s="254"/>
      <c r="D5" s="254"/>
      <c r="E5" s="254"/>
      <c r="F5" s="254"/>
      <c r="G5" s="254"/>
    </row>
    <row r="6" spans="1:7">
      <c r="A6" s="597" t="s">
        <v>442</v>
      </c>
      <c r="B6" s="598"/>
      <c r="C6" s="599"/>
    </row>
    <row r="7" spans="1:7">
      <c r="A7" s="6" t="s">
        <v>443</v>
      </c>
    </row>
    <row r="8" spans="1:7">
      <c r="A8" s="6" t="s">
        <v>287</v>
      </c>
    </row>
    <row r="9" spans="1:7">
      <c r="A9" s="597" t="s">
        <v>444</v>
      </c>
      <c r="B9" s="598"/>
      <c r="C9" s="599"/>
    </row>
    <row r="10" spans="1:7">
      <c r="A10" s="289">
        <v>1</v>
      </c>
      <c r="B10" s="289" t="s">
        <v>445</v>
      </c>
      <c r="C10" s="290">
        <f>202765+'BES12_A&amp;G Detail'!F29</f>
        <v>248325</v>
      </c>
      <c r="E10" s="411" t="s">
        <v>54</v>
      </c>
    </row>
    <row r="11" spans="1:7">
      <c r="A11" s="200">
        <v>2</v>
      </c>
      <c r="B11" s="200" t="s">
        <v>446</v>
      </c>
      <c r="C11" s="200"/>
    </row>
    <row r="12" spans="1:7">
      <c r="A12" s="200">
        <v>3</v>
      </c>
      <c r="B12" s="200" t="s">
        <v>447</v>
      </c>
      <c r="C12" s="291">
        <f>C10+C11</f>
        <v>248325</v>
      </c>
    </row>
    <row r="13" spans="1:7">
      <c r="A13" s="200">
        <v>4</v>
      </c>
      <c r="B13" s="200" t="s">
        <v>448</v>
      </c>
      <c r="C13" s="200"/>
    </row>
    <row r="14" spans="1:7">
      <c r="A14" s="200">
        <v>5</v>
      </c>
      <c r="B14" s="200" t="s">
        <v>449</v>
      </c>
      <c r="C14" s="200"/>
    </row>
    <row r="15" spans="1:7">
      <c r="A15" s="200">
        <v>6</v>
      </c>
      <c r="B15" s="200" t="s">
        <v>450</v>
      </c>
      <c r="C15" s="200">
        <f>C13+C14</f>
        <v>0</v>
      </c>
    </row>
    <row r="16" spans="1:7">
      <c r="A16" s="200">
        <v>7</v>
      </c>
      <c r="B16" s="200" t="s">
        <v>451</v>
      </c>
      <c r="C16" s="200"/>
    </row>
    <row r="17" spans="1:3">
      <c r="A17" s="200">
        <v>8</v>
      </c>
      <c r="B17" s="200" t="s">
        <v>452</v>
      </c>
      <c r="C17" s="200"/>
    </row>
    <row r="18" spans="1:3">
      <c r="A18" s="204">
        <v>9</v>
      </c>
      <c r="B18" s="204" t="s">
        <v>453</v>
      </c>
      <c r="C18" s="292">
        <f>C12+C15+C16+C17</f>
        <v>248325</v>
      </c>
    </row>
    <row r="19" spans="1:3">
      <c r="A19" s="597" t="s">
        <v>454</v>
      </c>
      <c r="B19" s="598"/>
      <c r="C19" s="599"/>
    </row>
    <row r="20" spans="1:3">
      <c r="A20" s="289">
        <v>10</v>
      </c>
      <c r="B20" s="293" t="s">
        <v>455</v>
      </c>
      <c r="C20" s="260"/>
    </row>
    <row r="21" spans="1:3">
      <c r="A21" s="200">
        <v>11</v>
      </c>
      <c r="B21" s="294" t="s">
        <v>456</v>
      </c>
      <c r="C21" s="195"/>
    </row>
    <row r="22" spans="1:3">
      <c r="A22" s="200">
        <v>12</v>
      </c>
      <c r="B22" s="294" t="s">
        <v>457</v>
      </c>
      <c r="C22" s="195"/>
    </row>
    <row r="23" spans="1:3">
      <c r="A23" s="200">
        <v>13</v>
      </c>
      <c r="B23" s="294" t="s">
        <v>458</v>
      </c>
      <c r="C23" s="195"/>
    </row>
    <row r="24" spans="1:3">
      <c r="A24" s="204">
        <v>14</v>
      </c>
      <c r="B24" s="295" t="s">
        <v>459</v>
      </c>
      <c r="C24" s="262">
        <f>SUM(C20:C23)</f>
        <v>0</v>
      </c>
    </row>
    <row r="25" spans="1:3">
      <c r="A25" s="597" t="s">
        <v>460</v>
      </c>
      <c r="B25" s="598"/>
      <c r="C25" s="599"/>
    </row>
    <row r="26" spans="1:3">
      <c r="A26" s="289">
        <v>15</v>
      </c>
      <c r="B26" s="289" t="s">
        <v>461</v>
      </c>
      <c r="C26" s="289"/>
    </row>
    <row r="27" spans="1:3">
      <c r="A27" s="200">
        <v>16</v>
      </c>
      <c r="B27" s="200" t="s">
        <v>462</v>
      </c>
      <c r="C27" s="200"/>
    </row>
    <row r="28" spans="1:3">
      <c r="A28" s="200">
        <v>17</v>
      </c>
      <c r="B28" s="200" t="s">
        <v>463</v>
      </c>
      <c r="C28" s="200"/>
    </row>
    <row r="29" spans="1:3">
      <c r="A29" s="200">
        <v>18</v>
      </c>
      <c r="B29" s="200" t="s">
        <v>458</v>
      </c>
      <c r="C29" s="200"/>
    </row>
    <row r="30" spans="1:3">
      <c r="A30" s="200">
        <v>19</v>
      </c>
      <c r="B30" s="200" t="s">
        <v>464</v>
      </c>
      <c r="C30" s="200">
        <f>SUM(C26:C29)</f>
        <v>0</v>
      </c>
    </row>
    <row r="31" spans="1:3" ht="27" customHeight="1">
      <c r="A31" s="204">
        <v>20</v>
      </c>
      <c r="B31" s="296" t="s">
        <v>465</v>
      </c>
      <c r="C31" s="204">
        <f>C24-C30</f>
        <v>0</v>
      </c>
    </row>
  </sheetData>
  <mergeCells count="7">
    <mergeCell ref="A9:C9"/>
    <mergeCell ref="A19:C19"/>
    <mergeCell ref="A25:C25"/>
    <mergeCell ref="A1:C1"/>
    <mergeCell ref="A2:C2"/>
    <mergeCell ref="A3:C3"/>
    <mergeCell ref="A6:C6"/>
  </mergeCells>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opLeftCell="A11" workbookViewId="0">
      <selection activeCell="F33" sqref="F33"/>
    </sheetView>
  </sheetViews>
  <sheetFormatPr defaultRowHeight="12.75"/>
  <cols>
    <col min="1" max="1" width="6.7109375" customWidth="1"/>
    <col min="2" max="2" width="29.5703125" customWidth="1"/>
    <col min="3" max="3" width="18.7109375" customWidth="1"/>
    <col min="4" max="4" width="18.5703125" customWidth="1"/>
    <col min="5" max="6" width="15.7109375" customWidth="1"/>
  </cols>
  <sheetData>
    <row r="1" spans="1:7" ht="15">
      <c r="A1" s="596" t="str">
        <f>'EIA412 BALANCE SHEET'!A1</f>
        <v>BLUE EARTH</v>
      </c>
      <c r="B1" s="596"/>
      <c r="C1" s="596"/>
      <c r="D1" s="596"/>
      <c r="E1" s="596"/>
      <c r="F1" s="596"/>
      <c r="G1" s="111"/>
    </row>
    <row r="2" spans="1:7" ht="15">
      <c r="A2" s="593" t="s">
        <v>282</v>
      </c>
      <c r="B2" s="593"/>
      <c r="C2" s="593"/>
      <c r="D2" s="593"/>
      <c r="E2" s="593"/>
      <c r="F2" s="593"/>
      <c r="G2" s="111"/>
    </row>
    <row r="3" spans="1:7" ht="15">
      <c r="A3" s="596">
        <f>'EIA412 BALANCE SHEET'!A3</f>
        <v>42004</v>
      </c>
      <c r="B3" s="596"/>
      <c r="C3" s="596"/>
      <c r="D3" s="596"/>
      <c r="E3" s="596"/>
      <c r="F3" s="596"/>
      <c r="G3" s="254"/>
    </row>
    <row r="5" spans="1:7">
      <c r="A5" s="602" t="s">
        <v>466</v>
      </c>
      <c r="B5" s="602"/>
      <c r="C5" s="602"/>
      <c r="D5" s="602"/>
      <c r="E5" s="602"/>
      <c r="F5" s="602"/>
    </row>
    <row r="6" spans="1:7">
      <c r="A6" s="194" t="s">
        <v>56</v>
      </c>
      <c r="B6" s="194"/>
      <c r="C6" s="194"/>
      <c r="D6" s="194"/>
      <c r="E6" s="194"/>
      <c r="F6" s="194"/>
    </row>
    <row r="7" spans="1:7" ht="13.5" thickBot="1">
      <c r="A7" s="196" t="s">
        <v>287</v>
      </c>
      <c r="B7" s="196"/>
      <c r="C7" s="194" t="s">
        <v>467</v>
      </c>
      <c r="D7" s="196" t="s">
        <v>468</v>
      </c>
      <c r="E7" s="196" t="s">
        <v>469</v>
      </c>
      <c r="F7" s="196" t="s">
        <v>606</v>
      </c>
    </row>
    <row r="8" spans="1:7">
      <c r="A8" s="195">
        <v>1</v>
      </c>
      <c r="B8" s="16" t="s">
        <v>470</v>
      </c>
      <c r="C8" s="297"/>
      <c r="D8" s="298"/>
      <c r="E8" s="298"/>
      <c r="F8" s="298"/>
    </row>
    <row r="9" spans="1:7">
      <c r="A9" s="262"/>
      <c r="B9" s="244" t="s">
        <v>471</v>
      </c>
      <c r="C9" s="299">
        <v>0</v>
      </c>
      <c r="D9" s="300">
        <v>0</v>
      </c>
      <c r="E9" s="300">
        <v>0</v>
      </c>
      <c r="F9" s="301">
        <f>SUM(C9:E9)</f>
        <v>0</v>
      </c>
    </row>
    <row r="10" spans="1:7" ht="25.5">
      <c r="A10" s="262">
        <v>2</v>
      </c>
      <c r="B10" s="302" t="s">
        <v>472</v>
      </c>
      <c r="C10" s="299">
        <v>0</v>
      </c>
      <c r="D10" s="300">
        <v>0</v>
      </c>
      <c r="E10" s="300">
        <v>0</v>
      </c>
      <c r="F10" s="301">
        <f>SUM(C10:E10)</f>
        <v>0</v>
      </c>
    </row>
    <row r="11" spans="1:7">
      <c r="A11" s="195">
        <v>3</v>
      </c>
      <c r="B11" s="16" t="s">
        <v>473</v>
      </c>
      <c r="C11" s="303"/>
      <c r="D11" s="298"/>
      <c r="E11" s="298"/>
      <c r="F11" s="298"/>
    </row>
    <row r="12" spans="1:7">
      <c r="A12" s="262"/>
      <c r="B12" s="244" t="s">
        <v>474</v>
      </c>
      <c r="C12" s="299">
        <v>0</v>
      </c>
      <c r="D12" s="300">
        <v>0</v>
      </c>
      <c r="E12" s="300">
        <v>0</v>
      </c>
      <c r="F12" s="301">
        <f>SUM(C12:E12)</f>
        <v>0</v>
      </c>
    </row>
    <row r="13" spans="1:7">
      <c r="A13" s="304">
        <v>4</v>
      </c>
      <c r="B13" s="22" t="s">
        <v>475</v>
      </c>
      <c r="C13" s="303"/>
      <c r="D13" s="298"/>
      <c r="E13" s="298"/>
      <c r="F13" s="298"/>
    </row>
    <row r="14" spans="1:7">
      <c r="A14" s="304"/>
      <c r="B14" s="305" t="s">
        <v>476</v>
      </c>
      <c r="C14" s="303"/>
      <c r="D14" s="298"/>
      <c r="E14" s="298"/>
      <c r="F14" s="298"/>
    </row>
    <row r="15" spans="1:7">
      <c r="A15" s="262"/>
      <c r="B15" s="306" t="s">
        <v>477</v>
      </c>
      <c r="C15" s="299">
        <f>7312</f>
        <v>7312</v>
      </c>
      <c r="D15" s="300">
        <v>0</v>
      </c>
      <c r="E15" s="300">
        <f>267912</f>
        <v>267912</v>
      </c>
      <c r="F15" s="301">
        <f>SUM(C15:E15)</f>
        <v>275224</v>
      </c>
      <c r="G15" t="s">
        <v>54</v>
      </c>
    </row>
    <row r="16" spans="1:7">
      <c r="A16" s="307">
        <v>5</v>
      </c>
      <c r="B16" s="308" t="s">
        <v>478</v>
      </c>
      <c r="C16" s="309">
        <f>'EIA412 PURCHASED POWER'!H44</f>
        <v>2088239</v>
      </c>
      <c r="D16" s="310">
        <v>0</v>
      </c>
      <c r="E16" s="310">
        <v>0</v>
      </c>
      <c r="F16" s="311">
        <f>SUM(C16:E16)</f>
        <v>2088239</v>
      </c>
      <c r="G16" t="s">
        <v>54</v>
      </c>
    </row>
    <row r="17" spans="1:9">
      <c r="A17" s="195">
        <v>6</v>
      </c>
      <c r="B17" s="16" t="s">
        <v>479</v>
      </c>
      <c r="C17" s="303"/>
      <c r="D17" s="298"/>
      <c r="E17" s="298"/>
      <c r="F17" s="298"/>
    </row>
    <row r="18" spans="1:9" ht="13.5" thickBot="1">
      <c r="A18" s="262"/>
      <c r="B18" s="244" t="s">
        <v>480</v>
      </c>
      <c r="C18" s="312">
        <v>0</v>
      </c>
      <c r="D18" s="300">
        <f>3668077-202765-E15-C16-C15+'BES4_W&amp;S Allocator'!F23-'BES3_ Trans O&amp;M'!O36</f>
        <v>1062343.1658000001</v>
      </c>
      <c r="E18" s="300">
        <v>0</v>
      </c>
      <c r="F18" s="301">
        <f>SUM(C18:E18)</f>
        <v>1062343.1658000001</v>
      </c>
      <c r="G18" t="s">
        <v>54</v>
      </c>
    </row>
    <row r="19" spans="1:9">
      <c r="A19" s="267">
        <v>7</v>
      </c>
      <c r="B19" s="267" t="s">
        <v>481</v>
      </c>
      <c r="C19" s="313">
        <f>C9+C10+C12+C15+C16+C18</f>
        <v>2095551</v>
      </c>
      <c r="D19" s="314">
        <f>SUM(D9:D18)</f>
        <v>1062343.1658000001</v>
      </c>
      <c r="E19" s="314">
        <f>SUM(E9:E18)</f>
        <v>267912</v>
      </c>
      <c r="F19" s="314">
        <f>SUM(C19:E19)</f>
        <v>3425806.1658000001</v>
      </c>
      <c r="H19" s="396" t="s">
        <v>54</v>
      </c>
      <c r="I19" s="396" t="s">
        <v>54</v>
      </c>
    </row>
    <row r="20" spans="1:9">
      <c r="A20" s="195">
        <v>8</v>
      </c>
      <c r="B20" s="195" t="s">
        <v>482</v>
      </c>
      <c r="C20" s="298"/>
      <c r="D20" s="298"/>
      <c r="E20" s="298"/>
      <c r="F20" s="298"/>
      <c r="G20" t="s">
        <v>54</v>
      </c>
    </row>
    <row r="21" spans="1:9">
      <c r="A21" s="262"/>
      <c r="B21" s="262" t="s">
        <v>483</v>
      </c>
      <c r="C21" s="315" t="s">
        <v>484</v>
      </c>
      <c r="D21" s="300">
        <v>0</v>
      </c>
      <c r="E21" s="300">
        <f>'BES3_ Trans O&amp;M'!O39</f>
        <v>113031.89749999999</v>
      </c>
      <c r="F21" s="265">
        <f>SUM(D21:E21)</f>
        <v>113031.89749999999</v>
      </c>
      <c r="G21" t="s">
        <v>54</v>
      </c>
      <c r="H21" t="s">
        <v>54</v>
      </c>
    </row>
    <row r="22" spans="1:9">
      <c r="A22" s="195">
        <v>9</v>
      </c>
      <c r="B22" s="195" t="s">
        <v>485</v>
      </c>
      <c r="C22" s="298"/>
      <c r="D22" s="298"/>
      <c r="E22" s="298"/>
      <c r="F22" s="298"/>
    </row>
    <row r="23" spans="1:9">
      <c r="A23" s="262"/>
      <c r="B23" s="262" t="s">
        <v>486</v>
      </c>
      <c r="C23" s="315" t="s">
        <v>484</v>
      </c>
      <c r="D23" s="300">
        <f>'BES4_W&amp;S Allocator'!F24</f>
        <v>268065.13010000001</v>
      </c>
      <c r="E23" s="300">
        <v>0</v>
      </c>
      <c r="F23" s="301">
        <f>SUM(D23:E23)</f>
        <v>268065.13010000001</v>
      </c>
    </row>
    <row r="24" spans="1:9">
      <c r="A24" s="195">
        <v>10</v>
      </c>
      <c r="B24" s="195" t="s">
        <v>487</v>
      </c>
      <c r="C24" s="298"/>
      <c r="D24" s="298"/>
      <c r="E24" s="298"/>
      <c r="F24" s="298"/>
    </row>
    <row r="25" spans="1:9">
      <c r="A25" s="262"/>
      <c r="B25" s="262" t="s">
        <v>488</v>
      </c>
      <c r="C25" s="315" t="s">
        <v>484</v>
      </c>
      <c r="D25" s="300">
        <f>'BES4_W&amp;S Allocator'!F26+'BES12_A&amp;G Detail'!F37</f>
        <v>117911.35920000001</v>
      </c>
      <c r="E25" s="300">
        <v>0</v>
      </c>
      <c r="F25" s="301">
        <f>SUM(D25:E25)</f>
        <v>117911.35920000001</v>
      </c>
    </row>
    <row r="26" spans="1:9">
      <c r="A26" s="195">
        <v>11</v>
      </c>
      <c r="B26" s="195" t="s">
        <v>489</v>
      </c>
      <c r="C26" s="298"/>
      <c r="D26" s="298"/>
      <c r="E26" s="298"/>
      <c r="F26" s="298"/>
    </row>
    <row r="27" spans="1:9">
      <c r="A27" s="262"/>
      <c r="B27" s="262" t="s">
        <v>490</v>
      </c>
      <c r="C27" s="315" t="s">
        <v>484</v>
      </c>
      <c r="D27" s="300">
        <v>0</v>
      </c>
      <c r="E27" s="300">
        <v>0</v>
      </c>
      <c r="F27" s="301">
        <f>SUM(D27:E27)</f>
        <v>0</v>
      </c>
    </row>
    <row r="28" spans="1:9">
      <c r="A28" s="267">
        <v>12</v>
      </c>
      <c r="B28" s="267" t="s">
        <v>491</v>
      </c>
      <c r="C28" s="315" t="s">
        <v>484</v>
      </c>
      <c r="D28" s="311">
        <f>'BES12_A&amp;G Detail'!F38+'BES12_A&amp;G Detail'!F36</f>
        <v>126932</v>
      </c>
      <c r="E28" s="311"/>
      <c r="F28" s="301">
        <f>SUM(D28:E28)</f>
        <v>126932</v>
      </c>
    </row>
    <row r="29" spans="1:9">
      <c r="A29" s="267">
        <v>13</v>
      </c>
      <c r="B29" s="267" t="s">
        <v>492</v>
      </c>
      <c r="C29" s="315" t="s">
        <v>484</v>
      </c>
      <c r="D29" s="467">
        <f>'BES12_A&amp;G Detail'!F40</f>
        <v>527094.54739999992</v>
      </c>
      <c r="E29" s="310">
        <v>0</v>
      </c>
      <c r="F29" s="270">
        <f>SUM(D29:E29)</f>
        <v>527094.54739999992</v>
      </c>
      <c r="G29" t="s">
        <v>54</v>
      </c>
    </row>
    <row r="30" spans="1:9">
      <c r="A30" s="195">
        <v>14</v>
      </c>
      <c r="B30" s="195" t="s">
        <v>493</v>
      </c>
      <c r="C30" s="298"/>
      <c r="D30" s="298"/>
      <c r="E30" s="298"/>
      <c r="F30" s="298"/>
    </row>
    <row r="31" spans="1:9">
      <c r="A31" s="262"/>
      <c r="B31" s="262" t="s">
        <v>494</v>
      </c>
      <c r="C31" s="316">
        <f>SUM(C19:C29)</f>
        <v>2095551</v>
      </c>
      <c r="D31" s="316">
        <f>SUM(D19:D29)</f>
        <v>2102346.2025000001</v>
      </c>
      <c r="E31" s="316">
        <f>SUM(E19:E29)</f>
        <v>380943.89749999996</v>
      </c>
      <c r="F31" s="316">
        <f>C31+D31+E31</f>
        <v>4578841.1000000006</v>
      </c>
    </row>
    <row r="32" spans="1:9">
      <c r="C32" s="208"/>
      <c r="D32" s="208"/>
      <c r="E32" s="208"/>
      <c r="F32" s="208"/>
    </row>
    <row r="33" spans="2:6">
      <c r="B33" s="600" t="s">
        <v>495</v>
      </c>
      <c r="C33" s="601"/>
      <c r="D33" s="560">
        <v>13</v>
      </c>
      <c r="E33" s="208"/>
      <c r="F33" s="208">
        <f>3668077-202765-45560+731657+76985+6366+344081</f>
        <v>4578841</v>
      </c>
    </row>
    <row r="34" spans="2:6">
      <c r="B34" s="295" t="s">
        <v>496</v>
      </c>
      <c r="C34" s="317"/>
      <c r="D34" s="454">
        <v>2</v>
      </c>
      <c r="E34" s="208"/>
      <c r="F34" s="208" t="s">
        <v>54</v>
      </c>
    </row>
    <row r="35" spans="2:6">
      <c r="C35" s="208"/>
      <c r="D35" s="208"/>
      <c r="E35" s="208"/>
      <c r="F35" s="208">
        <f>F31-F33</f>
        <v>0.10000000055879354</v>
      </c>
    </row>
    <row r="36" spans="2:6">
      <c r="F36" t="s">
        <v>54</v>
      </c>
    </row>
    <row r="37" spans="2:6">
      <c r="F37" t="s">
        <v>54</v>
      </c>
    </row>
    <row r="38" spans="2:6">
      <c r="F38" s="208" t="s">
        <v>54</v>
      </c>
    </row>
  </sheetData>
  <mergeCells count="5">
    <mergeCell ref="B33:C33"/>
    <mergeCell ref="A1:F1"/>
    <mergeCell ref="A2:F2"/>
    <mergeCell ref="A3:F3"/>
    <mergeCell ref="A5:F5"/>
  </mergeCells>
  <phoneticPr fontId="14"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activeCell="A3" sqref="A3:H3"/>
    </sheetView>
  </sheetViews>
  <sheetFormatPr defaultRowHeight="12.75"/>
  <cols>
    <col min="2" max="2" width="21.7109375" customWidth="1"/>
    <col min="3" max="3" width="5.7109375" customWidth="1"/>
    <col min="4" max="8" width="12.7109375" customWidth="1"/>
    <col min="10" max="10" width="13.7109375" customWidth="1"/>
    <col min="12" max="12" width="14.7109375" customWidth="1"/>
  </cols>
  <sheetData>
    <row r="1" spans="1:11" ht="15">
      <c r="A1" s="596" t="str">
        <f>'EIA412 BALANCE SHEET'!A1:F1</f>
        <v>BLUE EARTH</v>
      </c>
      <c r="B1" s="596"/>
      <c r="C1" s="596"/>
      <c r="D1" s="596"/>
      <c r="E1" s="596"/>
      <c r="F1" s="596"/>
      <c r="G1" s="596"/>
      <c r="H1" s="596"/>
    </row>
    <row r="2" spans="1:11" ht="15">
      <c r="A2" s="593" t="s">
        <v>282</v>
      </c>
      <c r="B2" s="593"/>
      <c r="C2" s="593"/>
      <c r="D2" s="593"/>
      <c r="E2" s="593"/>
      <c r="F2" s="593"/>
      <c r="G2" s="593"/>
      <c r="H2" s="593"/>
    </row>
    <row r="3" spans="1:11" ht="15">
      <c r="A3" s="596">
        <f>'EIA412 BALANCE SHEET'!A3:F3</f>
        <v>42004</v>
      </c>
      <c r="B3" s="596"/>
      <c r="C3" s="596"/>
      <c r="D3" s="596"/>
      <c r="E3" s="596"/>
      <c r="F3" s="596"/>
      <c r="G3" s="596"/>
      <c r="H3" s="596"/>
    </row>
    <row r="4" spans="1:11">
      <c r="A4" s="72"/>
    </row>
    <row r="5" spans="1:11">
      <c r="A5" s="602" t="s">
        <v>497</v>
      </c>
      <c r="B5" s="602"/>
      <c r="C5" s="602"/>
      <c r="D5" s="602"/>
      <c r="E5" s="602"/>
      <c r="F5" s="602"/>
      <c r="G5" s="602"/>
      <c r="H5" s="602"/>
    </row>
    <row r="6" spans="1:11">
      <c r="A6" s="277"/>
      <c r="B6" s="277"/>
      <c r="C6" s="277"/>
      <c r="D6" s="277" t="s">
        <v>498</v>
      </c>
      <c r="E6" s="277" t="s">
        <v>499</v>
      </c>
      <c r="F6" s="277" t="s">
        <v>500</v>
      </c>
      <c r="G6" s="277" t="s">
        <v>501</v>
      </c>
      <c r="H6" s="277" t="s">
        <v>502</v>
      </c>
    </row>
    <row r="7" spans="1:11">
      <c r="A7" s="194" t="s">
        <v>56</v>
      </c>
      <c r="B7" s="194"/>
      <c r="C7" s="194" t="s">
        <v>503</v>
      </c>
      <c r="D7" s="194" t="s">
        <v>504</v>
      </c>
      <c r="E7" s="194" t="s">
        <v>505</v>
      </c>
      <c r="F7" s="194" t="s">
        <v>506</v>
      </c>
      <c r="G7" s="194" t="s">
        <v>507</v>
      </c>
      <c r="H7" s="194" t="s">
        <v>508</v>
      </c>
    </row>
    <row r="8" spans="1:11">
      <c r="A8" s="196" t="s">
        <v>58</v>
      </c>
      <c r="B8" s="196" t="s">
        <v>509</v>
      </c>
      <c r="C8" s="196" t="s">
        <v>510</v>
      </c>
      <c r="D8" s="196" t="s">
        <v>511</v>
      </c>
      <c r="E8" s="196" t="s">
        <v>512</v>
      </c>
      <c r="F8" s="196" t="s">
        <v>513</v>
      </c>
      <c r="G8" s="196" t="s">
        <v>514</v>
      </c>
      <c r="H8" s="196" t="s">
        <v>513</v>
      </c>
    </row>
    <row r="9" spans="1:11">
      <c r="A9" s="213">
        <v>1</v>
      </c>
      <c r="B9" s="318"/>
      <c r="C9" s="319"/>
      <c r="D9" s="320">
        <v>0</v>
      </c>
      <c r="E9" s="321">
        <v>0</v>
      </c>
      <c r="F9" s="321">
        <v>0</v>
      </c>
      <c r="G9" s="320">
        <v>0</v>
      </c>
      <c r="H9" s="281">
        <f>SUM(F9:G9)</f>
        <v>0</v>
      </c>
      <c r="K9" s="322"/>
    </row>
    <row r="10" spans="1:11">
      <c r="A10" s="213">
        <v>2</v>
      </c>
      <c r="B10" s="318"/>
      <c r="C10" s="323"/>
      <c r="D10" s="320">
        <v>0</v>
      </c>
      <c r="E10" s="321">
        <v>0</v>
      </c>
      <c r="F10" s="321">
        <v>0</v>
      </c>
      <c r="G10" s="320">
        <v>0</v>
      </c>
      <c r="H10" s="281">
        <f>SUM(F10:G10)</f>
        <v>0</v>
      </c>
      <c r="K10" s="322"/>
    </row>
    <row r="11" spans="1:11">
      <c r="A11" s="213">
        <v>3</v>
      </c>
      <c r="B11" s="318"/>
      <c r="C11" s="319"/>
      <c r="D11" s="320">
        <v>0</v>
      </c>
      <c r="E11" s="321">
        <v>0</v>
      </c>
      <c r="F11" s="321">
        <v>0</v>
      </c>
      <c r="G11" s="320">
        <v>0</v>
      </c>
      <c r="H11" s="281">
        <f t="shared" ref="H11:H43" si="0">SUM(F11:G11)</f>
        <v>0</v>
      </c>
      <c r="K11" s="322"/>
    </row>
    <row r="12" spans="1:11">
      <c r="A12" s="213">
        <v>4</v>
      </c>
      <c r="B12" s="318"/>
      <c r="C12" s="319"/>
      <c r="D12" s="320">
        <v>0</v>
      </c>
      <c r="E12" s="321">
        <v>0</v>
      </c>
      <c r="F12" s="321">
        <v>0</v>
      </c>
      <c r="G12" s="320">
        <v>0</v>
      </c>
      <c r="H12" s="281">
        <f t="shared" si="0"/>
        <v>0</v>
      </c>
      <c r="K12" s="322"/>
    </row>
    <row r="13" spans="1:11">
      <c r="A13" s="213">
        <v>5</v>
      </c>
      <c r="B13" s="318"/>
      <c r="C13" s="319"/>
      <c r="D13" s="320">
        <v>0</v>
      </c>
      <c r="E13" s="321">
        <v>0</v>
      </c>
      <c r="F13" s="321">
        <v>0</v>
      </c>
      <c r="G13" s="320">
        <v>0</v>
      </c>
      <c r="H13" s="281">
        <f t="shared" si="0"/>
        <v>0</v>
      </c>
      <c r="K13" s="322"/>
    </row>
    <row r="14" spans="1:11">
      <c r="A14" s="213">
        <v>6</v>
      </c>
      <c r="B14" s="318"/>
      <c r="C14" s="319"/>
      <c r="D14" s="320">
        <v>0</v>
      </c>
      <c r="E14" s="321">
        <v>0</v>
      </c>
      <c r="F14" s="321">
        <v>0</v>
      </c>
      <c r="G14" s="321">
        <v>0</v>
      </c>
      <c r="H14" s="281">
        <f t="shared" si="0"/>
        <v>0</v>
      </c>
      <c r="K14" s="322"/>
    </row>
    <row r="15" spans="1:11">
      <c r="A15" s="213">
        <v>7</v>
      </c>
      <c r="B15" s="318"/>
      <c r="C15" s="319"/>
      <c r="D15" s="320">
        <v>0</v>
      </c>
      <c r="E15" s="321">
        <v>0</v>
      </c>
      <c r="F15" s="321">
        <v>0</v>
      </c>
      <c r="G15" s="321">
        <v>0</v>
      </c>
      <c r="H15" s="281">
        <f t="shared" si="0"/>
        <v>0</v>
      </c>
      <c r="K15" s="322"/>
    </row>
    <row r="16" spans="1:11">
      <c r="A16" s="213">
        <v>8</v>
      </c>
      <c r="B16" s="318"/>
      <c r="C16" s="319"/>
      <c r="D16" s="320">
        <v>0</v>
      </c>
      <c r="E16" s="321">
        <v>0</v>
      </c>
      <c r="F16" s="321">
        <v>0</v>
      </c>
      <c r="G16" s="321">
        <v>0</v>
      </c>
      <c r="H16" s="281">
        <f t="shared" si="0"/>
        <v>0</v>
      </c>
      <c r="K16" s="322"/>
    </row>
    <row r="17" spans="1:11">
      <c r="A17" s="213">
        <v>9</v>
      </c>
      <c r="B17" s="318"/>
      <c r="C17" s="319"/>
      <c r="D17" s="320">
        <v>0</v>
      </c>
      <c r="E17" s="321">
        <v>0</v>
      </c>
      <c r="F17" s="321">
        <v>0</v>
      </c>
      <c r="G17" s="321">
        <v>0</v>
      </c>
      <c r="H17" s="281">
        <f t="shared" si="0"/>
        <v>0</v>
      </c>
      <c r="K17" s="322"/>
    </row>
    <row r="18" spans="1:11">
      <c r="A18" s="213">
        <v>10</v>
      </c>
      <c r="B18" s="318"/>
      <c r="C18" s="319"/>
      <c r="D18" s="320">
        <v>0</v>
      </c>
      <c r="E18" s="321">
        <v>0</v>
      </c>
      <c r="F18" s="321">
        <v>0</v>
      </c>
      <c r="G18" s="321">
        <v>0</v>
      </c>
      <c r="H18" s="281">
        <f t="shared" si="0"/>
        <v>0</v>
      </c>
      <c r="K18" s="322"/>
    </row>
    <row r="19" spans="1:11">
      <c r="A19" s="213">
        <v>11</v>
      </c>
      <c r="B19" s="318"/>
      <c r="C19" s="319"/>
      <c r="D19" s="320">
        <v>0</v>
      </c>
      <c r="E19" s="321">
        <v>0</v>
      </c>
      <c r="F19" s="321">
        <v>0</v>
      </c>
      <c r="G19" s="321">
        <v>0</v>
      </c>
      <c r="H19" s="281">
        <f t="shared" si="0"/>
        <v>0</v>
      </c>
      <c r="K19" s="322"/>
    </row>
    <row r="20" spans="1:11">
      <c r="A20" s="213">
        <v>12</v>
      </c>
      <c r="B20" s="318"/>
      <c r="C20" s="319"/>
      <c r="D20" s="320">
        <v>0</v>
      </c>
      <c r="E20" s="321">
        <v>0</v>
      </c>
      <c r="F20" s="321">
        <v>0</v>
      </c>
      <c r="G20" s="321">
        <v>0</v>
      </c>
      <c r="H20" s="281">
        <f t="shared" si="0"/>
        <v>0</v>
      </c>
      <c r="K20" s="322"/>
    </row>
    <row r="21" spans="1:11">
      <c r="A21" s="213">
        <v>13</v>
      </c>
      <c r="B21" s="318"/>
      <c r="C21" s="319"/>
      <c r="D21" s="320">
        <v>0</v>
      </c>
      <c r="E21" s="321">
        <v>0</v>
      </c>
      <c r="F21" s="321">
        <v>0</v>
      </c>
      <c r="G21" s="321">
        <v>0</v>
      </c>
      <c r="H21" s="281">
        <f t="shared" si="0"/>
        <v>0</v>
      </c>
      <c r="K21" s="322"/>
    </row>
    <row r="22" spans="1:11">
      <c r="A22" s="213">
        <v>14</v>
      </c>
      <c r="B22" s="318"/>
      <c r="C22" s="319"/>
      <c r="D22" s="320">
        <v>0</v>
      </c>
      <c r="E22" s="321">
        <v>0</v>
      </c>
      <c r="F22" s="321">
        <v>0</v>
      </c>
      <c r="G22" s="321">
        <v>0</v>
      </c>
      <c r="H22" s="281">
        <f t="shared" si="0"/>
        <v>0</v>
      </c>
      <c r="J22" s="324"/>
    </row>
    <row r="23" spans="1:11">
      <c r="A23" s="213">
        <v>15</v>
      </c>
      <c r="B23" s="318"/>
      <c r="C23" s="319"/>
      <c r="D23" s="320">
        <v>0</v>
      </c>
      <c r="E23" s="321">
        <v>0</v>
      </c>
      <c r="F23" s="321">
        <v>0</v>
      </c>
      <c r="G23" s="321">
        <v>0</v>
      </c>
      <c r="H23" s="281">
        <f t="shared" si="0"/>
        <v>0</v>
      </c>
    </row>
    <row r="24" spans="1:11">
      <c r="A24" s="213">
        <v>16</v>
      </c>
      <c r="B24" s="318"/>
      <c r="C24" s="319"/>
      <c r="D24" s="320">
        <v>0</v>
      </c>
      <c r="E24" s="321">
        <v>0</v>
      </c>
      <c r="F24" s="321">
        <v>0</v>
      </c>
      <c r="G24" s="321">
        <v>0</v>
      </c>
      <c r="H24" s="281">
        <f t="shared" si="0"/>
        <v>0</v>
      </c>
    </row>
    <row r="25" spans="1:11">
      <c r="A25" s="213">
        <v>17</v>
      </c>
      <c r="B25" s="318"/>
      <c r="C25" s="319"/>
      <c r="D25" s="320">
        <v>0</v>
      </c>
      <c r="E25" s="321">
        <v>0</v>
      </c>
      <c r="F25" s="321">
        <v>0</v>
      </c>
      <c r="G25" s="321">
        <v>0</v>
      </c>
      <c r="H25" s="281">
        <f t="shared" si="0"/>
        <v>0</v>
      </c>
    </row>
    <row r="26" spans="1:11">
      <c r="A26" s="213">
        <v>18</v>
      </c>
      <c r="B26" s="318"/>
      <c r="C26" s="319"/>
      <c r="D26" s="320">
        <v>0</v>
      </c>
      <c r="E26" s="321">
        <v>0</v>
      </c>
      <c r="F26" s="321">
        <v>0</v>
      </c>
      <c r="G26" s="321">
        <v>0</v>
      </c>
      <c r="H26" s="281">
        <f t="shared" si="0"/>
        <v>0</v>
      </c>
    </row>
    <row r="27" spans="1:11">
      <c r="A27" s="213">
        <v>19</v>
      </c>
      <c r="B27" s="318"/>
      <c r="C27" s="319"/>
      <c r="D27" s="320">
        <v>0</v>
      </c>
      <c r="E27" s="321">
        <v>0</v>
      </c>
      <c r="F27" s="321">
        <v>0</v>
      </c>
      <c r="G27" s="321">
        <v>0</v>
      </c>
      <c r="H27" s="281">
        <f t="shared" si="0"/>
        <v>0</v>
      </c>
    </row>
    <row r="28" spans="1:11">
      <c r="A28" s="213">
        <v>20</v>
      </c>
      <c r="B28" s="318"/>
      <c r="C28" s="319"/>
      <c r="D28" s="320">
        <v>0</v>
      </c>
      <c r="E28" s="321">
        <v>0</v>
      </c>
      <c r="F28" s="321">
        <v>0</v>
      </c>
      <c r="G28" s="321">
        <v>0</v>
      </c>
      <c r="H28" s="281">
        <f t="shared" si="0"/>
        <v>0</v>
      </c>
    </row>
    <row r="29" spans="1:11">
      <c r="A29" s="213">
        <v>21</v>
      </c>
      <c r="B29" s="318"/>
      <c r="C29" s="319"/>
      <c r="D29" s="320">
        <v>0</v>
      </c>
      <c r="E29" s="321">
        <v>0</v>
      </c>
      <c r="F29" s="321">
        <v>0</v>
      </c>
      <c r="G29" s="321">
        <v>0</v>
      </c>
      <c r="H29" s="281">
        <f t="shared" si="0"/>
        <v>0</v>
      </c>
    </row>
    <row r="30" spans="1:11">
      <c r="A30" s="213">
        <v>22</v>
      </c>
      <c r="B30" s="318"/>
      <c r="C30" s="319"/>
      <c r="D30" s="321">
        <v>0</v>
      </c>
      <c r="E30" s="321">
        <v>0</v>
      </c>
      <c r="F30" s="321">
        <v>0</v>
      </c>
      <c r="G30" s="321">
        <v>0</v>
      </c>
      <c r="H30" s="281">
        <f t="shared" si="0"/>
        <v>0</v>
      </c>
    </row>
    <row r="31" spans="1:11">
      <c r="A31" s="213">
        <v>23</v>
      </c>
      <c r="B31" s="318"/>
      <c r="C31" s="319"/>
      <c r="D31" s="321">
        <v>0</v>
      </c>
      <c r="E31" s="321">
        <v>0</v>
      </c>
      <c r="F31" s="321">
        <v>0</v>
      </c>
      <c r="G31" s="321">
        <v>0</v>
      </c>
      <c r="H31" s="281">
        <f t="shared" si="0"/>
        <v>0</v>
      </c>
    </row>
    <row r="32" spans="1:11">
      <c r="A32" s="213">
        <v>24</v>
      </c>
      <c r="B32" s="318"/>
      <c r="C32" s="319"/>
      <c r="D32" s="321">
        <v>0</v>
      </c>
      <c r="E32" s="321">
        <v>0</v>
      </c>
      <c r="F32" s="321">
        <v>0</v>
      </c>
      <c r="G32" s="321">
        <v>0</v>
      </c>
      <c r="H32" s="281">
        <f t="shared" si="0"/>
        <v>0</v>
      </c>
    </row>
    <row r="33" spans="1:8">
      <c r="A33" s="213">
        <v>25</v>
      </c>
      <c r="B33" s="318"/>
      <c r="C33" s="319"/>
      <c r="D33" s="321">
        <v>0</v>
      </c>
      <c r="E33" s="321">
        <v>0</v>
      </c>
      <c r="F33" s="321">
        <v>0</v>
      </c>
      <c r="G33" s="321">
        <v>0</v>
      </c>
      <c r="H33" s="281">
        <f t="shared" si="0"/>
        <v>0</v>
      </c>
    </row>
    <row r="34" spans="1:8">
      <c r="A34" s="213">
        <v>26</v>
      </c>
      <c r="B34" s="318"/>
      <c r="C34" s="319"/>
      <c r="D34" s="321">
        <v>0</v>
      </c>
      <c r="E34" s="321">
        <v>0</v>
      </c>
      <c r="F34" s="321">
        <v>0</v>
      </c>
      <c r="G34" s="321">
        <v>0</v>
      </c>
      <c r="H34" s="281">
        <f t="shared" si="0"/>
        <v>0</v>
      </c>
    </row>
    <row r="35" spans="1:8">
      <c r="A35" s="213">
        <v>27</v>
      </c>
      <c r="B35" s="318"/>
      <c r="C35" s="319"/>
      <c r="D35" s="321">
        <v>0</v>
      </c>
      <c r="E35" s="321">
        <v>0</v>
      </c>
      <c r="F35" s="321">
        <v>0</v>
      </c>
      <c r="G35" s="321">
        <v>0</v>
      </c>
      <c r="H35" s="281">
        <f t="shared" si="0"/>
        <v>0</v>
      </c>
    </row>
    <row r="36" spans="1:8">
      <c r="A36" s="213">
        <v>28</v>
      </c>
      <c r="B36" s="318"/>
      <c r="C36" s="319"/>
      <c r="D36" s="321">
        <v>0</v>
      </c>
      <c r="E36" s="321">
        <v>0</v>
      </c>
      <c r="F36" s="321">
        <v>0</v>
      </c>
      <c r="G36" s="321">
        <v>0</v>
      </c>
      <c r="H36" s="281">
        <f t="shared" si="0"/>
        <v>0</v>
      </c>
    </row>
    <row r="37" spans="1:8">
      <c r="A37" s="213">
        <v>29</v>
      </c>
      <c r="B37" s="318"/>
      <c r="C37" s="319"/>
      <c r="D37" s="321">
        <v>0</v>
      </c>
      <c r="E37" s="321">
        <v>0</v>
      </c>
      <c r="F37" s="321">
        <v>0</v>
      </c>
      <c r="G37" s="321">
        <v>0</v>
      </c>
      <c r="H37" s="281">
        <f t="shared" si="0"/>
        <v>0</v>
      </c>
    </row>
    <row r="38" spans="1:8">
      <c r="A38" s="213">
        <v>30</v>
      </c>
      <c r="B38" s="318"/>
      <c r="C38" s="319"/>
      <c r="D38" s="321">
        <v>0</v>
      </c>
      <c r="E38" s="321">
        <v>0</v>
      </c>
      <c r="F38" s="321">
        <v>0</v>
      </c>
      <c r="G38" s="321">
        <v>0</v>
      </c>
      <c r="H38" s="281">
        <f t="shared" si="0"/>
        <v>0</v>
      </c>
    </row>
    <row r="39" spans="1:8">
      <c r="A39" s="213">
        <v>31</v>
      </c>
      <c r="B39" s="318"/>
      <c r="C39" s="319"/>
      <c r="D39" s="321">
        <v>0</v>
      </c>
      <c r="E39" s="321">
        <v>0</v>
      </c>
      <c r="F39" s="321">
        <v>0</v>
      </c>
      <c r="G39" s="321">
        <v>0</v>
      </c>
      <c r="H39" s="281">
        <f t="shared" si="0"/>
        <v>0</v>
      </c>
    </row>
    <row r="40" spans="1:8">
      <c r="A40" s="213">
        <v>32</v>
      </c>
      <c r="B40" s="318"/>
      <c r="C40" s="319"/>
      <c r="D40" s="321">
        <v>0</v>
      </c>
      <c r="E40" s="321">
        <v>0</v>
      </c>
      <c r="F40" s="321">
        <v>0</v>
      </c>
      <c r="G40" s="321">
        <v>0</v>
      </c>
      <c r="H40" s="281">
        <f t="shared" si="0"/>
        <v>0</v>
      </c>
    </row>
    <row r="41" spans="1:8">
      <c r="A41" s="213">
        <v>33</v>
      </c>
      <c r="B41" s="318"/>
      <c r="C41" s="319"/>
      <c r="D41" s="321">
        <v>0</v>
      </c>
      <c r="E41" s="321">
        <v>0</v>
      </c>
      <c r="F41" s="321">
        <v>0</v>
      </c>
      <c r="G41" s="321">
        <v>0</v>
      </c>
      <c r="H41" s="281">
        <f t="shared" si="0"/>
        <v>0</v>
      </c>
    </row>
    <row r="42" spans="1:8">
      <c r="A42" s="213">
        <v>34</v>
      </c>
      <c r="B42" s="318"/>
      <c r="C42" s="319"/>
      <c r="D42" s="321">
        <v>0</v>
      </c>
      <c r="E42" s="321">
        <v>0</v>
      </c>
      <c r="F42" s="321">
        <v>0</v>
      </c>
      <c r="G42" s="321">
        <v>0</v>
      </c>
      <c r="H42" s="281">
        <f t="shared" si="0"/>
        <v>0</v>
      </c>
    </row>
    <row r="43" spans="1:8">
      <c r="A43" s="213">
        <v>35</v>
      </c>
      <c r="B43" s="318"/>
      <c r="C43" s="319"/>
      <c r="D43" s="320">
        <v>0</v>
      </c>
      <c r="E43" s="320">
        <v>0</v>
      </c>
      <c r="F43" s="320">
        <v>0</v>
      </c>
      <c r="G43" s="320">
        <v>0</v>
      </c>
      <c r="H43" s="281">
        <f t="shared" si="0"/>
        <v>0</v>
      </c>
    </row>
    <row r="44" spans="1:8">
      <c r="A44" s="211"/>
      <c r="B44" s="211"/>
      <c r="C44" s="213"/>
      <c r="D44" s="281">
        <f>SUM(D9:D43)</f>
        <v>0</v>
      </c>
      <c r="E44" s="281">
        <f>SUM(E9:E43)</f>
        <v>0</v>
      </c>
      <c r="F44" s="281">
        <f>SUM(F9:F43)</f>
        <v>0</v>
      </c>
      <c r="G44" s="281">
        <f>SUM(G9:G43)</f>
        <v>0</v>
      </c>
      <c r="H44" s="281">
        <f>SUM(H9:H43)</f>
        <v>0</v>
      </c>
    </row>
    <row r="45" spans="1:8">
      <c r="D45" s="208"/>
      <c r="E45" s="208"/>
      <c r="F45" s="208"/>
      <c r="G45" s="208"/>
      <c r="H45" s="208"/>
    </row>
    <row r="46" spans="1:8">
      <c r="B46" s="16"/>
      <c r="D46" s="208"/>
      <c r="E46" s="208"/>
      <c r="F46" s="208" t="s">
        <v>54</v>
      </c>
      <c r="G46" s="208" t="s">
        <v>54</v>
      </c>
      <c r="H46" s="208"/>
    </row>
    <row r="47" spans="1:8">
      <c r="D47" s="208"/>
      <c r="E47" s="208"/>
      <c r="F47" s="208"/>
      <c r="G47" s="208"/>
      <c r="H47" s="208"/>
    </row>
    <row r="48" spans="1:8">
      <c r="D48" s="208"/>
      <c r="E48" s="208"/>
      <c r="F48" s="208"/>
      <c r="G48" s="208"/>
      <c r="H48" s="208"/>
    </row>
  </sheetData>
  <mergeCells count="4">
    <mergeCell ref="A1:H1"/>
    <mergeCell ref="A2:H2"/>
    <mergeCell ref="A3:H3"/>
    <mergeCell ref="A5:H5"/>
  </mergeCells>
  <phoneticPr fontId="14"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opLeftCell="A19" workbookViewId="0">
      <selection activeCell="G10" sqref="G10"/>
    </sheetView>
  </sheetViews>
  <sheetFormatPr defaultRowHeight="12.75"/>
  <cols>
    <col min="2" max="2" width="25" customWidth="1"/>
    <col min="3" max="3" width="5.7109375" customWidth="1"/>
    <col min="4" max="7" width="12.7109375" customWidth="1"/>
    <col min="8" max="8" width="14" customWidth="1"/>
    <col min="9" max="9" width="11.28515625" bestFit="1" customWidth="1"/>
  </cols>
  <sheetData>
    <row r="1" spans="1:8" ht="15">
      <c r="A1" s="596" t="str">
        <f>'EIA412 BALANCE SHEET'!A1:F1</f>
        <v>BLUE EARTH</v>
      </c>
      <c r="B1" s="596"/>
      <c r="C1" s="596"/>
      <c r="D1" s="596"/>
      <c r="E1" s="596"/>
      <c r="F1" s="596"/>
      <c r="G1" s="596"/>
      <c r="H1" s="596"/>
    </row>
    <row r="2" spans="1:8" ht="15">
      <c r="A2" s="593" t="s">
        <v>282</v>
      </c>
      <c r="B2" s="593"/>
      <c r="C2" s="593"/>
      <c r="D2" s="593"/>
      <c r="E2" s="593"/>
      <c r="F2" s="593"/>
      <c r="G2" s="593"/>
      <c r="H2" s="593"/>
    </row>
    <row r="3" spans="1:8" ht="15">
      <c r="A3" s="596">
        <f>'EIA412 BALANCE SHEET'!A3:F3</f>
        <v>42004</v>
      </c>
      <c r="B3" s="596"/>
      <c r="C3" s="596"/>
      <c r="D3" s="596"/>
      <c r="E3" s="596"/>
      <c r="F3" s="596"/>
      <c r="G3" s="596"/>
      <c r="H3" s="596"/>
    </row>
    <row r="4" spans="1:8">
      <c r="A4" s="72"/>
    </row>
    <row r="5" spans="1:8">
      <c r="A5" s="602" t="s">
        <v>515</v>
      </c>
      <c r="B5" s="602"/>
      <c r="C5" s="602"/>
      <c r="D5" s="602"/>
      <c r="E5" s="602"/>
      <c r="F5" s="602"/>
      <c r="G5" s="602"/>
      <c r="H5" s="602"/>
    </row>
    <row r="6" spans="1:8">
      <c r="A6" s="277"/>
      <c r="B6" s="277"/>
      <c r="C6" s="277"/>
      <c r="D6" s="277" t="s">
        <v>498</v>
      </c>
      <c r="E6" s="277" t="s">
        <v>499</v>
      </c>
      <c r="F6" s="277" t="s">
        <v>500</v>
      </c>
      <c r="G6" s="277" t="s">
        <v>501</v>
      </c>
      <c r="H6" s="277" t="s">
        <v>502</v>
      </c>
    </row>
    <row r="7" spans="1:8">
      <c r="A7" s="194" t="s">
        <v>56</v>
      </c>
      <c r="B7" s="194"/>
      <c r="C7" s="194" t="s">
        <v>503</v>
      </c>
      <c r="D7" s="194" t="s">
        <v>516</v>
      </c>
      <c r="E7" s="194" t="s">
        <v>505</v>
      </c>
      <c r="F7" s="194" t="s">
        <v>506</v>
      </c>
      <c r="G7" s="194" t="s">
        <v>507</v>
      </c>
      <c r="H7" s="194" t="s">
        <v>508</v>
      </c>
    </row>
    <row r="8" spans="1:8">
      <c r="A8" s="196" t="s">
        <v>58</v>
      </c>
      <c r="B8" s="196" t="s">
        <v>517</v>
      </c>
      <c r="C8" s="196" t="s">
        <v>510</v>
      </c>
      <c r="D8" s="196" t="s">
        <v>511</v>
      </c>
      <c r="E8" s="196" t="s">
        <v>512</v>
      </c>
      <c r="F8" s="196" t="s">
        <v>513</v>
      </c>
      <c r="G8" s="196" t="s">
        <v>514</v>
      </c>
      <c r="H8" s="196" t="s">
        <v>513</v>
      </c>
    </row>
    <row r="9" spans="1:8">
      <c r="A9" s="213">
        <v>1</v>
      </c>
      <c r="B9" s="318" t="s">
        <v>21</v>
      </c>
      <c r="C9" s="319" t="s">
        <v>518</v>
      </c>
      <c r="D9" s="321">
        <v>0</v>
      </c>
      <c r="E9" s="321">
        <v>0</v>
      </c>
      <c r="F9" s="321">
        <v>0</v>
      </c>
      <c r="G9" s="321">
        <f>2088239</f>
        <v>2088239</v>
      </c>
      <c r="H9" s="274">
        <f>SUM(F9:G9)</f>
        <v>2088239</v>
      </c>
    </row>
    <row r="10" spans="1:8">
      <c r="A10" s="213">
        <v>2</v>
      </c>
      <c r="B10" s="318"/>
      <c r="C10" s="319"/>
      <c r="D10" s="321">
        <v>0</v>
      </c>
      <c r="E10" s="321">
        <v>0</v>
      </c>
      <c r="F10" s="321">
        <v>0</v>
      </c>
      <c r="G10" s="321">
        <v>0</v>
      </c>
      <c r="H10" s="274">
        <f>SUM(F10:G10)</f>
        <v>0</v>
      </c>
    </row>
    <row r="11" spans="1:8">
      <c r="A11" s="213">
        <v>3</v>
      </c>
      <c r="B11" s="318"/>
      <c r="C11" s="319"/>
      <c r="D11" s="321">
        <v>0</v>
      </c>
      <c r="E11" s="321">
        <v>0</v>
      </c>
      <c r="F11" s="321">
        <v>0</v>
      </c>
      <c r="G11" s="321">
        <v>0</v>
      </c>
      <c r="H11" s="274">
        <f t="shared" ref="H11:H43" si="0">SUM(F11:G11)</f>
        <v>0</v>
      </c>
    </row>
    <row r="12" spans="1:8">
      <c r="A12" s="213">
        <v>4</v>
      </c>
      <c r="B12" s="318"/>
      <c r="C12" s="319"/>
      <c r="D12" s="321">
        <v>0</v>
      </c>
      <c r="E12" s="321">
        <v>0</v>
      </c>
      <c r="F12" s="321">
        <v>0</v>
      </c>
      <c r="G12" s="321">
        <v>0</v>
      </c>
      <c r="H12" s="274">
        <f t="shared" si="0"/>
        <v>0</v>
      </c>
    </row>
    <row r="13" spans="1:8">
      <c r="A13" s="213">
        <v>5</v>
      </c>
      <c r="B13" s="318"/>
      <c r="C13" s="319"/>
      <c r="D13" s="321">
        <v>0</v>
      </c>
      <c r="E13" s="321">
        <v>0</v>
      </c>
      <c r="F13" s="321">
        <v>0</v>
      </c>
      <c r="G13" s="321">
        <v>0</v>
      </c>
      <c r="H13" s="274">
        <f t="shared" si="0"/>
        <v>0</v>
      </c>
    </row>
    <row r="14" spans="1:8">
      <c r="A14" s="213">
        <v>6</v>
      </c>
      <c r="B14" s="318"/>
      <c r="C14" s="319"/>
      <c r="D14" s="321">
        <v>0</v>
      </c>
      <c r="E14" s="321">
        <v>0</v>
      </c>
      <c r="F14" s="321">
        <v>0</v>
      </c>
      <c r="G14" s="321">
        <v>0</v>
      </c>
      <c r="H14" s="274">
        <f t="shared" si="0"/>
        <v>0</v>
      </c>
    </row>
    <row r="15" spans="1:8">
      <c r="A15" s="213">
        <v>7</v>
      </c>
      <c r="B15" s="318"/>
      <c r="C15" s="319"/>
      <c r="D15" s="321">
        <v>0</v>
      </c>
      <c r="E15" s="321">
        <v>0</v>
      </c>
      <c r="F15" s="321">
        <v>0</v>
      </c>
      <c r="G15" s="321">
        <v>0</v>
      </c>
      <c r="H15" s="274">
        <f t="shared" si="0"/>
        <v>0</v>
      </c>
    </row>
    <row r="16" spans="1:8">
      <c r="A16" s="213">
        <v>8</v>
      </c>
      <c r="B16" s="318"/>
      <c r="C16" s="319"/>
      <c r="D16" s="321">
        <v>0</v>
      </c>
      <c r="E16" s="321">
        <v>0</v>
      </c>
      <c r="F16" s="321">
        <v>0</v>
      </c>
      <c r="G16" s="321">
        <v>0</v>
      </c>
      <c r="H16" s="274">
        <f t="shared" si="0"/>
        <v>0</v>
      </c>
    </row>
    <row r="17" spans="1:8">
      <c r="A17" s="213">
        <v>9</v>
      </c>
      <c r="B17" s="325"/>
      <c r="C17" s="326"/>
      <c r="D17" s="321">
        <v>0</v>
      </c>
      <c r="E17" s="321">
        <v>0</v>
      </c>
      <c r="F17" s="321">
        <v>0</v>
      </c>
      <c r="G17" s="321">
        <v>0</v>
      </c>
      <c r="H17" s="274">
        <f t="shared" si="0"/>
        <v>0</v>
      </c>
    </row>
    <row r="18" spans="1:8">
      <c r="A18" s="213">
        <v>10</v>
      </c>
      <c r="B18" s="318"/>
      <c r="C18" s="319"/>
      <c r="D18" s="321">
        <v>0</v>
      </c>
      <c r="E18" s="321">
        <v>0</v>
      </c>
      <c r="F18" s="321">
        <v>0</v>
      </c>
      <c r="G18" s="321">
        <v>0</v>
      </c>
      <c r="H18" s="274">
        <f t="shared" si="0"/>
        <v>0</v>
      </c>
    </row>
    <row r="19" spans="1:8">
      <c r="A19" s="213">
        <v>11</v>
      </c>
      <c r="B19" s="318"/>
      <c r="C19" s="319"/>
      <c r="D19" s="279">
        <v>0</v>
      </c>
      <c r="E19" s="321">
        <v>0</v>
      </c>
      <c r="F19" s="279">
        <v>0</v>
      </c>
      <c r="G19" s="279">
        <v>0</v>
      </c>
      <c r="H19" s="281">
        <f t="shared" si="0"/>
        <v>0</v>
      </c>
    </row>
    <row r="20" spans="1:8">
      <c r="A20" s="213">
        <v>12</v>
      </c>
      <c r="B20" s="318"/>
      <c r="C20" s="319"/>
      <c r="D20" s="279">
        <v>0</v>
      </c>
      <c r="E20" s="321">
        <v>0</v>
      </c>
      <c r="F20" s="279">
        <v>0</v>
      </c>
      <c r="G20" s="279">
        <v>0</v>
      </c>
      <c r="H20" s="281">
        <f t="shared" si="0"/>
        <v>0</v>
      </c>
    </row>
    <row r="21" spans="1:8">
      <c r="A21" s="213">
        <v>13</v>
      </c>
      <c r="B21" s="318"/>
      <c r="C21" s="319"/>
      <c r="D21" s="279">
        <v>0</v>
      </c>
      <c r="E21" s="321">
        <v>0</v>
      </c>
      <c r="F21" s="279">
        <v>0</v>
      </c>
      <c r="G21" s="279">
        <v>0</v>
      </c>
      <c r="H21" s="281">
        <f t="shared" si="0"/>
        <v>0</v>
      </c>
    </row>
    <row r="22" spans="1:8">
      <c r="A22" s="213">
        <v>14</v>
      </c>
      <c r="B22" s="318"/>
      <c r="C22" s="319"/>
      <c r="D22" s="279">
        <v>0</v>
      </c>
      <c r="E22" s="321">
        <v>0</v>
      </c>
      <c r="F22" s="279">
        <v>0</v>
      </c>
      <c r="G22" s="279">
        <v>0</v>
      </c>
      <c r="H22" s="281">
        <f t="shared" si="0"/>
        <v>0</v>
      </c>
    </row>
    <row r="23" spans="1:8">
      <c r="A23" s="213">
        <v>15</v>
      </c>
      <c r="B23" s="318"/>
      <c r="C23" s="319"/>
      <c r="D23" s="279">
        <v>0</v>
      </c>
      <c r="E23" s="321">
        <v>0</v>
      </c>
      <c r="F23" s="279">
        <v>0</v>
      </c>
      <c r="G23" s="279">
        <v>0</v>
      </c>
      <c r="H23" s="281">
        <f t="shared" si="0"/>
        <v>0</v>
      </c>
    </row>
    <row r="24" spans="1:8">
      <c r="A24" s="213">
        <v>16</v>
      </c>
      <c r="B24" s="318"/>
      <c r="C24" s="319"/>
      <c r="D24" s="279">
        <v>0</v>
      </c>
      <c r="E24" s="321">
        <v>0</v>
      </c>
      <c r="F24" s="279">
        <v>0</v>
      </c>
      <c r="G24" s="279">
        <v>0</v>
      </c>
      <c r="H24" s="281">
        <f t="shared" si="0"/>
        <v>0</v>
      </c>
    </row>
    <row r="25" spans="1:8">
      <c r="A25" s="213">
        <v>17</v>
      </c>
      <c r="B25" s="318"/>
      <c r="C25" s="319"/>
      <c r="D25" s="279">
        <v>0</v>
      </c>
      <c r="E25" s="321">
        <v>0</v>
      </c>
      <c r="F25" s="279">
        <v>0</v>
      </c>
      <c r="G25" s="279">
        <v>0</v>
      </c>
      <c r="H25" s="281">
        <f>SUM(G25:G25)</f>
        <v>0</v>
      </c>
    </row>
    <row r="26" spans="1:8">
      <c r="A26" s="213">
        <v>18</v>
      </c>
      <c r="B26" s="318"/>
      <c r="C26" s="319"/>
      <c r="D26" s="279">
        <v>0</v>
      </c>
      <c r="E26" s="321">
        <v>0</v>
      </c>
      <c r="F26" s="279">
        <v>0</v>
      </c>
      <c r="G26" s="279">
        <v>0</v>
      </c>
      <c r="H26" s="281">
        <f>SUM(G26:G26)</f>
        <v>0</v>
      </c>
    </row>
    <row r="27" spans="1:8">
      <c r="A27" s="213">
        <v>19</v>
      </c>
      <c r="B27" s="318"/>
      <c r="C27" s="319"/>
      <c r="D27" s="279">
        <v>0</v>
      </c>
      <c r="E27" s="279">
        <v>0</v>
      </c>
      <c r="F27" s="279">
        <v>0</v>
      </c>
      <c r="G27" s="279">
        <v>0</v>
      </c>
      <c r="H27" s="281">
        <f t="shared" si="0"/>
        <v>0</v>
      </c>
    </row>
    <row r="28" spans="1:8">
      <c r="A28" s="213">
        <v>20</v>
      </c>
      <c r="B28" s="318"/>
      <c r="C28" s="319"/>
      <c r="D28" s="279">
        <v>0</v>
      </c>
      <c r="E28" s="279">
        <v>0</v>
      </c>
      <c r="F28" s="279">
        <v>0</v>
      </c>
      <c r="G28" s="279">
        <v>0</v>
      </c>
      <c r="H28" s="281">
        <f t="shared" si="0"/>
        <v>0</v>
      </c>
    </row>
    <row r="29" spans="1:8">
      <c r="A29" s="213">
        <v>21</v>
      </c>
      <c r="B29" s="318"/>
      <c r="C29" s="319"/>
      <c r="D29" s="279">
        <v>0</v>
      </c>
      <c r="E29" s="279">
        <v>0</v>
      </c>
      <c r="F29" s="279">
        <v>0</v>
      </c>
      <c r="G29" s="279">
        <v>0</v>
      </c>
      <c r="H29" s="281">
        <f t="shared" si="0"/>
        <v>0</v>
      </c>
    </row>
    <row r="30" spans="1:8">
      <c r="A30" s="213">
        <v>22</v>
      </c>
      <c r="B30" s="318"/>
      <c r="C30" s="319"/>
      <c r="D30" s="279">
        <v>0</v>
      </c>
      <c r="E30" s="279">
        <v>0</v>
      </c>
      <c r="F30" s="279">
        <v>0</v>
      </c>
      <c r="G30" s="279">
        <v>0</v>
      </c>
      <c r="H30" s="281">
        <f t="shared" si="0"/>
        <v>0</v>
      </c>
    </row>
    <row r="31" spans="1:8">
      <c r="A31" s="213">
        <v>23</v>
      </c>
      <c r="B31" s="318"/>
      <c r="C31" s="319"/>
      <c r="D31" s="279">
        <v>0</v>
      </c>
      <c r="E31" s="279">
        <v>0</v>
      </c>
      <c r="F31" s="279">
        <v>0</v>
      </c>
      <c r="G31" s="279">
        <v>0</v>
      </c>
      <c r="H31" s="281">
        <f t="shared" si="0"/>
        <v>0</v>
      </c>
    </row>
    <row r="32" spans="1:8">
      <c r="A32" s="213">
        <v>24</v>
      </c>
      <c r="B32" s="318"/>
      <c r="C32" s="319"/>
      <c r="D32" s="279">
        <v>0</v>
      </c>
      <c r="E32" s="279">
        <v>0</v>
      </c>
      <c r="F32" s="279">
        <v>0</v>
      </c>
      <c r="G32" s="279">
        <v>0</v>
      </c>
      <c r="H32" s="281">
        <f t="shared" si="0"/>
        <v>0</v>
      </c>
    </row>
    <row r="33" spans="1:8">
      <c r="A33" s="213">
        <v>25</v>
      </c>
      <c r="B33" s="318"/>
      <c r="C33" s="319"/>
      <c r="D33" s="279">
        <v>0</v>
      </c>
      <c r="E33" s="279">
        <v>0</v>
      </c>
      <c r="F33" s="279">
        <v>0</v>
      </c>
      <c r="G33" s="279">
        <v>0</v>
      </c>
      <c r="H33" s="281">
        <f t="shared" si="0"/>
        <v>0</v>
      </c>
    </row>
    <row r="34" spans="1:8">
      <c r="A34" s="213">
        <v>26</v>
      </c>
      <c r="B34" s="318"/>
      <c r="C34" s="319"/>
      <c r="D34" s="279">
        <v>0</v>
      </c>
      <c r="E34" s="279">
        <v>0</v>
      </c>
      <c r="F34" s="279">
        <v>0</v>
      </c>
      <c r="G34" s="279">
        <v>0</v>
      </c>
      <c r="H34" s="281">
        <f t="shared" si="0"/>
        <v>0</v>
      </c>
    </row>
    <row r="35" spans="1:8">
      <c r="A35" s="213">
        <v>27</v>
      </c>
      <c r="B35" s="318"/>
      <c r="C35" s="319"/>
      <c r="D35" s="279">
        <v>0</v>
      </c>
      <c r="E35" s="279">
        <v>0</v>
      </c>
      <c r="F35" s="279">
        <v>0</v>
      </c>
      <c r="G35" s="279">
        <v>0</v>
      </c>
      <c r="H35" s="281">
        <f t="shared" si="0"/>
        <v>0</v>
      </c>
    </row>
    <row r="36" spans="1:8">
      <c r="A36" s="213">
        <v>28</v>
      </c>
      <c r="B36" s="318"/>
      <c r="C36" s="319"/>
      <c r="D36" s="279">
        <v>0</v>
      </c>
      <c r="E36" s="279">
        <v>0</v>
      </c>
      <c r="F36" s="279">
        <v>0</v>
      </c>
      <c r="G36" s="279">
        <v>0</v>
      </c>
      <c r="H36" s="281">
        <f t="shared" si="0"/>
        <v>0</v>
      </c>
    </row>
    <row r="37" spans="1:8">
      <c r="A37" s="213">
        <v>29</v>
      </c>
      <c r="B37" s="318"/>
      <c r="C37" s="319"/>
      <c r="D37" s="279">
        <v>0</v>
      </c>
      <c r="E37" s="279">
        <v>0</v>
      </c>
      <c r="F37" s="279">
        <v>0</v>
      </c>
      <c r="G37" s="279">
        <v>0</v>
      </c>
      <c r="H37" s="281">
        <f t="shared" si="0"/>
        <v>0</v>
      </c>
    </row>
    <row r="38" spans="1:8">
      <c r="A38" s="213">
        <v>30</v>
      </c>
      <c r="B38" s="318"/>
      <c r="C38" s="319"/>
      <c r="D38" s="279">
        <v>0</v>
      </c>
      <c r="E38" s="279">
        <v>0</v>
      </c>
      <c r="F38" s="279">
        <v>0</v>
      </c>
      <c r="G38" s="279">
        <v>0</v>
      </c>
      <c r="H38" s="281">
        <f t="shared" si="0"/>
        <v>0</v>
      </c>
    </row>
    <row r="39" spans="1:8">
      <c r="A39" s="213">
        <v>31</v>
      </c>
      <c r="B39" s="318"/>
      <c r="C39" s="319"/>
      <c r="D39" s="279">
        <v>0</v>
      </c>
      <c r="E39" s="279">
        <v>0</v>
      </c>
      <c r="F39" s="279">
        <v>0</v>
      </c>
      <c r="G39" s="279">
        <v>0</v>
      </c>
      <c r="H39" s="281">
        <f t="shared" si="0"/>
        <v>0</v>
      </c>
    </row>
    <row r="40" spans="1:8">
      <c r="A40" s="213">
        <v>32</v>
      </c>
      <c r="B40" s="318"/>
      <c r="C40" s="319"/>
      <c r="D40" s="279">
        <v>0</v>
      </c>
      <c r="E40" s="279">
        <v>0</v>
      </c>
      <c r="F40" s="279">
        <v>0</v>
      </c>
      <c r="G40" s="279">
        <v>0</v>
      </c>
      <c r="H40" s="281">
        <f t="shared" si="0"/>
        <v>0</v>
      </c>
    </row>
    <row r="41" spans="1:8">
      <c r="A41" s="213">
        <v>33</v>
      </c>
      <c r="B41" s="318"/>
      <c r="C41" s="319"/>
      <c r="D41" s="279">
        <v>0</v>
      </c>
      <c r="E41" s="279">
        <v>0</v>
      </c>
      <c r="F41" s="279">
        <v>0</v>
      </c>
      <c r="G41" s="279">
        <v>0</v>
      </c>
      <c r="H41" s="281">
        <f t="shared" si="0"/>
        <v>0</v>
      </c>
    </row>
    <row r="42" spans="1:8">
      <c r="A42" s="213">
        <v>34</v>
      </c>
      <c r="B42" s="318"/>
      <c r="C42" s="319"/>
      <c r="D42" s="279">
        <v>0</v>
      </c>
      <c r="E42" s="279">
        <v>0</v>
      </c>
      <c r="F42" s="279">
        <v>0</v>
      </c>
      <c r="G42" s="279">
        <v>0</v>
      </c>
      <c r="H42" s="281">
        <f t="shared" si="0"/>
        <v>0</v>
      </c>
    </row>
    <row r="43" spans="1:8">
      <c r="A43" s="213">
        <v>35</v>
      </c>
      <c r="B43" s="318"/>
      <c r="C43" s="319"/>
      <c r="D43" s="279">
        <v>0</v>
      </c>
      <c r="E43" s="279">
        <v>0</v>
      </c>
      <c r="F43" s="279">
        <v>0</v>
      </c>
      <c r="G43" s="279">
        <v>0</v>
      </c>
      <c r="H43" s="281">
        <f t="shared" si="0"/>
        <v>0</v>
      </c>
    </row>
    <row r="44" spans="1:8">
      <c r="A44" s="211"/>
      <c r="B44" s="211"/>
      <c r="C44" s="213"/>
      <c r="D44" s="281">
        <f>SUM(D9:D43)</f>
        <v>0</v>
      </c>
      <c r="E44" s="281">
        <f>SUM(E9:E43)</f>
        <v>0</v>
      </c>
      <c r="F44" s="281">
        <f>SUM(F9:F43)</f>
        <v>0</v>
      </c>
      <c r="G44" s="281">
        <f>SUM(G9:G43)</f>
        <v>2088239</v>
      </c>
      <c r="H44" s="281">
        <f>SUM(H9:H43)</f>
        <v>2088239</v>
      </c>
    </row>
    <row r="45" spans="1:8">
      <c r="D45" s="208"/>
      <c r="E45" s="208"/>
      <c r="F45" s="208"/>
      <c r="G45" s="208"/>
      <c r="H45" s="208"/>
    </row>
    <row r="46" spans="1:8">
      <c r="D46" s="208"/>
      <c r="E46" s="208"/>
      <c r="F46" s="208"/>
      <c r="G46" s="208"/>
      <c r="H46" s="208" t="s">
        <v>54</v>
      </c>
    </row>
    <row r="57" spans="8:9">
      <c r="I57" s="327"/>
    </row>
    <row r="64" spans="8:9">
      <c r="H64" s="328"/>
    </row>
    <row r="65" spans="8:8">
      <c r="H65" s="328"/>
    </row>
  </sheetData>
  <mergeCells count="4">
    <mergeCell ref="A1:H1"/>
    <mergeCell ref="A2:H2"/>
    <mergeCell ref="A3:H3"/>
    <mergeCell ref="A5:H5"/>
  </mergeCells>
  <phoneticPr fontId="14"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D26" sqref="D26"/>
    </sheetView>
  </sheetViews>
  <sheetFormatPr defaultRowHeight="12.75"/>
  <sheetData>
    <row r="1" spans="1:8" ht="15">
      <c r="A1" s="596" t="str">
        <f>'EIA412 BALANCE SHEET'!A1:F1</f>
        <v>BLUE EARTH</v>
      </c>
      <c r="B1" s="596"/>
      <c r="C1" s="596"/>
      <c r="D1" s="596"/>
      <c r="E1" s="596"/>
      <c r="F1" s="596"/>
      <c r="G1" s="596"/>
      <c r="H1" s="596"/>
    </row>
    <row r="2" spans="1:8" ht="15">
      <c r="A2" s="593" t="s">
        <v>282</v>
      </c>
      <c r="B2" s="593"/>
      <c r="C2" s="593"/>
      <c r="D2" s="593"/>
      <c r="E2" s="593"/>
      <c r="F2" s="593"/>
      <c r="G2" s="593"/>
      <c r="H2" s="593"/>
    </row>
    <row r="3" spans="1:8" ht="15.75" thickBot="1">
      <c r="A3" s="596">
        <f>'EIA412 BALANCE SHEET'!A3:F3</f>
        <v>42004</v>
      </c>
      <c r="B3" s="596"/>
      <c r="C3" s="596"/>
      <c r="D3" s="596"/>
      <c r="E3" s="596"/>
      <c r="F3" s="596"/>
      <c r="G3" s="596"/>
      <c r="H3" s="596"/>
    </row>
    <row r="4" spans="1:8" ht="13.5" thickTop="1">
      <c r="A4" s="329"/>
      <c r="B4" s="329"/>
      <c r="C4" s="329"/>
      <c r="D4" s="329"/>
      <c r="E4" s="329"/>
      <c r="F4" s="329"/>
      <c r="G4" s="329"/>
      <c r="H4" s="330"/>
    </row>
    <row r="5" spans="1:8">
      <c r="H5" s="58"/>
    </row>
    <row r="6" spans="1:8">
      <c r="A6" s="71" t="s">
        <v>519</v>
      </c>
      <c r="H6" s="58"/>
    </row>
    <row r="7" spans="1:8">
      <c r="A7" s="482" t="s">
        <v>721</v>
      </c>
      <c r="B7" s="482"/>
      <c r="C7" s="482"/>
      <c r="D7" s="482"/>
      <c r="E7" s="482"/>
      <c r="F7" s="482"/>
      <c r="G7" s="482"/>
      <c r="H7" s="482"/>
    </row>
    <row r="8" spans="1:8">
      <c r="A8" s="482" t="s">
        <v>731</v>
      </c>
      <c r="B8" s="482"/>
      <c r="C8" s="482"/>
      <c r="D8" s="482"/>
      <c r="E8" s="482"/>
      <c r="F8" s="482"/>
      <c r="G8" s="482"/>
      <c r="H8" s="482"/>
    </row>
    <row r="9" spans="1:8">
      <c r="A9" s="468"/>
      <c r="B9" s="468"/>
      <c r="C9" s="468"/>
      <c r="D9" s="468"/>
      <c r="E9" s="468"/>
      <c r="F9" s="468"/>
      <c r="G9" s="468"/>
      <c r="H9" s="468"/>
    </row>
    <row r="10" spans="1:8">
      <c r="A10" s="482" t="s">
        <v>722</v>
      </c>
      <c r="B10" s="482"/>
      <c r="C10" s="482"/>
      <c r="D10" s="482"/>
      <c r="E10" s="482"/>
      <c r="F10" s="482"/>
      <c r="G10" s="482"/>
      <c r="H10" s="482"/>
    </row>
    <row r="11" spans="1:8">
      <c r="A11" s="482" t="s">
        <v>716</v>
      </c>
      <c r="B11" s="482"/>
      <c r="C11" s="482"/>
      <c r="D11" s="482"/>
      <c r="E11" s="482"/>
      <c r="F11" s="482"/>
      <c r="G11" s="482"/>
      <c r="H11" s="482"/>
    </row>
    <row r="12" spans="1:8">
      <c r="A12" s="482" t="s">
        <v>717</v>
      </c>
      <c r="B12" s="482"/>
      <c r="C12" s="482"/>
      <c r="D12" s="482"/>
      <c r="E12" s="482"/>
      <c r="F12" s="482"/>
      <c r="G12" s="482"/>
      <c r="H12" s="482"/>
    </row>
    <row r="13" spans="1:8">
      <c r="A13" s="468"/>
      <c r="B13" s="468"/>
      <c r="C13" s="468"/>
      <c r="D13" s="468"/>
      <c r="E13" s="468"/>
      <c r="F13" s="468"/>
      <c r="G13" s="468"/>
      <c r="H13" s="468"/>
    </row>
    <row r="14" spans="1:8">
      <c r="A14" s="482" t="s">
        <v>732</v>
      </c>
      <c r="B14" s="482"/>
      <c r="C14" s="482"/>
      <c r="D14" s="482"/>
      <c r="E14" s="482"/>
      <c r="F14" s="482"/>
      <c r="G14" s="482"/>
      <c r="H14" s="482"/>
    </row>
    <row r="15" spans="1:8">
      <c r="A15" s="468"/>
      <c r="B15" s="468"/>
      <c r="C15" s="468"/>
      <c r="D15" s="468"/>
      <c r="E15" s="468"/>
      <c r="F15" s="468"/>
      <c r="G15" s="468"/>
      <c r="H15" s="468"/>
    </row>
    <row r="16" spans="1:8">
      <c r="A16" s="482" t="s">
        <v>718</v>
      </c>
      <c r="B16" s="468"/>
      <c r="C16" s="468"/>
      <c r="D16" s="468"/>
      <c r="E16" s="468"/>
      <c r="F16" s="468"/>
      <c r="G16" s="468"/>
      <c r="H16" s="468"/>
    </row>
    <row r="17" spans="1:8">
      <c r="A17" s="468"/>
      <c r="B17" s="468"/>
      <c r="C17" s="468"/>
      <c r="D17" s="468"/>
      <c r="E17" s="468"/>
      <c r="F17" s="468"/>
      <c r="G17" s="468"/>
      <c r="H17" s="468"/>
    </row>
    <row r="18" spans="1:8">
      <c r="A18" s="482" t="s">
        <v>719</v>
      </c>
      <c r="B18" s="468"/>
      <c r="C18" s="468"/>
      <c r="D18" s="468"/>
      <c r="E18" s="468"/>
      <c r="F18" s="468"/>
      <c r="G18" s="468"/>
      <c r="H18" s="468"/>
    </row>
    <row r="19" spans="1:8">
      <c r="A19" s="482" t="s">
        <v>723</v>
      </c>
      <c r="B19" s="468"/>
      <c r="C19" s="468"/>
      <c r="D19" s="468"/>
      <c r="E19" s="468"/>
      <c r="F19" s="468"/>
      <c r="G19" s="468"/>
      <c r="H19" s="468"/>
    </row>
    <row r="20" spans="1:8">
      <c r="A20" s="482" t="s">
        <v>720</v>
      </c>
      <c r="B20" s="468"/>
      <c r="C20" s="468"/>
      <c r="D20" s="468"/>
      <c r="E20" s="468"/>
      <c r="F20" s="468"/>
      <c r="G20" s="468"/>
      <c r="H20" s="468"/>
    </row>
    <row r="21" spans="1:8">
      <c r="A21" s="482" t="s">
        <v>715</v>
      </c>
      <c r="B21" s="468"/>
      <c r="C21" s="468"/>
      <c r="D21" s="468"/>
      <c r="E21" s="468"/>
      <c r="F21" s="468"/>
      <c r="G21" s="468"/>
      <c r="H21" s="468"/>
    </row>
  </sheetData>
  <mergeCells count="3">
    <mergeCell ref="A1:H1"/>
    <mergeCell ref="A2:H2"/>
    <mergeCell ref="A3:H3"/>
  </mergeCell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7</vt:i4>
      </vt:variant>
    </vt:vector>
  </HeadingPairs>
  <TitlesOfParts>
    <vt:vector size="27" baseType="lpstr">
      <vt:lpstr>Attachment O</vt:lpstr>
      <vt:lpstr>EIA412 BALANCE SHEET</vt:lpstr>
      <vt:lpstr>EIA412 INCOME STATEMENT</vt:lpstr>
      <vt:lpstr>EIA412 ELECTRIC PLANT</vt:lpstr>
      <vt:lpstr>EIA412 TAXES</vt:lpstr>
      <vt:lpstr>EIA412 OP &amp; MAINT</vt:lpstr>
      <vt:lpstr>EIA412 SALES FOR RESALE</vt:lpstr>
      <vt:lpstr>EIA412 PURCHASED POWER</vt:lpstr>
      <vt:lpstr>EIA412 NOTES</vt:lpstr>
      <vt:lpstr>BES1_Debt Summary</vt:lpstr>
      <vt:lpstr>BES2_Debt Detail</vt:lpstr>
      <vt:lpstr>BES3_ Trans O&amp;M</vt:lpstr>
      <vt:lpstr>BES4_W&amp;S Allocator</vt:lpstr>
      <vt:lpstr>BES5_Depreciation</vt:lpstr>
      <vt:lpstr>BES6_13 CP Load Data</vt:lpstr>
      <vt:lpstr>BES8_FIXED ASSET SUMMARY</vt:lpstr>
      <vt:lpstr>BES12_A&amp;G Detail</vt:lpstr>
      <vt:lpstr>BES13_Payment in Lieu of Taxes</vt:lpstr>
      <vt:lpstr>TRANS TARIFF REV &amp; EXP</vt:lpstr>
      <vt:lpstr>Sheet1</vt:lpstr>
      <vt:lpstr>'BES12_A&amp;G Detail'!Print_Area</vt:lpstr>
      <vt:lpstr>'BES2_Debt Detail'!Print_Area</vt:lpstr>
      <vt:lpstr>'BES3_ Trans O&amp;M'!Print_Area</vt:lpstr>
      <vt:lpstr>'BES4_W&amp;S Allocator'!Print_Area</vt:lpstr>
      <vt:lpstr>BES5_Depreciation!Print_Area</vt:lpstr>
      <vt:lpstr>'BES6_13 CP Load Data'!Print_Area</vt:lpstr>
      <vt:lpstr>'TRANS TARIFF REV &amp; EXP'!Print_Titles</vt:lpstr>
    </vt:vector>
  </TitlesOfParts>
  <Company>Blue Earth Light and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Leland</dc:creator>
  <cp:lastModifiedBy>Larry Blaine</cp:lastModifiedBy>
  <cp:lastPrinted>2013-04-29T18:30:06Z</cp:lastPrinted>
  <dcterms:created xsi:type="dcterms:W3CDTF">2006-10-06T13:37:28Z</dcterms:created>
  <dcterms:modified xsi:type="dcterms:W3CDTF">2016-03-11T16:25:06Z</dcterms:modified>
</cp:coreProperties>
</file>