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APX2020\MISO TRANSMISSION OWNER FILINGS\Delano\DELANO 2014 DATA\"/>
    </mc:Choice>
  </mc:AlternateContent>
  <bookViews>
    <workbookView xWindow="0" yWindow="0" windowWidth="21600" windowHeight="10020" activeTab="3"/>
  </bookViews>
  <sheets>
    <sheet name="Attachment O" sheetId="14" r:id="rId1"/>
    <sheet name="EIA412 BALANCE SHEET" sheetId="21" r:id="rId2"/>
    <sheet name="EIA412 INCOME STATEMENT" sheetId="20" r:id="rId3"/>
    <sheet name="EIA412 ELECTRIC PLANT" sheetId="19" r:id="rId4"/>
    <sheet name="EIA412 TAXES" sheetId="18" r:id="rId5"/>
    <sheet name="EIA412 OP &amp; MAINT" sheetId="17" r:id="rId6"/>
    <sheet name="EIA412 SALES FOR RESALE" sheetId="16" r:id="rId7"/>
    <sheet name="EIA412 POWER PURCHASES" sheetId="22" r:id="rId8"/>
    <sheet name="EIA412 NOTES" sheetId="15" r:id="rId9"/>
    <sheet name="DS1_Wages &amp; Salary Allocator" sheetId="4" r:id="rId10"/>
    <sheet name="DS3_Depreciation" sheetId="8" r:id="rId11"/>
    <sheet name="DS4_12 CP Load Data" sheetId="12" r:id="rId12"/>
    <sheet name="DS5_Plant Detail 2014" sheetId="11" r:id="rId13"/>
    <sheet name="Alert" sheetId="28" state="hidden" r:id="rId14"/>
    <sheet name="TRANS TARIFF REV + EXP" sheetId="23" r:id="rId15"/>
    <sheet name="Sheet1" sheetId="29" r:id="rId16"/>
  </sheets>
  <definedNames>
    <definedName name="_xlnm.Print_Area" localSheetId="0">'Attachment O'!$A$2:$L$331</definedName>
    <definedName name="_xlnm.Print_Area" localSheetId="9">'DS1_Wages &amp; Salary Allocator'!$J$42:$AM$58</definedName>
    <definedName name="_xlnm.Print_Area" localSheetId="10">DS3_Depreciation!$B$3:$I$22</definedName>
    <definedName name="_xlnm.Print_Area" localSheetId="11">'DS4_12 CP Load Data'!#REF!</definedName>
    <definedName name="_xlnm.Print_Area" localSheetId="12">'DS5_Plant Detail 2014'!$A$1:$X$354</definedName>
    <definedName name="Print_Area_MI">#REF!</definedName>
    <definedName name="_xlnm.Print_Titles" localSheetId="12">'DS5_Plant Detail 2014'!$2:$6</definedName>
    <definedName name="_xlnm.Print_Titles" localSheetId="14">'TRANS TARIFF REV + EXP'!$A:$F,'TRANS TARIFF REV + EXP'!$1:$1</definedName>
    <definedName name="QB_COLUMN_1" localSheetId="14" hidden="1">'TRANS TARIFF REV + EXP'!$G$1</definedName>
    <definedName name="QB_COLUMN_16" localSheetId="14" hidden="1">'TRANS TARIFF REV + EXP'!$S$1</definedName>
    <definedName name="QB_COLUMN_17" localSheetId="14" hidden="1">'TRANS TARIFF REV + EXP'!$U$1</definedName>
    <definedName name="QB_COLUMN_19" localSheetId="14" hidden="1">'TRANS TARIFF REV + EXP'!$W$1</definedName>
    <definedName name="QB_COLUMN_20" localSheetId="14" hidden="1">'TRANS TARIFF REV + EXP'!$Y$1</definedName>
    <definedName name="QB_COLUMN_28" localSheetId="14" hidden="1">'TRANS TARIFF REV + EXP'!$AA$1</definedName>
    <definedName name="QB_COLUMN_29" localSheetId="14" hidden="1">'TRANS TARIFF REV + EXP'!$AC$1</definedName>
    <definedName name="QB_COLUMN_3" localSheetId="14" hidden="1">'TRANS TARIFF REV + EXP'!$I$1</definedName>
    <definedName name="QB_COLUMN_31" localSheetId="14" hidden="1">'TRANS TARIFF REV + EXP'!$AE$1</definedName>
    <definedName name="QB_COLUMN_4" localSheetId="14" hidden="1">'TRANS TARIFF REV + EXP'!$K$1</definedName>
    <definedName name="QB_COLUMN_5" localSheetId="14" hidden="1">'TRANS TARIFF REV + EXP'!$M$1</definedName>
    <definedName name="QB_COLUMN_7" localSheetId="14" hidden="1">'TRANS TARIFF REV + EXP'!$O$1</definedName>
    <definedName name="QB_COLUMN_8" localSheetId="14" hidden="1">'TRANS TARIFF REV + EXP'!$Q$1</definedName>
    <definedName name="QB_DATA_0" localSheetId="14" hidden="1">'TRANS TARIFF REV + EXP'!$5:$5,'TRANS TARIFF REV + EXP'!$6:$6,'TRANS TARIFF REV + EXP'!$7:$7,'TRANS TARIFF REV + EXP'!$8:$8,'TRANS TARIFF REV + EXP'!$9:$9,'TRANS TARIFF REV + EXP'!$10:$10,'TRANS TARIFF REV + EXP'!$11:$11,'TRANS TARIFF REV + EXP'!$12:$12,'TRANS TARIFF REV + EXP'!$13:$13,'TRANS TARIFF REV + EXP'!$14:$14,'TRANS TARIFF REV + EXP'!$15:$15,'TRANS TARIFF REV + EXP'!$16:$16,'TRANS TARIFF REV + EXP'!$19:$19,'TRANS TARIFF REV + EXP'!$20:$20,'TRANS TARIFF REV + EXP'!$21:$21,'TRANS TARIFF REV + EXP'!$22:$22</definedName>
    <definedName name="QB_DATA_1" localSheetId="14" hidden="1">'TRANS TARIFF REV + EXP'!$23:$23,'TRANS TARIFF REV + EXP'!$24:$24,'TRANS TARIFF REV + EXP'!$25:$25,'TRANS TARIFF REV + EXP'!$26:$26,'TRANS TARIFF REV + EXP'!$27:$27,'TRANS TARIFF REV + EXP'!$28:$28,'TRANS TARIFF REV + EXP'!$29:$29,'TRANS TARIFF REV + EXP'!$30:$30,'TRANS TARIFF REV + EXP'!$33:$33,'TRANS TARIFF REV + EXP'!$34:$34,'TRANS TARIFF REV + EXP'!$35:$35,'TRANS TARIFF REV + EXP'!$36:$36,'TRANS TARIFF REV + EXP'!$37:$37,'TRANS TARIFF REV + EXP'!$38:$38,'TRANS TARIFF REV + EXP'!$39:$39,'TRANS TARIFF REV + EXP'!$40:$40</definedName>
    <definedName name="QB_DATA_2" localSheetId="14" hidden="1">'TRANS TARIFF REV + EXP'!$41:$41,'TRANS TARIFF REV + EXP'!$42:$42,'TRANS TARIFF REV + EXP'!$43:$43,'TRANS TARIFF REV + EXP'!$44:$44,'TRANS TARIFF REV + EXP'!$53:$53,'TRANS TARIFF REV + EXP'!$54:$54,'TRANS TARIFF REV + EXP'!$55:$55,'TRANS TARIFF REV + EXP'!$56:$56,'TRANS TARIFF REV + EXP'!$57:$57,'TRANS TARIFF REV + EXP'!$58:$58,'TRANS TARIFF REV + EXP'!$59:$59,'TRANS TARIFF REV + EXP'!$60:$60,'TRANS TARIFF REV + EXP'!$61:$61,'TRANS TARIFF REV + EXP'!$62:$62,'TRANS TARIFF REV + EXP'!$63:$63,'TRANS TARIFF REV + EXP'!$64:$64</definedName>
    <definedName name="QB_DATA_3" localSheetId="14" hidden="1">'TRANS TARIFF REV + EXP'!$65:$65</definedName>
    <definedName name="QB_FORMULA_0" localSheetId="14" hidden="1">'TRANS TARIFF REV + EXP'!$AA$17,'TRANS TARIFF REV + EXP'!$AC$17,'TRANS TARIFF REV + EXP'!$AE$17,'TRANS TARIFF REV + EXP'!$AA$31,'TRANS TARIFF REV + EXP'!$AC$31,'TRANS TARIFF REV + EXP'!$AE$31,'TRANS TARIFF REV + EXP'!$AA$45,'TRANS TARIFF REV + EXP'!$AC$45,'TRANS TARIFF REV + EXP'!$AE$45,'TRANS TARIFF REV + EXP'!$AA$46,'TRANS TARIFF REV + EXP'!$AC$46,'TRANS TARIFF REV + EXP'!$AE$46,'TRANS TARIFF REV + EXP'!$AA$47,'TRANS TARIFF REV + EXP'!$AC$47,'TRANS TARIFF REV + EXP'!$AE$47,'TRANS TARIFF REV + EXP'!$AA$66</definedName>
    <definedName name="QB_FORMULA_1" localSheetId="14" hidden="1">'TRANS TARIFF REV + EXP'!$AC$66,'TRANS TARIFF REV + EXP'!$AE$66,'TRANS TARIFF REV + EXP'!$AA$67,'TRANS TARIFF REV + EXP'!$AC$67,'TRANS TARIFF REV + EXP'!$AE$67,'TRANS TARIFF REV + EXP'!$AA$68,'TRANS TARIFF REV + EXP'!$AC$68,'TRANS TARIFF REV + EXP'!$AE$68,'TRANS TARIFF REV + EXP'!$AA$69,'TRANS TARIFF REV + EXP'!$AC$69,'TRANS TARIFF REV + EXP'!$AE$69,'TRANS TARIFF REV + EXP'!$AA$70,'TRANS TARIFF REV + EXP'!$AC$70,'TRANS TARIFF REV + EXP'!$AE$70,'TRANS TARIFF REV + EXP'!$AA$71,'TRANS TARIFF REV + EXP'!$AC$71</definedName>
    <definedName name="QB_FORMULA_2" localSheetId="14" hidden="1">'TRANS TARIFF REV + EXP'!$AE$71</definedName>
    <definedName name="QB_ROW_1059030" localSheetId="14" hidden="1">'TRANS TARIFF REV + EXP'!$D$18</definedName>
    <definedName name="QB_ROW_1059330" localSheetId="14" hidden="1">'TRANS TARIFF REV + EXP'!$D$31</definedName>
    <definedName name="QB_ROW_1060030" localSheetId="14" hidden="1">'TRANS TARIFF REV + EXP'!$D$32</definedName>
    <definedName name="QB_ROW_1060330" localSheetId="14" hidden="1">'TRANS TARIFF REV + EXP'!$D$45</definedName>
    <definedName name="QB_ROW_1071040" localSheetId="14" hidden="1">'TRANS TARIFF REV + EXP'!$E$51</definedName>
    <definedName name="QB_ROW_1071340" localSheetId="14" hidden="1">'TRANS TARIFF REV + EXP'!$E$67</definedName>
    <definedName name="QB_ROW_1072050" localSheetId="14" hidden="1">'TRANS TARIFF REV + EXP'!$F$52</definedName>
    <definedName name="QB_ROW_1072350" localSheetId="14" hidden="1">'TRANS TARIFF REV + EXP'!$F$66</definedName>
    <definedName name="QB_ROW_25301" localSheetId="14" hidden="1">'TRANS TARIFF REV + EXP'!$A$71</definedName>
    <definedName name="QB_ROW_415020" localSheetId="14" hidden="1">'TRANS TARIFF REV + EXP'!$C$49</definedName>
    <definedName name="QB_ROW_415320" localSheetId="14" hidden="1">'TRANS TARIFF REV + EXP'!$C$69</definedName>
    <definedName name="QB_ROW_530010" localSheetId="14" hidden="1">'TRANS TARIFF REV + EXP'!$B$48</definedName>
    <definedName name="QB_ROW_530310" localSheetId="14" hidden="1">'TRANS TARIFF REV + EXP'!$B$70</definedName>
    <definedName name="QB_ROW_805010" localSheetId="14" hidden="1">'TRANS TARIFF REV + EXP'!$B$2</definedName>
    <definedName name="QB_ROW_805310" localSheetId="14" hidden="1">'TRANS TARIFF REV + EXP'!$B$47</definedName>
    <definedName name="QB_ROW_838020" localSheetId="14" hidden="1">'TRANS TARIFF REV + EXP'!$C$3</definedName>
    <definedName name="QB_ROW_838320" localSheetId="14" hidden="1">'TRANS TARIFF REV + EXP'!$C$46</definedName>
    <definedName name="QB_ROW_843030" localSheetId="14" hidden="1">'TRANS TARIFF REV + EXP'!$D$4</definedName>
    <definedName name="QB_ROW_843330" localSheetId="14" hidden="1">'TRANS TARIFF REV + EXP'!$D$17</definedName>
    <definedName name="QB_ROW_974030" localSheetId="14" hidden="1">'TRANS TARIFF REV + EXP'!$D$50</definedName>
    <definedName name="QB_ROW_974330" localSheetId="14" hidden="1">'TRANS TARIFF REV + EXP'!$D$68</definedName>
    <definedName name="QBCANSUPPORTUPDATE" localSheetId="14">TRUE</definedName>
    <definedName name="QBCOMPANYFILENAME" localSheetId="14">"H:\QUICKBOOKS\UTILITIES PLUS.QBW"</definedName>
    <definedName name="QBENDDATE" localSheetId="14">20141231</definedName>
    <definedName name="QBHEADERSONSCREEN" localSheetId="14">FALSE</definedName>
    <definedName name="QBMETADATASIZE" localSheetId="14">7466</definedName>
    <definedName name="QBPRESERVECOLOR" localSheetId="14">TRUE</definedName>
    <definedName name="QBPRESERVEFONT" localSheetId="14">TRUE</definedName>
    <definedName name="QBPRESERVEROWHEIGHT" localSheetId="14">TRUE</definedName>
    <definedName name="QBPRESERVESPACE" localSheetId="14">TRUE</definedName>
    <definedName name="QBREPORTCOLAXIS" localSheetId="14">0</definedName>
    <definedName name="QBREPORTCOMPANYID" localSheetId="14">"bf4546971b1f46298ba13004a1d6ad14"</definedName>
    <definedName name="QBREPORTCOMPARECOL_ANNUALBUDGET" localSheetId="14">FALSE</definedName>
    <definedName name="QBREPORTCOMPARECOL_AVGCOGS" localSheetId="14">FALSE</definedName>
    <definedName name="QBREPORTCOMPARECOL_AVGPRICE" localSheetId="14">FALSE</definedName>
    <definedName name="QBREPORTCOMPARECOL_BUDDIFF" localSheetId="14">FALSE</definedName>
    <definedName name="QBREPORTCOMPARECOL_BUDGET" localSheetId="14">FALSE</definedName>
    <definedName name="QBREPORTCOMPARECOL_BUDPCT" localSheetId="14">FALSE</definedName>
    <definedName name="QBREPORTCOMPARECOL_COGS" localSheetId="14">FALSE</definedName>
    <definedName name="QBREPORTCOMPARECOL_EXCLUDEAMOUNT" localSheetId="14">FALSE</definedName>
    <definedName name="QBREPORTCOMPARECOL_EXCLUDECURPERIOD" localSheetId="14">FALSE</definedName>
    <definedName name="QBREPORTCOMPARECOL_FORECAST" localSheetId="14">FALSE</definedName>
    <definedName name="QBREPORTCOMPARECOL_GROSSMARGIN" localSheetId="14">FALSE</definedName>
    <definedName name="QBREPORTCOMPARECOL_GROSSMARGINPCT" localSheetId="14">FALSE</definedName>
    <definedName name="QBREPORTCOMPARECOL_HOURS" localSheetId="14">FALSE</definedName>
    <definedName name="QBREPORTCOMPARECOL_PCTCOL" localSheetId="14">FALSE</definedName>
    <definedName name="QBREPORTCOMPARECOL_PCTEXPENSE" localSheetId="14">FALSE</definedName>
    <definedName name="QBREPORTCOMPARECOL_PCTINCOME" localSheetId="14">FALSE</definedName>
    <definedName name="QBREPORTCOMPARECOL_PCTOFSALES" localSheetId="14">FALSE</definedName>
    <definedName name="QBREPORTCOMPARECOL_PCTROW" localSheetId="14">FALSE</definedName>
    <definedName name="QBREPORTCOMPARECOL_PPDIFF" localSheetId="14">FALSE</definedName>
    <definedName name="QBREPORTCOMPARECOL_PPPCT" localSheetId="14">FALSE</definedName>
    <definedName name="QBREPORTCOMPARECOL_PREVPERIOD" localSheetId="14">FALSE</definedName>
    <definedName name="QBREPORTCOMPARECOL_PREVYEAR" localSheetId="14">FALSE</definedName>
    <definedName name="QBREPORTCOMPARECOL_PYDIFF" localSheetId="14">FALSE</definedName>
    <definedName name="QBREPORTCOMPARECOL_PYPCT" localSheetId="14">FALSE</definedName>
    <definedName name="QBREPORTCOMPARECOL_QTY" localSheetId="14">FALSE</definedName>
    <definedName name="QBREPORTCOMPARECOL_RATE" localSheetId="14">FALSE</definedName>
    <definedName name="QBREPORTCOMPARECOL_TRIPBILLEDMILES" localSheetId="14">FALSE</definedName>
    <definedName name="QBREPORTCOMPARECOL_TRIPBILLINGAMOUNT" localSheetId="14">FALSE</definedName>
    <definedName name="QBREPORTCOMPARECOL_TRIPMILES" localSheetId="14">FALSE</definedName>
    <definedName name="QBREPORTCOMPARECOL_TRIPNOTBILLABLEMILES" localSheetId="14">FALSE</definedName>
    <definedName name="QBREPORTCOMPARECOL_TRIPTAXDEDUCTIBLEAMOUNT" localSheetId="14">FALSE</definedName>
    <definedName name="QBREPORTCOMPARECOL_TRIPUNBILLEDMILES" localSheetId="14">FALSE</definedName>
    <definedName name="QBREPORTCOMPARECOL_YTD" localSheetId="14">FALSE</definedName>
    <definedName name="QBREPORTCOMPARECOL_YTDBUDGET" localSheetId="14">FALSE</definedName>
    <definedName name="QBREPORTCOMPARECOL_YTDPCT" localSheetId="14">FALSE</definedName>
    <definedName name="QBREPORTROWAXIS" localSheetId="14">12</definedName>
    <definedName name="QBREPORTSUBCOLAXIS" localSheetId="14">0</definedName>
    <definedName name="QBREPORTTYPE" localSheetId="14">23</definedName>
    <definedName name="QBROWHEADERS" localSheetId="14">6</definedName>
    <definedName name="QBSTARTDATE" localSheetId="14">20140101</definedName>
  </definedNames>
  <calcPr calcId="152511"/>
</workbook>
</file>

<file path=xl/calcChain.xml><?xml version="1.0" encoding="utf-8"?>
<calcChain xmlns="http://schemas.openxmlformats.org/spreadsheetml/2006/main">
  <c r="I27" i="14" l="1"/>
  <c r="H578" i="12"/>
  <c r="G578" i="12"/>
  <c r="H577" i="12"/>
  <c r="G577" i="12"/>
  <c r="H576" i="12"/>
  <c r="G576" i="12"/>
  <c r="H575" i="12"/>
  <c r="G575" i="12"/>
  <c r="H574" i="12"/>
  <c r="G574" i="12"/>
  <c r="H573" i="12"/>
  <c r="G573" i="12"/>
  <c r="H572" i="12"/>
  <c r="G572" i="12"/>
  <c r="H571" i="12"/>
  <c r="G571" i="12"/>
  <c r="H570" i="12"/>
  <c r="G570" i="12"/>
  <c r="H569" i="12"/>
  <c r="G569" i="12"/>
  <c r="H568" i="12"/>
  <c r="G568" i="12"/>
  <c r="H567" i="12"/>
  <c r="G567" i="12"/>
  <c r="H566" i="12"/>
  <c r="G566" i="12"/>
  <c r="H565" i="12"/>
  <c r="G565" i="12"/>
  <c r="H564" i="12"/>
  <c r="G564" i="12"/>
  <c r="H563" i="12"/>
  <c r="G563" i="12"/>
  <c r="H562" i="12"/>
  <c r="G562" i="12"/>
  <c r="H561" i="12"/>
  <c r="G561" i="12"/>
  <c r="H560" i="12"/>
  <c r="G560" i="12"/>
  <c r="H559" i="12"/>
  <c r="G559" i="12"/>
  <c r="H558" i="12"/>
  <c r="G558" i="12"/>
  <c r="H557" i="12"/>
  <c r="G557" i="12"/>
  <c r="H556" i="12"/>
  <c r="G556" i="12"/>
  <c r="H555" i="12"/>
  <c r="G555" i="12"/>
  <c r="H554" i="12"/>
  <c r="G554" i="12"/>
  <c r="H553" i="12"/>
  <c r="G553" i="12"/>
  <c r="H552" i="12"/>
  <c r="G552" i="12"/>
  <c r="H551" i="12"/>
  <c r="G551" i="12"/>
  <c r="H550" i="12"/>
  <c r="G550" i="12"/>
  <c r="H549" i="12"/>
  <c r="G549" i="12"/>
  <c r="H548" i="12"/>
  <c r="G548" i="12"/>
  <c r="H547" i="12"/>
  <c r="G547" i="12"/>
  <c r="H546" i="12"/>
  <c r="G546" i="12"/>
  <c r="H545" i="12"/>
  <c r="G545" i="12"/>
  <c r="H544" i="12"/>
  <c r="G544" i="12"/>
  <c r="H543" i="12"/>
  <c r="G543" i="12"/>
  <c r="H542" i="12"/>
  <c r="G542" i="12"/>
  <c r="H541" i="12"/>
  <c r="G541" i="12"/>
  <c r="H540" i="12"/>
  <c r="G540" i="12"/>
  <c r="H539" i="12"/>
  <c r="G539" i="12"/>
  <c r="H538" i="12"/>
  <c r="G538" i="12"/>
  <c r="H537" i="12"/>
  <c r="G537" i="12"/>
  <c r="H536" i="12"/>
  <c r="G536" i="12"/>
  <c r="H535" i="12"/>
  <c r="G535" i="12"/>
  <c r="H534" i="12"/>
  <c r="G534" i="12"/>
  <c r="H533" i="12"/>
  <c r="G533" i="12"/>
  <c r="H532" i="12"/>
  <c r="G532" i="12"/>
  <c r="H531" i="12"/>
  <c r="G531" i="12"/>
  <c r="H530" i="12"/>
  <c r="G530" i="12"/>
  <c r="H529" i="12"/>
  <c r="G529" i="12"/>
  <c r="H528" i="12"/>
  <c r="G528" i="12"/>
  <c r="H527" i="12"/>
  <c r="G527" i="12"/>
  <c r="H526" i="12"/>
  <c r="G526" i="12"/>
  <c r="H525" i="12"/>
  <c r="G525" i="12"/>
  <c r="H524" i="12"/>
  <c r="G524" i="12"/>
  <c r="H523" i="12"/>
  <c r="G523" i="12"/>
  <c r="H522" i="12"/>
  <c r="G522" i="12"/>
  <c r="H521" i="12"/>
  <c r="G521" i="12"/>
  <c r="H520" i="12"/>
  <c r="G520" i="12"/>
  <c r="H519" i="12"/>
  <c r="G519" i="12"/>
  <c r="H518" i="12"/>
  <c r="G518" i="12"/>
  <c r="H517" i="12"/>
  <c r="G517" i="12"/>
  <c r="H516" i="12"/>
  <c r="G516" i="12"/>
  <c r="H515" i="12"/>
  <c r="G515" i="12"/>
  <c r="H514" i="12"/>
  <c r="G514" i="12"/>
  <c r="H513" i="12"/>
  <c r="G513" i="12"/>
  <c r="H512" i="12"/>
  <c r="G512" i="12"/>
  <c r="H511" i="12"/>
  <c r="G511" i="12"/>
  <c r="H510" i="12"/>
  <c r="G510" i="12"/>
  <c r="H509" i="12"/>
  <c r="G509" i="12"/>
  <c r="H508" i="12"/>
  <c r="G508" i="12"/>
  <c r="H507" i="12"/>
  <c r="G507" i="12"/>
  <c r="H506" i="12"/>
  <c r="G506" i="12"/>
  <c r="H505" i="12"/>
  <c r="G505" i="12"/>
  <c r="H504" i="12"/>
  <c r="G504" i="12"/>
  <c r="H503" i="12"/>
  <c r="G503" i="12"/>
  <c r="H502" i="12"/>
  <c r="G502" i="12"/>
  <c r="H501" i="12"/>
  <c r="G501" i="12"/>
  <c r="H500" i="12"/>
  <c r="G500" i="12"/>
  <c r="H499" i="12"/>
  <c r="G499" i="12"/>
  <c r="H498" i="12"/>
  <c r="G498" i="12"/>
  <c r="H497" i="12"/>
  <c r="G497" i="12"/>
  <c r="H496" i="12"/>
  <c r="G496" i="12"/>
  <c r="H495" i="12"/>
  <c r="G495" i="12"/>
  <c r="H494" i="12"/>
  <c r="G494" i="12"/>
  <c r="H493" i="12"/>
  <c r="G493" i="12"/>
  <c r="H492" i="12"/>
  <c r="G492" i="12"/>
  <c r="H491" i="12"/>
  <c r="G491" i="12"/>
  <c r="H490" i="12"/>
  <c r="G490" i="12"/>
  <c r="H489" i="12"/>
  <c r="G489" i="12"/>
  <c r="H488" i="12"/>
  <c r="G488" i="12"/>
  <c r="H487" i="12"/>
  <c r="G487" i="12"/>
  <c r="H486" i="12"/>
  <c r="G486" i="12"/>
  <c r="H485" i="12"/>
  <c r="G485" i="12"/>
  <c r="H484" i="12"/>
  <c r="G484" i="12"/>
  <c r="H483" i="12"/>
  <c r="G483" i="12"/>
  <c r="H482" i="12"/>
  <c r="G482" i="12"/>
  <c r="H481" i="12"/>
  <c r="G481" i="12"/>
  <c r="H480" i="12"/>
  <c r="G480" i="12"/>
  <c r="H479" i="12"/>
  <c r="G479" i="12"/>
  <c r="H478" i="12"/>
  <c r="G478" i="12"/>
  <c r="H477" i="12"/>
  <c r="G477" i="12"/>
  <c r="H476" i="12"/>
  <c r="G476" i="12"/>
  <c r="H475" i="12"/>
  <c r="G475" i="12"/>
  <c r="H474" i="12"/>
  <c r="G474" i="12"/>
  <c r="H473" i="12"/>
  <c r="G473" i="12"/>
  <c r="H472" i="12"/>
  <c r="G472" i="12"/>
  <c r="H471" i="12"/>
  <c r="G471" i="12"/>
  <c r="H470" i="12"/>
  <c r="G470" i="12"/>
  <c r="H469" i="12"/>
  <c r="G469" i="12"/>
  <c r="H468" i="12"/>
  <c r="G468" i="12"/>
  <c r="H467" i="12"/>
  <c r="G467" i="12"/>
  <c r="H466" i="12"/>
  <c r="G466" i="12"/>
  <c r="H465" i="12"/>
  <c r="G465" i="12"/>
  <c r="H464" i="12"/>
  <c r="G464" i="12"/>
  <c r="H463" i="12"/>
  <c r="G463" i="12"/>
  <c r="H462" i="12"/>
  <c r="G462" i="12"/>
  <c r="H461" i="12"/>
  <c r="G461" i="12"/>
  <c r="H460" i="12"/>
  <c r="G460" i="12"/>
  <c r="H459" i="12"/>
  <c r="G459" i="12"/>
  <c r="H458" i="12"/>
  <c r="G458" i="12"/>
  <c r="H457" i="12"/>
  <c r="G457" i="12"/>
  <c r="H456" i="12"/>
  <c r="G456" i="12"/>
  <c r="H455" i="12"/>
  <c r="G455" i="12"/>
  <c r="H454" i="12"/>
  <c r="G454" i="12"/>
  <c r="H453" i="12"/>
  <c r="G453" i="12"/>
  <c r="H452" i="12"/>
  <c r="G452" i="12"/>
  <c r="H451" i="12"/>
  <c r="G451" i="12"/>
  <c r="H450" i="12"/>
  <c r="G450" i="12"/>
  <c r="H449" i="12"/>
  <c r="G449" i="12"/>
  <c r="H448" i="12"/>
  <c r="G448" i="12"/>
  <c r="H447" i="12"/>
  <c r="G447" i="12"/>
  <c r="H446" i="12"/>
  <c r="G446" i="12"/>
  <c r="H445" i="12"/>
  <c r="G445" i="12"/>
  <c r="H444" i="12"/>
  <c r="G444" i="12"/>
  <c r="H443" i="12"/>
  <c r="G443" i="12"/>
  <c r="H442" i="12"/>
  <c r="G442" i="12"/>
  <c r="H441" i="12"/>
  <c r="G441" i="12"/>
  <c r="H440" i="12"/>
  <c r="G440" i="12"/>
  <c r="H439" i="12"/>
  <c r="G439" i="12"/>
  <c r="H438" i="12"/>
  <c r="G438" i="12"/>
  <c r="H437" i="12"/>
  <c r="G437" i="12"/>
  <c r="H436" i="12"/>
  <c r="G436" i="12"/>
  <c r="H435" i="12"/>
  <c r="G435" i="12"/>
  <c r="H434" i="12"/>
  <c r="G434" i="12"/>
  <c r="H433" i="12"/>
  <c r="G433" i="12"/>
  <c r="H432" i="12"/>
  <c r="G432" i="12"/>
  <c r="H431" i="12"/>
  <c r="G431" i="12"/>
  <c r="H430" i="12"/>
  <c r="G430" i="12"/>
  <c r="H429" i="12"/>
  <c r="G429" i="12"/>
  <c r="H428" i="12"/>
  <c r="G428" i="12"/>
  <c r="H427" i="12"/>
  <c r="G427" i="12"/>
  <c r="H426" i="12"/>
  <c r="G426" i="12"/>
  <c r="H425" i="12"/>
  <c r="G425" i="12"/>
  <c r="H424" i="12"/>
  <c r="G424" i="12"/>
  <c r="H423" i="12"/>
  <c r="G423" i="12"/>
  <c r="H422" i="12"/>
  <c r="G422" i="12"/>
  <c r="H421" i="12"/>
  <c r="G421" i="12"/>
  <c r="H420" i="12"/>
  <c r="G420" i="12"/>
  <c r="H419" i="12"/>
  <c r="G419" i="12"/>
  <c r="H418" i="12"/>
  <c r="G418" i="12"/>
  <c r="H417" i="12"/>
  <c r="G417" i="12"/>
  <c r="H416" i="12"/>
  <c r="G416" i="12"/>
  <c r="H415" i="12"/>
  <c r="G415" i="12"/>
  <c r="H414" i="12"/>
  <c r="G414" i="12"/>
  <c r="H413" i="12"/>
  <c r="G413" i="12"/>
  <c r="H412" i="12"/>
  <c r="G412" i="12"/>
  <c r="H411" i="12"/>
  <c r="G411" i="12"/>
  <c r="H410" i="12"/>
  <c r="G410" i="12"/>
  <c r="H409" i="12"/>
  <c r="G409" i="12"/>
  <c r="H408" i="12"/>
  <c r="G408" i="12"/>
  <c r="H407" i="12"/>
  <c r="G407" i="12"/>
  <c r="H406" i="12"/>
  <c r="G406" i="12"/>
  <c r="H405" i="12"/>
  <c r="G405" i="12"/>
  <c r="H404" i="12"/>
  <c r="G404" i="12"/>
  <c r="H403" i="12"/>
  <c r="G403" i="12"/>
  <c r="H402" i="12"/>
  <c r="G402" i="12"/>
  <c r="H401" i="12"/>
  <c r="G401" i="12"/>
  <c r="H400" i="12"/>
  <c r="G400" i="12"/>
  <c r="H399" i="12"/>
  <c r="G399" i="12"/>
  <c r="H398" i="12"/>
  <c r="G398" i="12"/>
  <c r="H397" i="12"/>
  <c r="G397" i="12"/>
  <c r="H396" i="12"/>
  <c r="G396" i="12"/>
  <c r="H395" i="12"/>
  <c r="G395" i="12"/>
  <c r="H394" i="12"/>
  <c r="G394" i="12"/>
  <c r="H393" i="12"/>
  <c r="G393" i="12"/>
  <c r="H392" i="12"/>
  <c r="G392" i="12"/>
  <c r="H391" i="12"/>
  <c r="G391" i="12"/>
  <c r="H390" i="12"/>
  <c r="G390" i="12"/>
  <c r="H389" i="12"/>
  <c r="G389" i="12"/>
  <c r="H388" i="12"/>
  <c r="G388" i="12"/>
  <c r="H387" i="12"/>
  <c r="G387" i="12"/>
  <c r="H386" i="12"/>
  <c r="G386" i="12"/>
  <c r="H385" i="12"/>
  <c r="G385" i="12"/>
  <c r="H384" i="12"/>
  <c r="G384" i="12"/>
  <c r="H383" i="12"/>
  <c r="G383" i="12"/>
  <c r="H382" i="12"/>
  <c r="G382" i="12"/>
  <c r="H381" i="12"/>
  <c r="G381" i="12"/>
  <c r="H380" i="12"/>
  <c r="G380" i="12"/>
  <c r="H379" i="12"/>
  <c r="G379" i="12"/>
  <c r="H378" i="12"/>
  <c r="G378" i="12"/>
  <c r="H377" i="12"/>
  <c r="G377" i="12"/>
  <c r="H376" i="12"/>
  <c r="G376" i="12"/>
  <c r="H375" i="12"/>
  <c r="G375" i="12"/>
  <c r="H374" i="12"/>
  <c r="G374" i="12"/>
  <c r="H373" i="12"/>
  <c r="G373" i="12"/>
  <c r="H372" i="12"/>
  <c r="G372" i="12"/>
  <c r="H371" i="12"/>
  <c r="G371" i="12"/>
  <c r="H370" i="12"/>
  <c r="G370" i="12"/>
  <c r="H369" i="12"/>
  <c r="G369" i="12"/>
  <c r="H368" i="12"/>
  <c r="G368" i="12"/>
  <c r="H367" i="12"/>
  <c r="G367" i="12"/>
  <c r="H366" i="12"/>
  <c r="G366" i="12"/>
  <c r="H365" i="12"/>
  <c r="G365" i="12"/>
  <c r="H364" i="12"/>
  <c r="G364" i="12"/>
  <c r="H363" i="12"/>
  <c r="G363" i="12"/>
  <c r="H362" i="12"/>
  <c r="G362" i="12"/>
  <c r="H361" i="12"/>
  <c r="G361" i="12"/>
  <c r="H360" i="12"/>
  <c r="G360" i="12"/>
  <c r="H359" i="12"/>
  <c r="G359" i="12"/>
  <c r="H358" i="12"/>
  <c r="G358" i="12"/>
  <c r="H357" i="12"/>
  <c r="G357" i="12"/>
  <c r="H356" i="12"/>
  <c r="G356" i="12"/>
  <c r="H355" i="12"/>
  <c r="G355" i="12"/>
  <c r="H354" i="12"/>
  <c r="G354" i="12"/>
  <c r="H353" i="12"/>
  <c r="G353" i="12"/>
  <c r="H352" i="12"/>
  <c r="G352" i="12"/>
  <c r="H351" i="12"/>
  <c r="G351" i="12"/>
  <c r="H350" i="12"/>
  <c r="G350" i="12"/>
  <c r="H349" i="12"/>
  <c r="G349" i="12"/>
  <c r="H348" i="12"/>
  <c r="G348" i="12"/>
  <c r="H347" i="12"/>
  <c r="G347" i="12"/>
  <c r="H346" i="12"/>
  <c r="G346" i="12"/>
  <c r="H345" i="12"/>
  <c r="G345" i="12"/>
  <c r="H344" i="12"/>
  <c r="G344" i="12"/>
  <c r="H343" i="12"/>
  <c r="G343" i="12"/>
  <c r="H342" i="12"/>
  <c r="G342" i="12"/>
  <c r="H341" i="12"/>
  <c r="G341" i="12"/>
  <c r="H340" i="12"/>
  <c r="G340" i="12"/>
  <c r="H339" i="12"/>
  <c r="G339" i="12"/>
  <c r="H338" i="12"/>
  <c r="G338" i="12"/>
  <c r="H337" i="12"/>
  <c r="G337" i="12"/>
  <c r="H336" i="12"/>
  <c r="G336" i="12"/>
  <c r="H335" i="12"/>
  <c r="G335" i="12"/>
  <c r="H334" i="12"/>
  <c r="G334" i="12"/>
  <c r="H333" i="12"/>
  <c r="G333" i="12"/>
  <c r="H332" i="12"/>
  <c r="G332" i="12"/>
  <c r="H331" i="12"/>
  <c r="G331" i="12"/>
  <c r="H330" i="12"/>
  <c r="G330" i="12"/>
  <c r="H329" i="12"/>
  <c r="G329" i="12"/>
  <c r="H328" i="12"/>
  <c r="G328" i="12"/>
  <c r="H327" i="12"/>
  <c r="G327" i="12"/>
  <c r="H326" i="12"/>
  <c r="G326" i="12"/>
  <c r="H325" i="12"/>
  <c r="G325" i="12"/>
  <c r="H324" i="12"/>
  <c r="G324" i="12"/>
  <c r="H323" i="12"/>
  <c r="G323" i="12"/>
  <c r="H322" i="12"/>
  <c r="G322" i="12"/>
  <c r="H321" i="12"/>
  <c r="G321" i="12"/>
  <c r="H320" i="12"/>
  <c r="G320" i="12"/>
  <c r="H319" i="12"/>
  <c r="G319" i="12"/>
  <c r="H318" i="12"/>
  <c r="G318" i="12"/>
  <c r="H317" i="12"/>
  <c r="G317" i="12"/>
  <c r="H316" i="12"/>
  <c r="G316" i="12"/>
  <c r="H315" i="12"/>
  <c r="G315" i="12"/>
  <c r="H314" i="12"/>
  <c r="G314" i="12"/>
  <c r="H313" i="12"/>
  <c r="G313" i="12"/>
  <c r="H312" i="12"/>
  <c r="G312" i="12"/>
  <c r="H311" i="12"/>
  <c r="G311" i="12"/>
  <c r="H310" i="12"/>
  <c r="G310" i="12"/>
  <c r="H309" i="12"/>
  <c r="G309" i="12"/>
  <c r="H308" i="12"/>
  <c r="G308" i="12"/>
  <c r="H307" i="12"/>
  <c r="G307" i="12"/>
  <c r="H306" i="12"/>
  <c r="G306" i="12"/>
  <c r="H305" i="12"/>
  <c r="G305" i="12"/>
  <c r="H304" i="12"/>
  <c r="G304" i="12"/>
  <c r="H303" i="12"/>
  <c r="G303" i="12"/>
  <c r="H302" i="12"/>
  <c r="G302" i="12"/>
  <c r="H301" i="12"/>
  <c r="G301" i="12"/>
  <c r="H300" i="12"/>
  <c r="G300" i="12"/>
  <c r="H299" i="12"/>
  <c r="G299" i="12"/>
  <c r="H298" i="12"/>
  <c r="G298" i="12"/>
  <c r="H297" i="12"/>
  <c r="G297" i="12"/>
  <c r="H296" i="12"/>
  <c r="G296" i="12"/>
  <c r="H295" i="12"/>
  <c r="G295" i="12"/>
  <c r="H294" i="12"/>
  <c r="G294" i="12"/>
  <c r="H293" i="12"/>
  <c r="G293" i="12"/>
  <c r="H292" i="12"/>
  <c r="G292" i="12"/>
  <c r="H291" i="12"/>
  <c r="G291" i="12"/>
  <c r="H290" i="12"/>
  <c r="G290" i="12"/>
  <c r="H289" i="12"/>
  <c r="G289" i="12"/>
  <c r="H288" i="12"/>
  <c r="G288" i="12"/>
  <c r="H287" i="12"/>
  <c r="G287" i="12"/>
  <c r="H286" i="12"/>
  <c r="G286" i="12"/>
  <c r="H285" i="12"/>
  <c r="G285" i="12"/>
  <c r="H284" i="12"/>
  <c r="G284" i="12"/>
  <c r="H283" i="12"/>
  <c r="G283" i="12"/>
  <c r="H282" i="12"/>
  <c r="G282" i="12"/>
  <c r="H281" i="12"/>
  <c r="G281" i="12"/>
  <c r="H280" i="12"/>
  <c r="G280" i="12"/>
  <c r="H279" i="12"/>
  <c r="G279" i="12"/>
  <c r="H278" i="12"/>
  <c r="G278" i="12"/>
  <c r="H277" i="12"/>
  <c r="G277" i="12"/>
  <c r="H276" i="12"/>
  <c r="G276" i="12"/>
  <c r="H275" i="12"/>
  <c r="G275" i="12"/>
  <c r="H274" i="12"/>
  <c r="G274" i="12"/>
  <c r="H273" i="12"/>
  <c r="G273" i="12"/>
  <c r="H272" i="12"/>
  <c r="G272" i="12"/>
  <c r="H271" i="12"/>
  <c r="G271" i="12"/>
  <c r="H270" i="12"/>
  <c r="G270" i="12"/>
  <c r="H269" i="12"/>
  <c r="G269" i="12"/>
  <c r="H268" i="12"/>
  <c r="G268" i="12"/>
  <c r="H267" i="12"/>
  <c r="G267" i="12"/>
  <c r="H266" i="12"/>
  <c r="G266" i="12"/>
  <c r="H265" i="12"/>
  <c r="G265" i="12"/>
  <c r="H264" i="12"/>
  <c r="G264" i="12"/>
  <c r="H263" i="12"/>
  <c r="G263" i="12"/>
  <c r="H262" i="12"/>
  <c r="G262" i="12"/>
  <c r="H261" i="12"/>
  <c r="G261" i="12"/>
  <c r="H260" i="12"/>
  <c r="G260" i="12"/>
  <c r="H259" i="12"/>
  <c r="G259" i="12"/>
  <c r="H258" i="12"/>
  <c r="G258" i="12"/>
  <c r="H257" i="12"/>
  <c r="G257" i="12"/>
  <c r="H256" i="12"/>
  <c r="G256" i="12"/>
  <c r="H255" i="12"/>
  <c r="G255" i="12"/>
  <c r="H254" i="12"/>
  <c r="G254" i="12"/>
  <c r="H253" i="12"/>
  <c r="G253" i="12"/>
  <c r="H252" i="12"/>
  <c r="G252" i="12"/>
  <c r="H251" i="12"/>
  <c r="G251" i="12"/>
  <c r="H250" i="12"/>
  <c r="G250" i="12"/>
  <c r="H249" i="12"/>
  <c r="G249" i="12"/>
  <c r="H248" i="12"/>
  <c r="G248" i="12"/>
  <c r="H247" i="12"/>
  <c r="G247" i="12"/>
  <c r="H246" i="12"/>
  <c r="G246" i="12"/>
  <c r="H245" i="12"/>
  <c r="G245" i="12"/>
  <c r="H244" i="12"/>
  <c r="G244" i="12"/>
  <c r="H243" i="12"/>
  <c r="G243" i="12"/>
  <c r="H242" i="12"/>
  <c r="G242" i="12"/>
  <c r="H241" i="12"/>
  <c r="G241" i="12"/>
  <c r="H240" i="12"/>
  <c r="G240" i="12"/>
  <c r="H239" i="12"/>
  <c r="G239" i="12"/>
  <c r="H238" i="12"/>
  <c r="G238" i="12"/>
  <c r="H237" i="12"/>
  <c r="G237" i="12"/>
  <c r="H236" i="12"/>
  <c r="G236" i="12"/>
  <c r="H235" i="12"/>
  <c r="G235" i="12"/>
  <c r="H234" i="12"/>
  <c r="G234" i="12"/>
  <c r="H233" i="12"/>
  <c r="G233" i="12"/>
  <c r="H232" i="12"/>
  <c r="G232" i="12"/>
  <c r="H231" i="12"/>
  <c r="G231" i="12"/>
  <c r="H230" i="12"/>
  <c r="G230" i="12"/>
  <c r="H229" i="12"/>
  <c r="G229" i="12"/>
  <c r="H228" i="12"/>
  <c r="G228" i="12"/>
  <c r="H227" i="12"/>
  <c r="G227" i="12"/>
  <c r="H226" i="12"/>
  <c r="G226" i="12"/>
  <c r="H225" i="12"/>
  <c r="G225" i="12"/>
  <c r="H224" i="12"/>
  <c r="G224" i="12"/>
  <c r="H223" i="12"/>
  <c r="G223" i="12"/>
  <c r="H222" i="12"/>
  <c r="G222" i="12"/>
  <c r="H221" i="12"/>
  <c r="G221" i="12"/>
  <c r="H220" i="12"/>
  <c r="G220" i="12"/>
  <c r="H219" i="12"/>
  <c r="G219" i="12"/>
  <c r="H218" i="12"/>
  <c r="G218" i="12"/>
  <c r="H217" i="12"/>
  <c r="G217" i="12"/>
  <c r="H216" i="12"/>
  <c r="G216" i="12"/>
  <c r="H215" i="12"/>
  <c r="G215" i="12"/>
  <c r="H214" i="12"/>
  <c r="G214" i="12"/>
  <c r="H213" i="12"/>
  <c r="G213" i="12"/>
  <c r="H212" i="12"/>
  <c r="G212" i="12"/>
  <c r="H211" i="12"/>
  <c r="G211" i="12"/>
  <c r="H210" i="12"/>
  <c r="G210" i="12"/>
  <c r="H209" i="12"/>
  <c r="G209" i="12"/>
  <c r="H208" i="12"/>
  <c r="G208" i="12"/>
  <c r="H207" i="12"/>
  <c r="G207" i="12"/>
  <c r="H206" i="12"/>
  <c r="G206" i="12"/>
  <c r="H205" i="12"/>
  <c r="G205" i="12"/>
  <c r="H204" i="12"/>
  <c r="G204" i="12"/>
  <c r="H203" i="12"/>
  <c r="G203" i="12"/>
  <c r="H202" i="12"/>
  <c r="G202" i="12"/>
  <c r="H201" i="12"/>
  <c r="G201" i="12"/>
  <c r="H200" i="12"/>
  <c r="G200" i="12"/>
  <c r="H199" i="12"/>
  <c r="G199" i="12"/>
  <c r="H198" i="12"/>
  <c r="G198" i="12"/>
  <c r="H197" i="12"/>
  <c r="G197" i="12"/>
  <c r="H196" i="12"/>
  <c r="G196" i="12"/>
  <c r="H195" i="12"/>
  <c r="G195" i="12"/>
  <c r="H194" i="12"/>
  <c r="G194" i="12"/>
  <c r="H193" i="12"/>
  <c r="G193" i="12"/>
  <c r="H192" i="12"/>
  <c r="G192" i="12"/>
  <c r="H191" i="12"/>
  <c r="G191" i="12"/>
  <c r="H190" i="12"/>
  <c r="G190" i="12"/>
  <c r="H189" i="12"/>
  <c r="G189" i="12"/>
  <c r="H188" i="12"/>
  <c r="G188" i="12"/>
  <c r="H187" i="12"/>
  <c r="G187" i="12"/>
  <c r="H186" i="12"/>
  <c r="G186" i="12"/>
  <c r="H185" i="12"/>
  <c r="G185" i="12"/>
  <c r="H184" i="12"/>
  <c r="G184" i="12"/>
  <c r="H183" i="12"/>
  <c r="G183" i="12"/>
  <c r="H182" i="12"/>
  <c r="G182" i="12"/>
  <c r="H181" i="12"/>
  <c r="G181" i="12"/>
  <c r="H180" i="12"/>
  <c r="G180" i="12"/>
  <c r="H179" i="12"/>
  <c r="G179" i="12"/>
  <c r="H178" i="12"/>
  <c r="G178" i="12"/>
  <c r="H177" i="12"/>
  <c r="G177" i="12"/>
  <c r="H176" i="12"/>
  <c r="G176" i="12"/>
  <c r="H175" i="12"/>
  <c r="G175" i="12"/>
  <c r="H174" i="12"/>
  <c r="G174" i="12"/>
  <c r="H173" i="12"/>
  <c r="G173" i="12"/>
  <c r="H172" i="12"/>
  <c r="G172" i="12"/>
  <c r="H171" i="12"/>
  <c r="G171" i="12"/>
  <c r="H170" i="12"/>
  <c r="G170" i="12"/>
  <c r="H169" i="12"/>
  <c r="G169" i="12"/>
  <c r="H168" i="12"/>
  <c r="G168" i="12"/>
  <c r="H167" i="12"/>
  <c r="G167" i="12"/>
  <c r="H166" i="12"/>
  <c r="G166" i="12"/>
  <c r="H165" i="12"/>
  <c r="G165" i="12"/>
  <c r="H164" i="12"/>
  <c r="G164" i="12"/>
  <c r="H163" i="12"/>
  <c r="G163" i="12"/>
  <c r="H162" i="12"/>
  <c r="G162" i="12"/>
  <c r="H161" i="12"/>
  <c r="G161" i="12"/>
  <c r="H160" i="12"/>
  <c r="G160" i="12"/>
  <c r="H159" i="12"/>
  <c r="G159" i="12"/>
  <c r="H158" i="12"/>
  <c r="G158" i="12"/>
  <c r="H157" i="12"/>
  <c r="G157" i="12"/>
  <c r="H156" i="12"/>
  <c r="G156" i="12"/>
  <c r="H155" i="12"/>
  <c r="G155" i="12"/>
  <c r="H154" i="12"/>
  <c r="G154" i="12"/>
  <c r="H153" i="12"/>
  <c r="G153" i="12"/>
  <c r="H152" i="12"/>
  <c r="G152" i="12"/>
  <c r="H151" i="12"/>
  <c r="G151" i="12"/>
  <c r="H150" i="12"/>
  <c r="G150" i="12"/>
  <c r="H149" i="12"/>
  <c r="G149" i="12"/>
  <c r="H148" i="12"/>
  <c r="G148" i="12"/>
  <c r="H147" i="12"/>
  <c r="G147" i="12"/>
  <c r="H146" i="12"/>
  <c r="G146" i="12"/>
  <c r="H145" i="12"/>
  <c r="G145" i="12"/>
  <c r="H144" i="12"/>
  <c r="G144" i="12"/>
  <c r="H143" i="12"/>
  <c r="G143" i="12"/>
  <c r="H142" i="12"/>
  <c r="G142" i="12"/>
  <c r="H141" i="12"/>
  <c r="G141" i="12"/>
  <c r="H140" i="12"/>
  <c r="G140" i="12"/>
  <c r="H139" i="12"/>
  <c r="G139" i="12"/>
  <c r="H138" i="12"/>
  <c r="G138" i="12"/>
  <c r="H137" i="12"/>
  <c r="G137" i="12"/>
  <c r="H136" i="12"/>
  <c r="G136" i="12"/>
  <c r="H135" i="12"/>
  <c r="G135" i="12"/>
  <c r="H134" i="12"/>
  <c r="G134" i="12"/>
  <c r="H133" i="12"/>
  <c r="G133" i="12"/>
  <c r="H132" i="12"/>
  <c r="G132" i="12"/>
  <c r="H131" i="12"/>
  <c r="G131" i="12"/>
  <c r="H130" i="12"/>
  <c r="G130" i="12"/>
  <c r="H129" i="12"/>
  <c r="G129" i="12"/>
  <c r="H128" i="12"/>
  <c r="G128" i="12"/>
  <c r="H127" i="12"/>
  <c r="G127" i="12"/>
  <c r="H126" i="12"/>
  <c r="G126" i="12"/>
  <c r="H125" i="12"/>
  <c r="G125" i="12"/>
  <c r="H124" i="12"/>
  <c r="G124" i="12"/>
  <c r="H123" i="12"/>
  <c r="G123" i="12"/>
  <c r="H122" i="12"/>
  <c r="G122" i="12"/>
  <c r="H121" i="12"/>
  <c r="G121" i="12"/>
  <c r="H120" i="12"/>
  <c r="G120" i="12"/>
  <c r="H119" i="12"/>
  <c r="G119" i="12"/>
  <c r="H118" i="12"/>
  <c r="G118" i="12"/>
  <c r="H117" i="12"/>
  <c r="G117" i="12"/>
  <c r="H116" i="12"/>
  <c r="G116" i="12"/>
  <c r="H115" i="12"/>
  <c r="G115" i="12"/>
  <c r="H114" i="12"/>
  <c r="G114" i="12"/>
  <c r="H113" i="12"/>
  <c r="G113" i="12"/>
  <c r="H112" i="12"/>
  <c r="G112" i="12"/>
  <c r="H111" i="12"/>
  <c r="G111" i="12"/>
  <c r="H110" i="12"/>
  <c r="G110" i="12"/>
  <c r="H109" i="12"/>
  <c r="G109" i="12"/>
  <c r="H108" i="12"/>
  <c r="G108" i="12"/>
  <c r="H107" i="12"/>
  <c r="G107" i="12"/>
  <c r="H106" i="12"/>
  <c r="G106" i="12"/>
  <c r="H105" i="12"/>
  <c r="G105" i="12"/>
  <c r="H104" i="12"/>
  <c r="G104" i="12"/>
  <c r="H103" i="12"/>
  <c r="G103" i="12"/>
  <c r="H102" i="12"/>
  <c r="G102" i="12"/>
  <c r="H101" i="12"/>
  <c r="G101" i="12"/>
  <c r="H100" i="12"/>
  <c r="G100" i="12"/>
  <c r="H99" i="12"/>
  <c r="G99" i="12"/>
  <c r="H98" i="12"/>
  <c r="G98" i="12"/>
  <c r="H97" i="12"/>
  <c r="G97" i="12"/>
  <c r="H96" i="12"/>
  <c r="G96" i="12"/>
  <c r="H95" i="12"/>
  <c r="G95" i="12"/>
  <c r="H94" i="12"/>
  <c r="G94" i="12"/>
  <c r="H93" i="12"/>
  <c r="G93" i="12"/>
  <c r="H92" i="12"/>
  <c r="G92" i="12"/>
  <c r="H91" i="12"/>
  <c r="G91" i="12"/>
  <c r="H90" i="12"/>
  <c r="G90" i="12"/>
  <c r="H89" i="12"/>
  <c r="G89" i="12"/>
  <c r="H88" i="12"/>
  <c r="G88" i="12"/>
  <c r="H87" i="12"/>
  <c r="G87" i="12"/>
  <c r="H86" i="12"/>
  <c r="G86" i="12"/>
  <c r="H85" i="12"/>
  <c r="G85" i="12"/>
  <c r="H84" i="12"/>
  <c r="G84" i="12"/>
  <c r="H83" i="12"/>
  <c r="G83" i="12"/>
  <c r="H82" i="12"/>
  <c r="G82" i="12"/>
  <c r="H81" i="12"/>
  <c r="G81" i="12"/>
  <c r="H80" i="12"/>
  <c r="G80" i="12"/>
  <c r="H79" i="12"/>
  <c r="G79" i="12"/>
  <c r="H78" i="12"/>
  <c r="G78" i="12"/>
  <c r="H77" i="12"/>
  <c r="G77" i="12"/>
  <c r="H76" i="12"/>
  <c r="G76" i="12"/>
  <c r="H75" i="12"/>
  <c r="G75" i="12"/>
  <c r="H74" i="12"/>
  <c r="G74" i="12"/>
  <c r="H73" i="12"/>
  <c r="G73" i="12"/>
  <c r="H72" i="12"/>
  <c r="G72" i="12"/>
  <c r="H71" i="12"/>
  <c r="G71" i="12"/>
  <c r="H70" i="12"/>
  <c r="G70" i="12"/>
  <c r="H69" i="12"/>
  <c r="G69" i="12"/>
  <c r="H68" i="12"/>
  <c r="G68" i="12"/>
  <c r="H67" i="12"/>
  <c r="G67" i="12"/>
  <c r="H66" i="12"/>
  <c r="G66" i="12"/>
  <c r="H65" i="12"/>
  <c r="G65" i="12"/>
  <c r="H64" i="12"/>
  <c r="G64" i="12"/>
  <c r="H63" i="12"/>
  <c r="G63" i="12"/>
  <c r="H62" i="12"/>
  <c r="G62" i="12"/>
  <c r="H61" i="12"/>
  <c r="G61" i="12"/>
  <c r="H60" i="12"/>
  <c r="G60" i="12"/>
  <c r="H59" i="12"/>
  <c r="G59" i="12"/>
  <c r="H58" i="12"/>
  <c r="G58" i="12"/>
  <c r="H57" i="12"/>
  <c r="G57" i="12"/>
  <c r="H56" i="12"/>
  <c r="G56" i="12"/>
  <c r="H55" i="12"/>
  <c r="G55" i="12"/>
  <c r="H54" i="12"/>
  <c r="G54" i="12"/>
  <c r="H53" i="12"/>
  <c r="G53" i="12"/>
  <c r="H52" i="12"/>
  <c r="G52" i="12"/>
  <c r="H51" i="12"/>
  <c r="G51" i="12"/>
  <c r="H50" i="12"/>
  <c r="G50" i="12"/>
  <c r="H49" i="12"/>
  <c r="G49" i="12"/>
  <c r="H48" i="12"/>
  <c r="G48" i="12"/>
  <c r="H47" i="12"/>
  <c r="G47" i="12"/>
  <c r="H46" i="12"/>
  <c r="G46" i="12"/>
  <c r="H45" i="12"/>
  <c r="G45" i="12"/>
  <c r="H44" i="12"/>
  <c r="G44" i="12"/>
  <c r="H43" i="12"/>
  <c r="G43" i="12"/>
  <c r="H42" i="12"/>
  <c r="G42" i="12"/>
  <c r="H41" i="12"/>
  <c r="G41" i="12"/>
  <c r="H40" i="12"/>
  <c r="G40" i="12"/>
  <c r="H39" i="12"/>
  <c r="G39" i="12"/>
  <c r="H38" i="12"/>
  <c r="G38" i="12"/>
  <c r="H37" i="12"/>
  <c r="G37" i="12"/>
  <c r="H36" i="12"/>
  <c r="G36" i="12"/>
  <c r="H35" i="12"/>
  <c r="G35" i="12"/>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H6" i="12"/>
  <c r="G6" i="12"/>
  <c r="H5" i="12"/>
  <c r="G5" i="12"/>
  <c r="U4" i="12"/>
  <c r="T4" i="12"/>
  <c r="S4" i="12"/>
  <c r="R4" i="12"/>
  <c r="H4" i="12"/>
  <c r="G4" i="12"/>
  <c r="H3" i="12"/>
  <c r="G3" i="12"/>
  <c r="I274" i="14" l="1"/>
  <c r="D276" i="14"/>
  <c r="D275" i="14"/>
  <c r="C274" i="14"/>
  <c r="B274" i="14"/>
  <c r="I22" i="14"/>
  <c r="C44" i="21" l="1"/>
  <c r="F11" i="21"/>
  <c r="D18" i="17"/>
  <c r="D29" i="17"/>
  <c r="E23" i="17"/>
  <c r="E21" i="17"/>
  <c r="I13" i="4"/>
  <c r="C388" i="11"/>
  <c r="C205" i="11" l="1"/>
  <c r="D439" i="11"/>
  <c r="E439" i="11"/>
  <c r="F439" i="11"/>
  <c r="C439" i="11"/>
  <c r="G375" i="11"/>
  <c r="H375" i="11" s="1"/>
  <c r="G374" i="11"/>
  <c r="H374" i="11" s="1"/>
  <c r="G373" i="11"/>
  <c r="H373" i="11" s="1"/>
  <c r="C397" i="11"/>
  <c r="C396" i="11"/>
  <c r="C407" i="11"/>
  <c r="C404" i="11"/>
  <c r="C403" i="11"/>
  <c r="C415" i="11" s="1"/>
  <c r="D377" i="11"/>
  <c r="L238" i="11"/>
  <c r="G238" i="11"/>
  <c r="H238" i="11" s="1"/>
  <c r="L237" i="11"/>
  <c r="G237" i="11"/>
  <c r="H237" i="11" s="1"/>
  <c r="L236" i="11"/>
  <c r="G236" i="11"/>
  <c r="H236" i="11" s="1"/>
  <c r="G203" i="11"/>
  <c r="H203" i="11" s="1"/>
  <c r="F187" i="11"/>
  <c r="E187" i="11"/>
  <c r="D187" i="11"/>
  <c r="C187" i="11"/>
  <c r="G185" i="11"/>
  <c r="H185" i="11" s="1"/>
  <c r="G175" i="11"/>
  <c r="G176" i="11"/>
  <c r="H176" i="11" s="1"/>
  <c r="G146" i="11"/>
  <c r="H146" i="11" s="1"/>
  <c r="G145" i="11"/>
  <c r="H145" i="11" s="1"/>
  <c r="Q60" i="4"/>
  <c r="K34" i="4"/>
  <c r="K30" i="4"/>
  <c r="K21" i="4"/>
  <c r="F32" i="4"/>
  <c r="F28" i="4"/>
  <c r="R57" i="4"/>
  <c r="R56" i="4"/>
  <c r="R55" i="4"/>
  <c r="R54" i="4"/>
  <c r="R53" i="4"/>
  <c r="R52" i="4"/>
  <c r="R51" i="4"/>
  <c r="O58" i="4" s="1"/>
  <c r="R50" i="4"/>
  <c r="R49" i="4"/>
  <c r="R48" i="4"/>
  <c r="R47" i="4"/>
  <c r="R46" i="4"/>
  <c r="R45" i="4"/>
  <c r="R44" i="4"/>
  <c r="AV58" i="4"/>
  <c r="AW57" i="4" s="1"/>
  <c r="AT58" i="4"/>
  <c r="AU57" i="4" s="1"/>
  <c r="K33" i="4" s="1"/>
  <c r="AR58" i="4"/>
  <c r="AS57" i="4" s="1"/>
  <c r="K32" i="4" s="1"/>
  <c r="AP58" i="4"/>
  <c r="AQ51" i="4" s="1"/>
  <c r="J31" i="4" s="1"/>
  <c r="AL58" i="4"/>
  <c r="AM50" i="4" s="1"/>
  <c r="I29" i="4" s="1"/>
  <c r="AJ58" i="4"/>
  <c r="AK57" i="4" s="1"/>
  <c r="K28" i="4" s="1"/>
  <c r="AN58" i="4"/>
  <c r="AO57" i="4" s="1"/>
  <c r="AH58" i="4"/>
  <c r="AI51" i="4" s="1"/>
  <c r="J27" i="4" s="1"/>
  <c r="AF58" i="4"/>
  <c r="AG50" i="4" s="1"/>
  <c r="I26" i="4" s="1"/>
  <c r="AD58" i="4"/>
  <c r="AE57" i="4" s="1"/>
  <c r="K25" i="4" s="1"/>
  <c r="AB58" i="4"/>
  <c r="AC57" i="4" s="1"/>
  <c r="K24" i="4" s="1"/>
  <c r="Z58" i="4"/>
  <c r="AA51" i="4" s="1"/>
  <c r="J23" i="4" s="1"/>
  <c r="X58" i="4"/>
  <c r="Y50" i="4" s="1"/>
  <c r="Y58" i="4" s="1"/>
  <c r="V58" i="4"/>
  <c r="W57" i="4" s="1"/>
  <c r="T58" i="4"/>
  <c r="U50" i="4" s="1"/>
  <c r="I20" i="4" s="1"/>
  <c r="F24" i="4" l="1"/>
  <c r="F31" i="4"/>
  <c r="F29" i="4"/>
  <c r="F33" i="4"/>
  <c r="F20" i="4"/>
  <c r="F30" i="4"/>
  <c r="F34" i="4"/>
  <c r="C416" i="11"/>
  <c r="F21" i="4"/>
  <c r="F25" i="4"/>
  <c r="F22" i="4"/>
  <c r="F26" i="4"/>
  <c r="F23" i="4"/>
  <c r="F27" i="4"/>
  <c r="AW50" i="4"/>
  <c r="I34" i="4" s="1"/>
  <c r="AW51" i="4"/>
  <c r="J34" i="4" s="1"/>
  <c r="AU50" i="4"/>
  <c r="I33" i="4" s="1"/>
  <c r="AU51" i="4"/>
  <c r="J33" i="4" s="1"/>
  <c r="AO50" i="4"/>
  <c r="I30" i="4" s="1"/>
  <c r="Y51" i="4"/>
  <c r="AM51" i="4"/>
  <c r="J29" i="4" s="1"/>
  <c r="AQ57" i="4"/>
  <c r="K31" i="4" s="1"/>
  <c r="AS50" i="4"/>
  <c r="I32" i="4" s="1"/>
  <c r="Y57" i="4"/>
  <c r="AO51" i="4"/>
  <c r="J30" i="4" s="1"/>
  <c r="AS51" i="4"/>
  <c r="J32" i="4" s="1"/>
  <c r="AK51" i="4"/>
  <c r="J28" i="4" s="1"/>
  <c r="AK50" i="4"/>
  <c r="I28" i="4" s="1"/>
  <c r="AG51" i="4"/>
  <c r="J26" i="4" s="1"/>
  <c r="AE50" i="4"/>
  <c r="I25" i="4" s="1"/>
  <c r="AE51" i="4"/>
  <c r="J25" i="4" s="1"/>
  <c r="AA50" i="4"/>
  <c r="I23" i="4" s="1"/>
  <c r="AA57" i="4"/>
  <c r="K23" i="4" s="1"/>
  <c r="W50" i="4"/>
  <c r="I21" i="4" s="1"/>
  <c r="U51" i="4"/>
  <c r="J20" i="4" s="1"/>
  <c r="U57" i="4"/>
  <c r="K20" i="4" s="1"/>
  <c r="AQ50" i="4"/>
  <c r="I31" i="4" s="1"/>
  <c r="AM57" i="4"/>
  <c r="AI57" i="4"/>
  <c r="K27" i="4" s="1"/>
  <c r="AI50" i="4"/>
  <c r="I27" i="4" s="1"/>
  <c r="AG57" i="4"/>
  <c r="K26" i="4" s="1"/>
  <c r="AC51" i="4"/>
  <c r="J24" i="4" s="1"/>
  <c r="AC50" i="4"/>
  <c r="I24" i="4" s="1"/>
  <c r="W51" i="4"/>
  <c r="J21" i="4" s="1"/>
  <c r="P58" i="4"/>
  <c r="P61" i="4" s="1"/>
  <c r="N58" i="4"/>
  <c r="N61" i="4" s="1"/>
  <c r="R58" i="4"/>
  <c r="Q61" i="4" s="1"/>
  <c r="D25" i="17"/>
  <c r="E18" i="17"/>
  <c r="G9" i="22"/>
  <c r="C15" i="17"/>
  <c r="C8" i="20"/>
  <c r="F47" i="21"/>
  <c r="F21" i="21"/>
  <c r="C38" i="21"/>
  <c r="C36" i="21"/>
  <c r="AE67" i="23"/>
  <c r="AE68" i="23" s="1"/>
  <c r="AE69" i="23" s="1"/>
  <c r="AE70" i="23" s="1"/>
  <c r="AE66" i="23"/>
  <c r="AC66" i="23"/>
  <c r="AC67" i="23" s="1"/>
  <c r="AC68" i="23" s="1"/>
  <c r="AC69" i="23" s="1"/>
  <c r="AC70" i="23" s="1"/>
  <c r="AA66" i="23"/>
  <c r="AA67" i="23" s="1"/>
  <c r="AA68" i="23" s="1"/>
  <c r="AA69" i="23" s="1"/>
  <c r="AA70" i="23" s="1"/>
  <c r="AE45" i="23"/>
  <c r="AC45" i="23"/>
  <c r="AA45" i="23"/>
  <c r="AE31" i="23"/>
  <c r="AC31" i="23"/>
  <c r="AA31" i="23"/>
  <c r="AE17" i="23"/>
  <c r="AE46" i="23" s="1"/>
  <c r="AE47" i="23" s="1"/>
  <c r="AE71" i="23" s="1"/>
  <c r="AC17" i="23"/>
  <c r="AC46" i="23" s="1"/>
  <c r="AC47" i="23" s="1"/>
  <c r="AC71" i="23" s="1"/>
  <c r="AA17" i="23"/>
  <c r="AA46" i="23" s="1"/>
  <c r="AA47" i="23" s="1"/>
  <c r="AA71" i="23" s="1"/>
  <c r="P33" i="4" l="1"/>
  <c r="N33" i="4"/>
  <c r="Q33" i="4"/>
  <c r="S33" i="4" s="1"/>
  <c r="T33" i="4" s="1"/>
  <c r="O33" i="4"/>
  <c r="P34" i="4"/>
  <c r="N34" i="4"/>
  <c r="Q34" i="4"/>
  <c r="S34" i="4" s="1"/>
  <c r="T34" i="4" s="1"/>
  <c r="O34" i="4"/>
  <c r="AM58" i="4"/>
  <c r="K29" i="4"/>
  <c r="P29" i="4" s="1"/>
  <c r="AW58" i="4"/>
  <c r="AU58" i="4"/>
  <c r="AS58" i="4"/>
  <c r="AQ58" i="4"/>
  <c r="AO58" i="4"/>
  <c r="AC58" i="4"/>
  <c r="AK58" i="4"/>
  <c r="AI58" i="4"/>
  <c r="AG58" i="4"/>
  <c r="AE58" i="4"/>
  <c r="AA58" i="4"/>
  <c r="W58" i="4"/>
  <c r="U58" i="4"/>
  <c r="Q32" i="4"/>
  <c r="P32" i="4"/>
  <c r="O32" i="4"/>
  <c r="N32" i="4"/>
  <c r="Q31" i="4"/>
  <c r="P31" i="4"/>
  <c r="O31" i="4"/>
  <c r="N31" i="4"/>
  <c r="Q29" i="4"/>
  <c r="O29" i="4"/>
  <c r="N29" i="4"/>
  <c r="Q28" i="4"/>
  <c r="P28" i="4"/>
  <c r="O28" i="4"/>
  <c r="N28" i="4"/>
  <c r="Q30" i="4"/>
  <c r="P30" i="4"/>
  <c r="O30" i="4"/>
  <c r="N30" i="4"/>
  <c r="Q27" i="4"/>
  <c r="P27" i="4"/>
  <c r="O27" i="4"/>
  <c r="N27" i="4"/>
  <c r="Q26" i="4"/>
  <c r="P26" i="4"/>
  <c r="O26" i="4"/>
  <c r="N26" i="4"/>
  <c r="Q25" i="4"/>
  <c r="P25" i="4"/>
  <c r="O25" i="4"/>
  <c r="N25" i="4"/>
  <c r="Q24" i="4"/>
  <c r="P24" i="4"/>
  <c r="O24" i="4"/>
  <c r="N24" i="4"/>
  <c r="Q23" i="4"/>
  <c r="P23" i="4"/>
  <c r="O23" i="4"/>
  <c r="N23" i="4"/>
  <c r="Q22" i="4"/>
  <c r="P22" i="4"/>
  <c r="O22" i="4"/>
  <c r="N22" i="4"/>
  <c r="Q21" i="4"/>
  <c r="P21" i="4"/>
  <c r="O21" i="4"/>
  <c r="N21" i="4"/>
  <c r="P20" i="4"/>
  <c r="Q20" i="4"/>
  <c r="O20" i="4"/>
  <c r="N20" i="4"/>
  <c r="S20" i="4" l="1"/>
  <c r="T20" i="4" s="1"/>
  <c r="S21" i="4"/>
  <c r="T21" i="4" s="1"/>
  <c r="S22" i="4"/>
  <c r="T22" i="4" s="1"/>
  <c r="S23" i="4"/>
  <c r="T23" i="4" s="1"/>
  <c r="S24" i="4"/>
  <c r="T24" i="4" s="1"/>
  <c r="S25" i="4"/>
  <c r="T25" i="4" s="1"/>
  <c r="S26" i="4"/>
  <c r="T26" i="4" s="1"/>
  <c r="S27" i="4"/>
  <c r="T27" i="4" s="1"/>
  <c r="S30" i="4"/>
  <c r="T30" i="4" s="1"/>
  <c r="S28" i="4"/>
  <c r="T28" i="4" s="1"/>
  <c r="S29" i="4"/>
  <c r="T29" i="4" s="1"/>
  <c r="S31" i="4"/>
  <c r="T31" i="4" s="1"/>
  <c r="S32" i="4"/>
  <c r="T32" i="4" s="1"/>
  <c r="R40" i="4"/>
  <c r="Q40" i="4"/>
  <c r="P40" i="4"/>
  <c r="O40" i="4"/>
  <c r="N40" i="4"/>
  <c r="F40" i="4"/>
  <c r="F27" i="19"/>
  <c r="E17" i="19"/>
  <c r="E14" i="19"/>
  <c r="F433" i="11"/>
  <c r="E433" i="11"/>
  <c r="D433" i="11"/>
  <c r="C433" i="11"/>
  <c r="E19" i="19"/>
  <c r="F440" i="11"/>
  <c r="E438" i="11"/>
  <c r="E440" i="11" s="1"/>
  <c r="D440" i="11"/>
  <c r="E18" i="19"/>
  <c r="F409" i="11"/>
  <c r="E409" i="11"/>
  <c r="D409" i="11"/>
  <c r="C409" i="11"/>
  <c r="F416" i="11"/>
  <c r="E416" i="11"/>
  <c r="D416" i="11"/>
  <c r="F415" i="11"/>
  <c r="E415" i="11"/>
  <c r="D415" i="11"/>
  <c r="F413" i="11"/>
  <c r="E413" i="11"/>
  <c r="D413" i="11"/>
  <c r="C413" i="11"/>
  <c r="D14" i="19" s="1"/>
  <c r="G400" i="11"/>
  <c r="H400" i="11" s="1"/>
  <c r="G399" i="11"/>
  <c r="H399" i="11" s="1"/>
  <c r="G398" i="11"/>
  <c r="H398" i="11" s="1"/>
  <c r="G397" i="11"/>
  <c r="H397" i="11" s="1"/>
  <c r="G396" i="11"/>
  <c r="H396" i="11" s="1"/>
  <c r="G395" i="11"/>
  <c r="H395" i="11" s="1"/>
  <c r="H407" i="11"/>
  <c r="G405" i="11"/>
  <c r="H405" i="11" s="1"/>
  <c r="G404" i="11"/>
  <c r="H404" i="11" s="1"/>
  <c r="G403" i="11"/>
  <c r="H403" i="11" s="1"/>
  <c r="G394" i="11"/>
  <c r="H394" i="11" s="1"/>
  <c r="G376" i="11"/>
  <c r="H376" i="11" s="1"/>
  <c r="G372" i="11"/>
  <c r="H372" i="11" s="1"/>
  <c r="G371" i="11"/>
  <c r="H371" i="11" s="1"/>
  <c r="G370" i="11"/>
  <c r="H370" i="11" s="1"/>
  <c r="G369" i="11"/>
  <c r="H369" i="11" s="1"/>
  <c r="G368" i="11"/>
  <c r="H368" i="11" s="1"/>
  <c r="C305" i="11"/>
  <c r="G303" i="11"/>
  <c r="H303" i="11" s="1"/>
  <c r="G235" i="11"/>
  <c r="H235" i="11" s="1"/>
  <c r="F18" i="19" l="1"/>
  <c r="D18" i="19" s="1"/>
  <c r="G27" i="19"/>
  <c r="C440" i="11"/>
  <c r="S40" i="4"/>
  <c r="H413" i="11"/>
  <c r="H409" i="11"/>
  <c r="G413" i="11"/>
  <c r="H415" i="11"/>
  <c r="G409" i="11"/>
  <c r="H416" i="11"/>
  <c r="G416" i="11"/>
  <c r="G415" i="11"/>
  <c r="H175" i="11" l="1"/>
  <c r="G174" i="11"/>
  <c r="H174" i="11" s="1"/>
  <c r="G147" i="11"/>
  <c r="H147" i="11" s="1"/>
  <c r="G144" i="11"/>
  <c r="H144" i="11" s="1"/>
  <c r="G143" i="11"/>
  <c r="H143" i="11" s="1"/>
  <c r="G142" i="11"/>
  <c r="H142" i="11" s="1"/>
  <c r="G141" i="11"/>
  <c r="H141" i="11" s="1"/>
  <c r="G140" i="11"/>
  <c r="H140" i="11" s="1"/>
  <c r="G28" i="11" l="1"/>
  <c r="H28" i="11" s="1"/>
  <c r="F29" i="11"/>
  <c r="E29" i="11"/>
  <c r="D29" i="11"/>
  <c r="C29" i="11"/>
  <c r="I265" i="14" l="1"/>
  <c r="I264" i="14"/>
  <c r="D17" i="19" l="1"/>
  <c r="D19" i="19"/>
  <c r="F10" i="4"/>
  <c r="F8" i="4"/>
  <c r="F9" i="4"/>
  <c r="D23" i="17" s="1"/>
  <c r="E417" i="11" l="1"/>
  <c r="F13" i="4"/>
  <c r="F417" i="11"/>
  <c r="C417" i="11"/>
  <c r="D417" i="11"/>
  <c r="H388" i="11"/>
  <c r="E385" i="11"/>
  <c r="E384" i="11"/>
  <c r="E383" i="11"/>
  <c r="C383" i="11"/>
  <c r="F11" i="8" s="1"/>
  <c r="E382" i="11"/>
  <c r="E378" i="11"/>
  <c r="F377" i="11"/>
  <c r="C377" i="11"/>
  <c r="G367" i="11"/>
  <c r="G366" i="11"/>
  <c r="G365" i="11"/>
  <c r="H365" i="11" s="1"/>
  <c r="G364" i="11"/>
  <c r="H364" i="11" s="1"/>
  <c r="G363" i="11"/>
  <c r="H363" i="11" s="1"/>
  <c r="G424" i="11"/>
  <c r="H424" i="11" s="1"/>
  <c r="G423" i="11"/>
  <c r="H423" i="11" s="1"/>
  <c r="G422" i="11"/>
  <c r="G362" i="11"/>
  <c r="H362" i="11" s="1"/>
  <c r="G361" i="11"/>
  <c r="H361" i="11" s="1"/>
  <c r="G360" i="11"/>
  <c r="H360" i="11" s="1"/>
  <c r="G359" i="11"/>
  <c r="H359" i="11" s="1"/>
  <c r="G358" i="11"/>
  <c r="H358" i="11" s="1"/>
  <c r="G357" i="11"/>
  <c r="H357" i="11" s="1"/>
  <c r="G356" i="11"/>
  <c r="H356" i="11" s="1"/>
  <c r="G355" i="11"/>
  <c r="H355" i="11" s="1"/>
  <c r="G354" i="11"/>
  <c r="H354" i="11" s="1"/>
  <c r="G353" i="11"/>
  <c r="H353" i="11" s="1"/>
  <c r="G352" i="11"/>
  <c r="H352" i="11" s="1"/>
  <c r="G351" i="11"/>
  <c r="F347" i="11"/>
  <c r="F383" i="11" s="1"/>
  <c r="G11" i="8" s="1"/>
  <c r="D347" i="11"/>
  <c r="D383" i="11" s="1"/>
  <c r="G346" i="11"/>
  <c r="H346" i="11" s="1"/>
  <c r="G345" i="11"/>
  <c r="H345" i="11" s="1"/>
  <c r="G344" i="11"/>
  <c r="H344" i="11" s="1"/>
  <c r="G343" i="11"/>
  <c r="H343" i="11" s="1"/>
  <c r="G342" i="11"/>
  <c r="H342" i="11" s="1"/>
  <c r="G341" i="11"/>
  <c r="H341" i="11" s="1"/>
  <c r="G340" i="11"/>
  <c r="H340" i="11" s="1"/>
  <c r="G339" i="11"/>
  <c r="H339" i="11" s="1"/>
  <c r="G338" i="11"/>
  <c r="H338" i="11" s="1"/>
  <c r="G337" i="11"/>
  <c r="H337" i="11" s="1"/>
  <c r="G336" i="11"/>
  <c r="H336" i="11" s="1"/>
  <c r="G335" i="11"/>
  <c r="H335" i="11" s="1"/>
  <c r="G334" i="11"/>
  <c r="H334" i="11" s="1"/>
  <c r="G333" i="11"/>
  <c r="H333" i="11" s="1"/>
  <c r="G332" i="11"/>
  <c r="H332" i="11" s="1"/>
  <c r="G331" i="11"/>
  <c r="H331" i="11" s="1"/>
  <c r="G330" i="11"/>
  <c r="H330" i="11" s="1"/>
  <c r="G329" i="11"/>
  <c r="H329" i="11" s="1"/>
  <c r="G328" i="11"/>
  <c r="H328" i="11" s="1"/>
  <c r="F324" i="11"/>
  <c r="D324" i="11"/>
  <c r="C324" i="11"/>
  <c r="G323" i="11"/>
  <c r="H323" i="11" s="1"/>
  <c r="G322" i="11"/>
  <c r="H322" i="11" s="1"/>
  <c r="F319" i="11"/>
  <c r="D319" i="11"/>
  <c r="G318" i="11"/>
  <c r="H318" i="11" s="1"/>
  <c r="G317" i="11"/>
  <c r="H317" i="11" s="1"/>
  <c r="G316" i="11"/>
  <c r="H316" i="11" s="1"/>
  <c r="G315" i="11"/>
  <c r="H315" i="11" s="1"/>
  <c r="G314" i="11"/>
  <c r="H314" i="11" s="1"/>
  <c r="G313" i="11"/>
  <c r="H313" i="11" s="1"/>
  <c r="G312" i="11"/>
  <c r="H312" i="11" s="1"/>
  <c r="G311" i="11"/>
  <c r="H311" i="11" s="1"/>
  <c r="G310" i="11"/>
  <c r="H310" i="11" s="1"/>
  <c r="G309" i="11"/>
  <c r="H309" i="11" s="1"/>
  <c r="G308" i="11"/>
  <c r="H308" i="11" s="1"/>
  <c r="F305" i="11"/>
  <c r="D305" i="11"/>
  <c r="G304" i="11"/>
  <c r="H304" i="11" s="1"/>
  <c r="L305" i="11" s="1"/>
  <c r="G302" i="11"/>
  <c r="H302" i="11" s="1"/>
  <c r="L304" i="11" s="1"/>
  <c r="G301" i="11"/>
  <c r="H301" i="11" s="1"/>
  <c r="G300" i="11"/>
  <c r="H300" i="11" s="1"/>
  <c r="L301" i="11" s="1"/>
  <c r="G299" i="11"/>
  <c r="H299" i="11" s="1"/>
  <c r="L300" i="11" s="1"/>
  <c r="G298" i="11"/>
  <c r="H298" i="11" s="1"/>
  <c r="L299" i="11" s="1"/>
  <c r="G297" i="11"/>
  <c r="H297" i="11" s="1"/>
  <c r="L298" i="11" s="1"/>
  <c r="G296" i="11"/>
  <c r="H296" i="11" s="1"/>
  <c r="L297" i="11" s="1"/>
  <c r="G295" i="11"/>
  <c r="H295" i="11" s="1"/>
  <c r="L296" i="11" s="1"/>
  <c r="G294" i="11"/>
  <c r="H294" i="11" s="1"/>
  <c r="L295" i="11" s="1"/>
  <c r="G293" i="11"/>
  <c r="H293" i="11" s="1"/>
  <c r="L294" i="11" s="1"/>
  <c r="G292" i="11"/>
  <c r="H292" i="11" s="1"/>
  <c r="L293" i="11" s="1"/>
  <c r="G291" i="11"/>
  <c r="H291" i="11" s="1"/>
  <c r="L292" i="11" s="1"/>
  <c r="G290" i="11"/>
  <c r="H290" i="11" s="1"/>
  <c r="L291" i="11" s="1"/>
  <c r="G289" i="11"/>
  <c r="H289" i="11" s="1"/>
  <c r="L290" i="11" s="1"/>
  <c r="G288" i="11"/>
  <c r="H288" i="11" s="1"/>
  <c r="L289" i="11" s="1"/>
  <c r="G287" i="11"/>
  <c r="H287" i="11" s="1"/>
  <c r="L288" i="11" s="1"/>
  <c r="L287" i="11"/>
  <c r="G286" i="11"/>
  <c r="H286" i="11" s="1"/>
  <c r="L286" i="11"/>
  <c r="G285" i="11"/>
  <c r="H285" i="11" s="1"/>
  <c r="G284" i="11"/>
  <c r="H284" i="11" s="1"/>
  <c r="L285" i="11" s="1"/>
  <c r="G283" i="11"/>
  <c r="H283" i="11" s="1"/>
  <c r="L284" i="11" s="1"/>
  <c r="G282" i="11"/>
  <c r="H282" i="11" s="1"/>
  <c r="L283" i="11" s="1"/>
  <c r="G281" i="11"/>
  <c r="H281" i="11" s="1"/>
  <c r="L282" i="11" s="1"/>
  <c r="G280" i="11"/>
  <c r="H280" i="11" s="1"/>
  <c r="L281" i="11" s="1"/>
  <c r="G279" i="11"/>
  <c r="H279" i="11" s="1"/>
  <c r="L280" i="11" s="1"/>
  <c r="G278" i="11"/>
  <c r="H278" i="11" s="1"/>
  <c r="L279" i="11" s="1"/>
  <c r="G277" i="11"/>
  <c r="H277" i="11" s="1"/>
  <c r="L278" i="11" s="1"/>
  <c r="G276" i="11"/>
  <c r="H276" i="11" s="1"/>
  <c r="L277" i="11" s="1"/>
  <c r="G275" i="11"/>
  <c r="H275" i="11" s="1"/>
  <c r="L276" i="11" s="1"/>
  <c r="L275" i="11"/>
  <c r="G274" i="11"/>
  <c r="H274" i="11" s="1"/>
  <c r="G273" i="11"/>
  <c r="H273" i="11" s="1"/>
  <c r="L274" i="11" s="1"/>
  <c r="G272" i="11"/>
  <c r="H272" i="11" s="1"/>
  <c r="L273" i="11" s="1"/>
  <c r="G271" i="11"/>
  <c r="H271" i="11" s="1"/>
  <c r="L272" i="11" s="1"/>
  <c r="G270" i="11"/>
  <c r="H270" i="11" s="1"/>
  <c r="L271" i="11" s="1"/>
  <c r="L270" i="11"/>
  <c r="G269" i="11"/>
  <c r="H269" i="11" s="1"/>
  <c r="G268" i="11"/>
  <c r="H268" i="11" s="1"/>
  <c r="L269" i="11" s="1"/>
  <c r="G267" i="11"/>
  <c r="H267" i="11" s="1"/>
  <c r="L268" i="11" s="1"/>
  <c r="G266" i="11"/>
  <c r="H266" i="11" s="1"/>
  <c r="L267" i="11" s="1"/>
  <c r="G265" i="11"/>
  <c r="H265" i="11" s="1"/>
  <c r="L266" i="11" s="1"/>
  <c r="G264" i="11"/>
  <c r="H264" i="11" s="1"/>
  <c r="L265" i="11" s="1"/>
  <c r="G263" i="11"/>
  <c r="H263" i="11" s="1"/>
  <c r="L264" i="11" s="1"/>
  <c r="G262" i="11"/>
  <c r="H262" i="11" s="1"/>
  <c r="L263" i="11" s="1"/>
  <c r="G261" i="11"/>
  <c r="H261" i="11" s="1"/>
  <c r="L262" i="11" s="1"/>
  <c r="G260" i="11"/>
  <c r="H260" i="11" s="1"/>
  <c r="L261" i="11" s="1"/>
  <c r="G259" i="11"/>
  <c r="H259" i="11" s="1"/>
  <c r="L260" i="11" s="1"/>
  <c r="G258" i="11"/>
  <c r="H258" i="11" s="1"/>
  <c r="L259" i="11" s="1"/>
  <c r="G257" i="11"/>
  <c r="H257" i="11" s="1"/>
  <c r="L258" i="11" s="1"/>
  <c r="G256" i="11"/>
  <c r="H256" i="11" s="1"/>
  <c r="L257" i="11" s="1"/>
  <c r="G255" i="11"/>
  <c r="H255" i="11" s="1"/>
  <c r="L256" i="11" s="1"/>
  <c r="G254" i="11"/>
  <c r="H254" i="11" s="1"/>
  <c r="L255" i="11" s="1"/>
  <c r="G253" i="11"/>
  <c r="H253" i="11" s="1"/>
  <c r="L254" i="11" s="1"/>
  <c r="G252" i="11"/>
  <c r="H252" i="11" s="1"/>
  <c r="L253" i="11" s="1"/>
  <c r="G251" i="11"/>
  <c r="H251" i="11" s="1"/>
  <c r="L252" i="11" s="1"/>
  <c r="G250" i="11"/>
  <c r="H250" i="11" s="1"/>
  <c r="L251" i="11" s="1"/>
  <c r="G249" i="11"/>
  <c r="H249" i="11" s="1"/>
  <c r="L250" i="11" s="1"/>
  <c r="G248" i="11"/>
  <c r="H248" i="11" s="1"/>
  <c r="L249" i="11" s="1"/>
  <c r="G247" i="11"/>
  <c r="H247" i="11" s="1"/>
  <c r="L248" i="11" s="1"/>
  <c r="G246" i="11"/>
  <c r="H246" i="11" s="1"/>
  <c r="L247" i="11" s="1"/>
  <c r="G245" i="11"/>
  <c r="H245" i="11" s="1"/>
  <c r="L246" i="11" s="1"/>
  <c r="G244" i="11"/>
  <c r="H244" i="11" s="1"/>
  <c r="L245" i="11" s="1"/>
  <c r="G243" i="11"/>
  <c r="H243" i="11" s="1"/>
  <c r="L244" i="11" s="1"/>
  <c r="F240" i="11"/>
  <c r="D240" i="11"/>
  <c r="C240" i="11"/>
  <c r="L239" i="11"/>
  <c r="G239" i="11"/>
  <c r="L234" i="11"/>
  <c r="G234" i="11"/>
  <c r="L233" i="11"/>
  <c r="G233" i="11"/>
  <c r="L232" i="11"/>
  <c r="G232" i="11"/>
  <c r="H232" i="11" s="1"/>
  <c r="L231" i="11"/>
  <c r="G231" i="11"/>
  <c r="H231" i="11" s="1"/>
  <c r="L230" i="11"/>
  <c r="G230" i="11"/>
  <c r="H230" i="11" s="1"/>
  <c r="L229" i="11"/>
  <c r="G229" i="11"/>
  <c r="H229" i="11" s="1"/>
  <c r="L228" i="11"/>
  <c r="G228" i="11"/>
  <c r="H228" i="11" s="1"/>
  <c r="L227" i="11"/>
  <c r="G227" i="11"/>
  <c r="H227" i="11" s="1"/>
  <c r="L226" i="11"/>
  <c r="G226" i="11"/>
  <c r="H226" i="11" s="1"/>
  <c r="L225" i="11"/>
  <c r="G225" i="11"/>
  <c r="H225" i="11" s="1"/>
  <c r="L224" i="11"/>
  <c r="G224" i="11"/>
  <c r="H224" i="11" s="1"/>
  <c r="L223" i="11"/>
  <c r="G223" i="11"/>
  <c r="H223" i="11" s="1"/>
  <c r="L222" i="11"/>
  <c r="G222" i="11"/>
  <c r="H222" i="11" s="1"/>
  <c r="L221" i="11"/>
  <c r="G221" i="11"/>
  <c r="H221" i="11" s="1"/>
  <c r="L220" i="11"/>
  <c r="G220" i="11"/>
  <c r="H220" i="11" s="1"/>
  <c r="L219" i="11"/>
  <c r="G219" i="11"/>
  <c r="H219" i="11" s="1"/>
  <c r="L218" i="11"/>
  <c r="G218" i="11"/>
  <c r="H218" i="11" s="1"/>
  <c r="L217" i="11"/>
  <c r="G217" i="11"/>
  <c r="H217" i="11" s="1"/>
  <c r="L216" i="11"/>
  <c r="G216" i="11"/>
  <c r="H216" i="11" s="1"/>
  <c r="L215" i="11"/>
  <c r="G215" i="11"/>
  <c r="H215" i="11" s="1"/>
  <c r="L214" i="11"/>
  <c r="G214" i="11"/>
  <c r="H214" i="11" s="1"/>
  <c r="L213" i="11"/>
  <c r="G213" i="11"/>
  <c r="H213" i="11" s="1"/>
  <c r="L212" i="11"/>
  <c r="G212" i="11"/>
  <c r="H212" i="11" s="1"/>
  <c r="L211" i="11"/>
  <c r="G211" i="11"/>
  <c r="H211" i="11" s="1"/>
  <c r="L210" i="11"/>
  <c r="G210" i="11"/>
  <c r="H210" i="11" s="1"/>
  <c r="L209" i="11"/>
  <c r="G209" i="11"/>
  <c r="H209" i="11" s="1"/>
  <c r="L208" i="11"/>
  <c r="G208" i="11"/>
  <c r="F205" i="11"/>
  <c r="D205" i="11"/>
  <c r="G204" i="11"/>
  <c r="H204" i="11" s="1"/>
  <c r="G202" i="11"/>
  <c r="H202" i="11" s="1"/>
  <c r="G201" i="11"/>
  <c r="H201" i="11" s="1"/>
  <c r="G200" i="11"/>
  <c r="H200" i="11" s="1"/>
  <c r="G199" i="11"/>
  <c r="H199" i="11" s="1"/>
  <c r="G198" i="11"/>
  <c r="H198" i="11" s="1"/>
  <c r="G197" i="11"/>
  <c r="H197" i="11" s="1"/>
  <c r="G196" i="11"/>
  <c r="H196" i="11" s="1"/>
  <c r="G195" i="11"/>
  <c r="H195" i="11" s="1"/>
  <c r="G194" i="11"/>
  <c r="H194" i="11" s="1"/>
  <c r="G186" i="11"/>
  <c r="H186" i="11" s="1"/>
  <c r="G184" i="11"/>
  <c r="H184" i="11" s="1"/>
  <c r="G183" i="11"/>
  <c r="H183" i="11" s="1"/>
  <c r="G182" i="11"/>
  <c r="H182" i="11" s="1"/>
  <c r="G181" i="11"/>
  <c r="F178" i="11"/>
  <c r="F382" i="11" s="1"/>
  <c r="G10" i="8" s="1"/>
  <c r="D178" i="11"/>
  <c r="D382" i="11" s="1"/>
  <c r="C178" i="11"/>
  <c r="C382" i="11" s="1"/>
  <c r="F10" i="8" s="1"/>
  <c r="G177" i="11"/>
  <c r="H177" i="11" s="1"/>
  <c r="G173" i="11"/>
  <c r="G172" i="11"/>
  <c r="H172" i="11" s="1"/>
  <c r="G171" i="11"/>
  <c r="H171" i="11" s="1"/>
  <c r="G170" i="11"/>
  <c r="H170" i="11" s="1"/>
  <c r="G169" i="11"/>
  <c r="H169" i="11" s="1"/>
  <c r="G168" i="11"/>
  <c r="H168" i="11" s="1"/>
  <c r="G167" i="11"/>
  <c r="H167" i="11" s="1"/>
  <c r="G166" i="11"/>
  <c r="H166" i="11" s="1"/>
  <c r="G165" i="11"/>
  <c r="H165" i="11" s="1"/>
  <c r="G164" i="11"/>
  <c r="H164" i="11" s="1"/>
  <c r="G163" i="11"/>
  <c r="H163" i="11" s="1"/>
  <c r="G162" i="11"/>
  <c r="H162" i="11" s="1"/>
  <c r="G161" i="11"/>
  <c r="H161" i="11" s="1"/>
  <c r="G160" i="11"/>
  <c r="H160" i="11" s="1"/>
  <c r="G159" i="11"/>
  <c r="H159" i="11" s="1"/>
  <c r="G158" i="11"/>
  <c r="H158" i="11" s="1"/>
  <c r="G157" i="11"/>
  <c r="H157" i="11" s="1"/>
  <c r="G156" i="11"/>
  <c r="H156" i="11" s="1"/>
  <c r="G155" i="11"/>
  <c r="H155" i="11" s="1"/>
  <c r="G154" i="11"/>
  <c r="H154" i="11" s="1"/>
  <c r="G153" i="11"/>
  <c r="H153" i="11" s="1"/>
  <c r="G152" i="11"/>
  <c r="H152" i="11" s="1"/>
  <c r="F148" i="11"/>
  <c r="D148" i="11"/>
  <c r="C148" i="11"/>
  <c r="G139" i="11"/>
  <c r="G138" i="11"/>
  <c r="H138" i="11" s="1"/>
  <c r="G137" i="11"/>
  <c r="H137" i="11" s="1"/>
  <c r="G136" i="11"/>
  <c r="H136" i="11" s="1"/>
  <c r="G135" i="11"/>
  <c r="H135" i="11" s="1"/>
  <c r="G134" i="11"/>
  <c r="H134" i="11" s="1"/>
  <c r="G133" i="11"/>
  <c r="H133" i="11" s="1"/>
  <c r="G132" i="11"/>
  <c r="H132" i="11" s="1"/>
  <c r="G131" i="11"/>
  <c r="H131" i="11" s="1"/>
  <c r="G130" i="11"/>
  <c r="H130" i="11" s="1"/>
  <c r="G129" i="11"/>
  <c r="H129" i="11" s="1"/>
  <c r="G128" i="11"/>
  <c r="H128" i="11" s="1"/>
  <c r="G127" i="11"/>
  <c r="H127" i="11" s="1"/>
  <c r="G126" i="11"/>
  <c r="H126" i="11" s="1"/>
  <c r="G125" i="11"/>
  <c r="H125" i="11" s="1"/>
  <c r="G124" i="11"/>
  <c r="H124" i="11" s="1"/>
  <c r="G123" i="11"/>
  <c r="H123" i="11" s="1"/>
  <c r="G122" i="11"/>
  <c r="H122" i="11" s="1"/>
  <c r="G121" i="11"/>
  <c r="H121" i="11" s="1"/>
  <c r="G120" i="11"/>
  <c r="H120" i="11" s="1"/>
  <c r="G119" i="11"/>
  <c r="H119" i="11" s="1"/>
  <c r="G118" i="11"/>
  <c r="H118" i="11" s="1"/>
  <c r="G117" i="11"/>
  <c r="H117" i="11" s="1"/>
  <c r="G116" i="11"/>
  <c r="H116" i="11" s="1"/>
  <c r="G115" i="11"/>
  <c r="H115" i="11" s="1"/>
  <c r="G114" i="11"/>
  <c r="H114" i="11" s="1"/>
  <c r="G113" i="11"/>
  <c r="H113" i="11" s="1"/>
  <c r="G112" i="11"/>
  <c r="H112" i="11" s="1"/>
  <c r="G111" i="11"/>
  <c r="H111" i="11" s="1"/>
  <c r="G110" i="11"/>
  <c r="H110" i="11" s="1"/>
  <c r="G109" i="11"/>
  <c r="H109" i="11" s="1"/>
  <c r="G108" i="11"/>
  <c r="H108" i="11" s="1"/>
  <c r="G107" i="11"/>
  <c r="H107" i="11" s="1"/>
  <c r="G106" i="11"/>
  <c r="H106" i="11" s="1"/>
  <c r="G105" i="11"/>
  <c r="H105" i="11" s="1"/>
  <c r="G104" i="11"/>
  <c r="H104" i="11" s="1"/>
  <c r="G103" i="11"/>
  <c r="H103" i="11" s="1"/>
  <c r="G102" i="11"/>
  <c r="H102" i="11" s="1"/>
  <c r="G101" i="11"/>
  <c r="H101" i="11" s="1"/>
  <c r="G100" i="11"/>
  <c r="H100" i="11" s="1"/>
  <c r="G99" i="11"/>
  <c r="H99" i="11" s="1"/>
  <c r="G98" i="11"/>
  <c r="H98" i="11" s="1"/>
  <c r="G97" i="11"/>
  <c r="H97" i="11" s="1"/>
  <c r="G96" i="11"/>
  <c r="H96" i="11" s="1"/>
  <c r="G95" i="11"/>
  <c r="H95" i="11" s="1"/>
  <c r="G94" i="11"/>
  <c r="H94" i="11" s="1"/>
  <c r="G93" i="11"/>
  <c r="H93" i="11" s="1"/>
  <c r="G92" i="11"/>
  <c r="H92" i="11" s="1"/>
  <c r="G91" i="11"/>
  <c r="H91" i="11" s="1"/>
  <c r="G90" i="11"/>
  <c r="H90" i="11" s="1"/>
  <c r="G89" i="11"/>
  <c r="H89" i="11" s="1"/>
  <c r="G88" i="11"/>
  <c r="H88" i="11" s="1"/>
  <c r="G87" i="11"/>
  <c r="H87" i="11" s="1"/>
  <c r="G86" i="11"/>
  <c r="H86" i="11" s="1"/>
  <c r="G85" i="11"/>
  <c r="H85" i="11" s="1"/>
  <c r="G84" i="11"/>
  <c r="H84" i="11" s="1"/>
  <c r="G83" i="11"/>
  <c r="H83" i="11" s="1"/>
  <c r="G82" i="11"/>
  <c r="H82" i="11" s="1"/>
  <c r="G81" i="11"/>
  <c r="H81" i="11" s="1"/>
  <c r="G80" i="11"/>
  <c r="H80" i="11" s="1"/>
  <c r="G79" i="11"/>
  <c r="H79" i="11" s="1"/>
  <c r="G78" i="11"/>
  <c r="H78" i="11" s="1"/>
  <c r="G77" i="11"/>
  <c r="H77" i="11" s="1"/>
  <c r="G76" i="11"/>
  <c r="H76" i="11" s="1"/>
  <c r="G75" i="11"/>
  <c r="H75" i="11" s="1"/>
  <c r="G74" i="11"/>
  <c r="H74" i="11" s="1"/>
  <c r="G73" i="11"/>
  <c r="H73" i="11" s="1"/>
  <c r="G72" i="11"/>
  <c r="H72" i="11" s="1"/>
  <c r="G71" i="11"/>
  <c r="H71" i="11" s="1"/>
  <c r="G70" i="11"/>
  <c r="H70" i="11" s="1"/>
  <c r="G69" i="11"/>
  <c r="H69" i="11" s="1"/>
  <c r="G68" i="11"/>
  <c r="H68" i="11" s="1"/>
  <c r="G67" i="11"/>
  <c r="H67" i="11" s="1"/>
  <c r="G66" i="11"/>
  <c r="H66" i="11" s="1"/>
  <c r="G65" i="11"/>
  <c r="H65" i="11" s="1"/>
  <c r="G64" i="11"/>
  <c r="H64" i="11" s="1"/>
  <c r="G63" i="11"/>
  <c r="H63" i="11" s="1"/>
  <c r="G62" i="11"/>
  <c r="H62" i="11" s="1"/>
  <c r="G61" i="11"/>
  <c r="H61" i="11" s="1"/>
  <c r="G60" i="11"/>
  <c r="H60" i="11" s="1"/>
  <c r="G59" i="11"/>
  <c r="H59" i="11" s="1"/>
  <c r="G58" i="11"/>
  <c r="H58" i="11" s="1"/>
  <c r="G57" i="11"/>
  <c r="H57" i="11" s="1"/>
  <c r="G56" i="11"/>
  <c r="H56" i="11" s="1"/>
  <c r="G55" i="11"/>
  <c r="H55" i="11" s="1"/>
  <c r="G54" i="11"/>
  <c r="H54" i="11" s="1"/>
  <c r="G53" i="11"/>
  <c r="H53" i="11" s="1"/>
  <c r="G52" i="11"/>
  <c r="H52" i="11" s="1"/>
  <c r="G51" i="11"/>
  <c r="H51" i="11" s="1"/>
  <c r="G50" i="11"/>
  <c r="H50" i="11" s="1"/>
  <c r="G49" i="11"/>
  <c r="H49" i="11" s="1"/>
  <c r="G48" i="11"/>
  <c r="H48" i="11" s="1"/>
  <c r="G47" i="11"/>
  <c r="H47" i="11" s="1"/>
  <c r="G46" i="11"/>
  <c r="H46" i="11" s="1"/>
  <c r="G45" i="11"/>
  <c r="H45" i="11" s="1"/>
  <c r="G44" i="11"/>
  <c r="H44" i="11" s="1"/>
  <c r="G43" i="11"/>
  <c r="H43" i="11" s="1"/>
  <c r="G42" i="11"/>
  <c r="H42" i="11" s="1"/>
  <c r="G41" i="11"/>
  <c r="H41" i="11" s="1"/>
  <c r="G40" i="11"/>
  <c r="H40" i="11" s="1"/>
  <c r="G39" i="11"/>
  <c r="H39" i="11" s="1"/>
  <c r="G38" i="11"/>
  <c r="H38" i="11" s="1"/>
  <c r="G37" i="11"/>
  <c r="H37" i="11" s="1"/>
  <c r="G36" i="11"/>
  <c r="H36" i="11" s="1"/>
  <c r="G35" i="11"/>
  <c r="H35" i="11" s="1"/>
  <c r="G34" i="11"/>
  <c r="H34" i="11" s="1"/>
  <c r="G33" i="11"/>
  <c r="H33" i="11" s="1"/>
  <c r="G32" i="11"/>
  <c r="H32" i="11" s="1"/>
  <c r="G27" i="11"/>
  <c r="H27" i="11" s="1"/>
  <c r="G26" i="11"/>
  <c r="H26" i="11" s="1"/>
  <c r="G25" i="11"/>
  <c r="H25" i="11" s="1"/>
  <c r="G24" i="11"/>
  <c r="H24" i="11" s="1"/>
  <c r="G23" i="11"/>
  <c r="H23" i="11" s="1"/>
  <c r="G22" i="11"/>
  <c r="H22" i="11" s="1"/>
  <c r="G21" i="11"/>
  <c r="H21" i="11" s="1"/>
  <c r="G20" i="11"/>
  <c r="H20" i="11" s="1"/>
  <c r="G19" i="11"/>
  <c r="H19" i="11" s="1"/>
  <c r="G18" i="11"/>
  <c r="H18" i="11" s="1"/>
  <c r="G17" i="11"/>
  <c r="H17" i="11" s="1"/>
  <c r="G16" i="11"/>
  <c r="H16" i="11" s="1"/>
  <c r="G15" i="11"/>
  <c r="H15" i="11" s="1"/>
  <c r="G14" i="11"/>
  <c r="H14" i="11" s="1"/>
  <c r="G13" i="11"/>
  <c r="H13" i="11" s="1"/>
  <c r="G12" i="11"/>
  <c r="H12" i="11" s="1"/>
  <c r="G11" i="11"/>
  <c r="H11" i="11" s="1"/>
  <c r="G10" i="11"/>
  <c r="H10" i="11" s="1"/>
  <c r="G9" i="11"/>
  <c r="G439" i="11" l="1"/>
  <c r="G440" i="11" s="1"/>
  <c r="C385" i="11"/>
  <c r="F13" i="8" s="1"/>
  <c r="H181" i="11"/>
  <c r="H187" i="11" s="1"/>
  <c r="G187" i="11"/>
  <c r="D378" i="11"/>
  <c r="H422" i="11"/>
  <c r="G433" i="11"/>
  <c r="L302" i="11"/>
  <c r="L303" i="11"/>
  <c r="F385" i="11"/>
  <c r="G13" i="8" s="1"/>
  <c r="D384" i="11"/>
  <c r="G29" i="11"/>
  <c r="H9" i="11"/>
  <c r="H29" i="11" s="1"/>
  <c r="H367" i="11"/>
  <c r="D385" i="11"/>
  <c r="F384" i="11"/>
  <c r="G12" i="8" s="1"/>
  <c r="H234" i="11"/>
  <c r="G324" i="11"/>
  <c r="H173" i="11"/>
  <c r="G240" i="11"/>
  <c r="E386" i="11"/>
  <c r="E390" i="11" s="1"/>
  <c r="C384" i="11"/>
  <c r="F12" i="8" s="1"/>
  <c r="H366" i="11"/>
  <c r="H319" i="11"/>
  <c r="G205" i="11"/>
  <c r="H233" i="11"/>
  <c r="H205" i="11"/>
  <c r="H239" i="11"/>
  <c r="G148" i="11"/>
  <c r="H208" i="11"/>
  <c r="G319" i="11"/>
  <c r="H139" i="11"/>
  <c r="H148" i="11" s="1"/>
  <c r="H305" i="11"/>
  <c r="G305" i="11"/>
  <c r="F378" i="11"/>
  <c r="G178" i="11"/>
  <c r="G382" i="11" s="1"/>
  <c r="I14" i="19" s="1"/>
  <c r="C378" i="11"/>
  <c r="H347" i="11"/>
  <c r="H324" i="11"/>
  <c r="G377" i="11"/>
  <c r="H351" i="11"/>
  <c r="G347" i="11"/>
  <c r="H439" i="11" l="1"/>
  <c r="H440" i="11" s="1"/>
  <c r="C386" i="11"/>
  <c r="C390" i="11" s="1"/>
  <c r="G384" i="11"/>
  <c r="I17" i="19" s="1"/>
  <c r="D386" i="11"/>
  <c r="D390" i="11" s="1"/>
  <c r="H382" i="11"/>
  <c r="H240" i="11"/>
  <c r="H178" i="11"/>
  <c r="F386" i="11"/>
  <c r="F390" i="11" s="1"/>
  <c r="F445" i="11" s="1"/>
  <c r="G385" i="11"/>
  <c r="G417" i="11"/>
  <c r="H377" i="11"/>
  <c r="G383" i="11"/>
  <c r="G378" i="11"/>
  <c r="F48" i="21"/>
  <c r="C57" i="21"/>
  <c r="H72" i="14"/>
  <c r="H138" i="14" s="1"/>
  <c r="H205" i="14" s="1"/>
  <c r="C11" i="21"/>
  <c r="J14" i="19"/>
  <c r="F15" i="17"/>
  <c r="C32" i="20"/>
  <c r="C35" i="20" s="1"/>
  <c r="F57" i="21"/>
  <c r="I34" i="14"/>
  <c r="H9" i="22"/>
  <c r="G14" i="19"/>
  <c r="F29" i="17"/>
  <c r="D152" i="14" s="1"/>
  <c r="G17" i="19"/>
  <c r="D84" i="14" s="1"/>
  <c r="I215" i="14" s="1"/>
  <c r="I218" i="14" s="1"/>
  <c r="I220" i="14" s="1"/>
  <c r="G14" i="14" s="1"/>
  <c r="C19" i="20"/>
  <c r="F28" i="17"/>
  <c r="F19" i="21"/>
  <c r="D248" i="14" s="1"/>
  <c r="D245" i="14"/>
  <c r="F15" i="21"/>
  <c r="D249" i="14" s="1"/>
  <c r="G249" i="14"/>
  <c r="G235" i="14"/>
  <c r="I150" i="14"/>
  <c r="I151" i="14"/>
  <c r="I157" i="14"/>
  <c r="D119" i="14"/>
  <c r="D103" i="14"/>
  <c r="D178" i="14"/>
  <c r="D182" i="14" s="1"/>
  <c r="D186" i="14" s="1"/>
  <c r="I194" i="14"/>
  <c r="D14" i="14"/>
  <c r="E19" i="17"/>
  <c r="A3" i="15"/>
  <c r="A1" i="15"/>
  <c r="A3" i="22"/>
  <c r="A1"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G44" i="22"/>
  <c r="C16" i="17" s="1"/>
  <c r="F44" i="22"/>
  <c r="E44" i="22"/>
  <c r="D44" i="22"/>
  <c r="A3" i="16"/>
  <c r="A1"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G44" i="16"/>
  <c r="F44" i="16"/>
  <c r="E44" i="16"/>
  <c r="D44" i="16"/>
  <c r="A3" i="17"/>
  <c r="A1" i="17"/>
  <c r="F25" i="17"/>
  <c r="F27" i="17"/>
  <c r="F12" i="17"/>
  <c r="F10" i="17"/>
  <c r="F9" i="17"/>
  <c r="A3" i="18"/>
  <c r="A1" i="18"/>
  <c r="C24" i="18"/>
  <c r="C30" i="18"/>
  <c r="C12" i="18"/>
  <c r="C15" i="18"/>
  <c r="A4" i="19"/>
  <c r="A1" i="19"/>
  <c r="E15" i="19"/>
  <c r="F15" i="19"/>
  <c r="F20" i="19" s="1"/>
  <c r="F25" i="19" s="1"/>
  <c r="F28" i="19" s="1"/>
  <c r="G24" i="19"/>
  <c r="G23" i="19"/>
  <c r="G22" i="19"/>
  <c r="G11" i="19"/>
  <c r="G12" i="19"/>
  <c r="G13" i="19"/>
  <c r="G9" i="19"/>
  <c r="A3" i="20"/>
  <c r="A1" i="20"/>
  <c r="C49" i="21"/>
  <c r="C28" i="21"/>
  <c r="C33" i="21"/>
  <c r="F36" i="21"/>
  <c r="D112" i="14"/>
  <c r="I259" i="14"/>
  <c r="D211" i="14"/>
  <c r="D209" i="14"/>
  <c r="I208" i="14"/>
  <c r="D208" i="14"/>
  <c r="B208" i="14"/>
  <c r="F173" i="14"/>
  <c r="F169" i="14"/>
  <c r="B163" i="14"/>
  <c r="B161" i="14"/>
  <c r="F155" i="14"/>
  <c r="F153" i="14"/>
  <c r="F154" i="14" s="1"/>
  <c r="D144" i="14"/>
  <c r="D142" i="14"/>
  <c r="I141" i="14"/>
  <c r="D141" i="14"/>
  <c r="B141" i="14"/>
  <c r="F92" i="14"/>
  <c r="F114" i="14" s="1"/>
  <c r="F110" i="14"/>
  <c r="B95" i="14"/>
  <c r="B103" i="14" s="1"/>
  <c r="B94" i="14"/>
  <c r="B102" i="14" s="1"/>
  <c r="B93" i="14"/>
  <c r="B101" i="14" s="1"/>
  <c r="B92" i="14"/>
  <c r="B100" i="14" s="1"/>
  <c r="B91" i="14"/>
  <c r="B99" i="14" s="1"/>
  <c r="F95" i="14"/>
  <c r="F94" i="14"/>
  <c r="G93" i="14"/>
  <c r="F93" i="14"/>
  <c r="G91" i="14"/>
  <c r="F91" i="14"/>
  <c r="D78" i="14"/>
  <c r="D76" i="14"/>
  <c r="I75" i="14"/>
  <c r="D75" i="14"/>
  <c r="B75" i="14"/>
  <c r="I46" i="14"/>
  <c r="I45" i="14"/>
  <c r="F15" i="14"/>
  <c r="D15" i="19"/>
  <c r="C18" i="18" l="1"/>
  <c r="F16" i="17"/>
  <c r="D19" i="17"/>
  <c r="F32" i="21"/>
  <c r="F58" i="21" s="1"/>
  <c r="H384" i="11"/>
  <c r="H378" i="11"/>
  <c r="H417" i="11"/>
  <c r="H44" i="16"/>
  <c r="H385" i="11"/>
  <c r="I18" i="19"/>
  <c r="D94" i="14" s="1"/>
  <c r="C31" i="18"/>
  <c r="G15" i="19"/>
  <c r="D83" i="14" s="1"/>
  <c r="H383" i="11"/>
  <c r="I15" i="19"/>
  <c r="D92" i="14" s="1"/>
  <c r="D100" i="14" s="1"/>
  <c r="C19" i="17"/>
  <c r="C31" i="17" s="1"/>
  <c r="G19" i="19"/>
  <c r="D86" i="14" s="1"/>
  <c r="G386" i="11"/>
  <c r="G390" i="11" s="1"/>
  <c r="F14" i="8"/>
  <c r="E20" i="19"/>
  <c r="E25" i="19" s="1"/>
  <c r="E28" i="19" s="1"/>
  <c r="H44" i="22"/>
  <c r="J15" i="19"/>
  <c r="D161" i="14"/>
  <c r="D91" i="14"/>
  <c r="J17" i="19"/>
  <c r="D162" i="14"/>
  <c r="J18" i="19"/>
  <c r="H13" i="8"/>
  <c r="D20" i="19"/>
  <c r="D25" i="19" s="1"/>
  <c r="D28" i="19" s="1"/>
  <c r="C13" i="20"/>
  <c r="C24" i="20" s="1"/>
  <c r="D174" i="14"/>
  <c r="D175" i="14" s="1"/>
  <c r="D250" i="14"/>
  <c r="E249" i="14" s="1"/>
  <c r="I249" i="14" s="1"/>
  <c r="G248" i="14"/>
  <c r="G15" i="14"/>
  <c r="G17" i="14"/>
  <c r="I17" i="14" s="1"/>
  <c r="G16" i="14"/>
  <c r="I16" i="14" s="1"/>
  <c r="I14" i="14"/>
  <c r="I228" i="14"/>
  <c r="E233" i="14"/>
  <c r="G84" i="14"/>
  <c r="F18" i="17" l="1"/>
  <c r="H386" i="11"/>
  <c r="H390" i="11" s="1"/>
  <c r="D99" i="14"/>
  <c r="D102" i="14"/>
  <c r="D164" i="14"/>
  <c r="G20" i="19"/>
  <c r="I268" i="14"/>
  <c r="D15" i="14" s="1"/>
  <c r="I15" i="14" s="1"/>
  <c r="I18" i="14" s="1"/>
  <c r="G18" i="19"/>
  <c r="D85" i="14" s="1"/>
  <c r="D88" i="14" s="1"/>
  <c r="D239" i="14" s="1"/>
  <c r="D242" i="14" s="1"/>
  <c r="G240" i="14" s="1"/>
  <c r="F19" i="17"/>
  <c r="D234" i="14"/>
  <c r="G234" i="14" s="1"/>
  <c r="G14" i="8"/>
  <c r="J19" i="19"/>
  <c r="C11" i="20" s="1"/>
  <c r="G28" i="19"/>
  <c r="G25" i="19"/>
  <c r="C10" i="21" s="1"/>
  <c r="C26" i="20"/>
  <c r="E248" i="14"/>
  <c r="I248" i="14" s="1"/>
  <c r="I250" i="14" s="1"/>
  <c r="G92" i="14"/>
  <c r="I84" i="14"/>
  <c r="E250" i="14" l="1"/>
  <c r="D233" i="14"/>
  <c r="G233" i="14" s="1"/>
  <c r="I253" i="14"/>
  <c r="D179" i="14"/>
  <c r="G114" i="14"/>
  <c r="I92" i="14"/>
  <c r="D93" i="14" l="1"/>
  <c r="D232" i="14"/>
  <c r="F21" i="17"/>
  <c r="E31" i="17"/>
  <c r="C10" i="20" s="1"/>
  <c r="I114" i="14"/>
  <c r="G161" i="14"/>
  <c r="I161" i="14" s="1"/>
  <c r="I100" i="14"/>
  <c r="I19" i="19" l="1"/>
  <c r="D149" i="14"/>
  <c r="F23" i="17"/>
  <c r="F31" i="17" s="1"/>
  <c r="D31" i="17"/>
  <c r="C9" i="20" s="1"/>
  <c r="C14" i="20" s="1"/>
  <c r="C15" i="20" s="1"/>
  <c r="C17" i="20" s="1"/>
  <c r="C22" i="20" s="1"/>
  <c r="C27" i="20" s="1"/>
  <c r="C30" i="20" s="1"/>
  <c r="E30" i="20" s="1"/>
  <c r="G232" i="14"/>
  <c r="G236" i="14" s="1"/>
  <c r="D236" i="14"/>
  <c r="D101" i="14"/>
  <c r="D104" i="14" s="1"/>
  <c r="D96" i="14"/>
  <c r="C14" i="21" l="1"/>
  <c r="C15" i="21" s="1"/>
  <c r="C21" i="21" s="1"/>
  <c r="C58" i="21" s="1"/>
  <c r="F60" i="21" s="1"/>
  <c r="I27" i="19"/>
  <c r="I236" i="14"/>
  <c r="I223" i="14"/>
  <c r="I225" i="14" s="1"/>
  <c r="I227" i="14" s="1"/>
  <c r="I229" i="14" s="1"/>
  <c r="D158" i="14"/>
  <c r="D117" i="14" s="1"/>
  <c r="D120" i="14" s="1"/>
  <c r="D122" i="14" s="1"/>
  <c r="D189" i="14" s="1"/>
  <c r="D185" i="14" s="1"/>
  <c r="D187" i="14" s="1"/>
  <c r="D192" i="14" s="1"/>
  <c r="D201" i="14" s="1"/>
  <c r="G149" i="14" l="1"/>
  <c r="G118" i="14"/>
  <c r="I118" i="14" s="1"/>
  <c r="I240" i="14"/>
  <c r="K240" i="14" s="1"/>
  <c r="G153" i="14"/>
  <c r="I153" i="14" s="1"/>
  <c r="G154" i="14"/>
  <c r="I154" i="14" s="1"/>
  <c r="G86" i="14"/>
  <c r="G152" i="14"/>
  <c r="G87" i="14" l="1"/>
  <c r="G156" i="14"/>
  <c r="I86" i="14"/>
  <c r="G94" i="14"/>
  <c r="I94" i="14" s="1"/>
  <c r="I152" i="14"/>
  <c r="G162" i="14"/>
  <c r="G155" i="14"/>
  <c r="I155" i="14" s="1"/>
  <c r="I149" i="14"/>
  <c r="I102" i="14" l="1"/>
  <c r="G168" i="14"/>
  <c r="I162" i="14"/>
  <c r="I156" i="14"/>
  <c r="I158" i="14" s="1"/>
  <c r="I117" i="14" s="1"/>
  <c r="G163" i="14"/>
  <c r="I163" i="14" s="1"/>
  <c r="I87" i="14"/>
  <c r="I88" i="14" s="1"/>
  <c r="G88" i="14" s="1"/>
  <c r="G95" i="14"/>
  <c r="I95" i="14" s="1"/>
  <c r="I96" i="14" s="1"/>
  <c r="I164" i="14" l="1"/>
  <c r="I103" i="14"/>
  <c r="I104" i="14" s="1"/>
  <c r="G104" i="14" s="1"/>
  <c r="G169" i="14"/>
  <c r="I169" i="14" s="1"/>
  <c r="I168" i="14"/>
  <c r="G119" i="14"/>
  <c r="I119" i="14" s="1"/>
  <c r="I120" i="14" s="1"/>
  <c r="G171" i="14"/>
  <c r="I171" i="14" l="1"/>
  <c r="G173" i="14"/>
  <c r="G108" i="14"/>
  <c r="G186" i="14"/>
  <c r="I186" i="14" s="1"/>
  <c r="I108" i="14" l="1"/>
  <c r="G109" i="14"/>
  <c r="I173" i="14"/>
  <c r="G174" i="14"/>
  <c r="I174" i="14" s="1"/>
  <c r="I175" i="14" l="1"/>
  <c r="I109" i="14"/>
  <c r="G111" i="14"/>
  <c r="I111" i="14" s="1"/>
  <c r="G110" i="14"/>
  <c r="I110" i="14" s="1"/>
  <c r="I112" i="14" l="1"/>
  <c r="I122" i="14" s="1"/>
  <c r="I189" i="14" s="1"/>
  <c r="I185" i="14" s="1"/>
  <c r="I187" i="14" s="1"/>
  <c r="I192" i="14" s="1"/>
  <c r="I201" i="14" s="1"/>
  <c r="I11" i="14" s="1"/>
  <c r="I24" i="14" l="1"/>
  <c r="D36" i="14" s="1"/>
  <c r="I40" i="14" l="1"/>
  <c r="D37" i="14"/>
  <c r="D40" i="14"/>
  <c r="I42" i="14"/>
  <c r="D42" i="14"/>
  <c r="D41" i="14"/>
  <c r="I41" i="14"/>
</calcChain>
</file>

<file path=xl/comments1.xml><?xml version="1.0" encoding="utf-8"?>
<comments xmlns="http://schemas.openxmlformats.org/spreadsheetml/2006/main">
  <authors>
    <author>chart</author>
  </authors>
  <commentList>
    <comment ref="X47" authorId="0" shapeId="0">
      <text>
        <r>
          <rPr>
            <b/>
            <sz val="9"/>
            <color indexed="81"/>
            <rFont val="Tahoma"/>
            <family val="2"/>
          </rPr>
          <t>chart:</t>
        </r>
        <r>
          <rPr>
            <sz val="9"/>
            <color indexed="81"/>
            <rFont val="Tahoma"/>
            <family val="2"/>
          </rPr>
          <t xml:space="preserve">
G/J entry to correct code charged from CIP account.  No tracked what indiivdual so put into employee 11</t>
        </r>
      </text>
    </comment>
  </commentList>
</comments>
</file>

<file path=xl/sharedStrings.xml><?xml version="1.0" encoding="utf-8"?>
<sst xmlns="http://schemas.openxmlformats.org/spreadsheetml/2006/main" count="2941" uniqueCount="1078">
  <si>
    <t>FIT =</t>
  </si>
  <si>
    <t>SIT=</t>
  </si>
  <si>
    <t xml:space="preserve">  (State Income Tax Rate or Composite SIT)</t>
  </si>
  <si>
    <t>p =</t>
  </si>
  <si>
    <t xml:space="preserve">  (percent of federal income tax deductible for state purposes)</t>
  </si>
  <si>
    <t>L</t>
  </si>
  <si>
    <t>M</t>
  </si>
  <si>
    <t>N</t>
  </si>
  <si>
    <t>O</t>
  </si>
  <si>
    <t>Enter dollar amounts</t>
  </si>
  <si>
    <t>P</t>
  </si>
  <si>
    <t>Q</t>
  </si>
  <si>
    <t>R</t>
  </si>
  <si>
    <t>Includes income related only to transmission facilities, such as pole attachments, rentals and special use.</t>
  </si>
  <si>
    <t>S</t>
  </si>
  <si>
    <t>T</t>
  </si>
  <si>
    <t>U</t>
  </si>
  <si>
    <r>
      <t>I</t>
    </r>
    <r>
      <rPr>
        <sz val="12"/>
        <rFont val="Arial"/>
        <family val="2"/>
      </rPr>
      <t>I.20.b</t>
    </r>
  </si>
  <si>
    <t>Engine Room - houses diessel units</t>
  </si>
  <si>
    <t xml:space="preserve">Building - General Administration </t>
  </si>
  <si>
    <t xml:space="preserve">Ceiling - Administration </t>
  </si>
  <si>
    <t>7TH ST SO. 1-1085</t>
  </si>
  <si>
    <t>7TH ST SO.LABOR  1-10855</t>
  </si>
  <si>
    <t>7TH ST SO TO W RIVER RD 1-10875</t>
  </si>
  <si>
    <t>7TH ST SO TO W RIVER RD LABOR 1-108755</t>
  </si>
  <si>
    <t>XCEL LINES/CUSTOMERS-LABOR 1-10885</t>
  </si>
  <si>
    <t>Clover Springs URD 1-1093</t>
  </si>
  <si>
    <t>CLOVER SPRINGS LABOR 1-10935</t>
  </si>
  <si>
    <t>5TH ST SO URD 1-1106</t>
  </si>
  <si>
    <t>5TH ST SO URD- LABOR 1-11065</t>
  </si>
  <si>
    <t>Parkview Hills URD 1-1127</t>
  </si>
  <si>
    <t>PARKVIEW HILL URD LABOR 1-11275</t>
  </si>
  <si>
    <t>NEW BUSINESS SERVICES 1-1091</t>
  </si>
  <si>
    <t>GENERATOR/SUBSTATION 1-1081</t>
  </si>
  <si>
    <t>OFFICE CABINETS 1-1120</t>
  </si>
  <si>
    <t>REEL TRAILER 1-1082</t>
  </si>
  <si>
    <t>PLANT/UPSTAIRS REMODEL 1-1128</t>
  </si>
  <si>
    <t>PLANT/UPSTAIRS REMODEL LABOR 1-11285</t>
  </si>
  <si>
    <t>TOOLS/EQUIP 1-1110</t>
  </si>
  <si>
    <t>Employee ID # 2</t>
  </si>
  <si>
    <t>Employee ID # 4</t>
  </si>
  <si>
    <t>Employee ID # 11</t>
  </si>
  <si>
    <t>Employee ID # 17</t>
  </si>
  <si>
    <t>Employee ID # 19</t>
  </si>
  <si>
    <t>Employee ID # 24</t>
  </si>
  <si>
    <t>Employee ID # 29</t>
  </si>
  <si>
    <t>Employee ID # 42</t>
  </si>
  <si>
    <t>Employee ID # 45</t>
  </si>
  <si>
    <t>1a</t>
  </si>
  <si>
    <t xml:space="preserve">     Less LSE Expenses included in Transmission O&amp;M Accounts (Note V)</t>
  </si>
  <si>
    <t>TOTAL O&amp;M (sum lines 1, 3, 5a, 6, 7 less 1a,2, 4, 5)</t>
  </si>
  <si>
    <t>LESS ATTACHMENT GG ADJUSTMENT (Attachment GG, page 2, line 3, column 10)  Note W</t>
  </si>
  <si>
    <t>included in Attachment GG)</t>
  </si>
  <si>
    <t>REV. REQUIREMENT TO BE COLLECTED UNDER ATTACHMENT O</t>
  </si>
  <si>
    <t>EIA-412</t>
  </si>
  <si>
    <t>Schedule 2 - ELECTRIC BALANCE SHEET</t>
  </si>
  <si>
    <t>AMOUNT</t>
  </si>
  <si>
    <t>ASSETS and OTHER DEBITS</t>
  </si>
  <si>
    <t>(Dollars)</t>
  </si>
  <si>
    <t>No</t>
  </si>
  <si>
    <t>LIABILITIES and OTHER CREDITS</t>
  </si>
  <si>
    <t>ELECTRIC PLANT</t>
  </si>
  <si>
    <t>PROPRIETARY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</si>
  <si>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</si>
  <si>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</si>
  <si>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</si>
  <si>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</si>
  <si>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</si>
  <si>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</si>
  <si>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</si>
  <si>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</si>
  <si>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</si>
  <si>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</si>
  <si>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Net Electric Plant (sum lines 1-2 less 3)</t>
  </si>
  <si>
    <t>TOTAL PROPRIETARY CAPITAL            (sum lines 29-31)</t>
  </si>
  <si>
    <t>Nuclear Fuel (120.1-120.4, 120.6)</t>
  </si>
  <si>
    <t>LONG TERM DEBT</t>
  </si>
  <si>
    <t>Amortization of Nuclear Fuel</t>
  </si>
  <si>
    <t>Bonds (221, 222) (sum lins 33a-d, include</t>
  </si>
  <si>
    <t>Assemblies (120.5)</t>
  </si>
  <si>
    <t>current portion)</t>
  </si>
  <si>
    <t>Net Electric Plant including Nuclear</t>
  </si>
  <si>
    <t>33a</t>
  </si>
  <si>
    <t>Senior Lien</t>
  </si>
  <si>
    <t>Fuel (sum lines 4-5 less line 6)</t>
  </si>
  <si>
    <t>33b</t>
  </si>
  <si>
    <t>Subordinate Lien</t>
  </si>
  <si>
    <t>OTHER PROPERTY &amp; INVESTMENTS</t>
  </si>
  <si>
    <t>33c</t>
  </si>
  <si>
    <t>Third Lien</t>
  </si>
  <si>
    <t>Non-Electric Plant Property (121)</t>
  </si>
  <si>
    <t>33d</t>
  </si>
  <si>
    <t>Project</t>
  </si>
  <si>
    <t>Depreciation and Amortization (122)</t>
  </si>
  <si>
    <t>Investment in Associated Enterprises</t>
  </si>
  <si>
    <t>Advances from Municipality and Other</t>
  </si>
  <si>
    <t>(123-123.1)</t>
  </si>
  <si>
    <t>Long Term Debt (223, 224)</t>
  </si>
  <si>
    <t>Investments &amp; Special Funds (124-129) (sum line 11a-d)</t>
  </si>
  <si>
    <t xml:space="preserve">Unamortized Premium on Long Term </t>
  </si>
  <si>
    <t>11a</t>
  </si>
  <si>
    <t>Debt Service Deposits &amp; Reserves - See Note 1</t>
  </si>
  <si>
    <t>Debt (225)</t>
  </si>
  <si>
    <t>11b</t>
  </si>
  <si>
    <t xml:space="preserve">Construction Funds - See Note 2 </t>
  </si>
  <si>
    <t>(Less) Unamortized Discount on Long</t>
  </si>
  <si>
    <t>11c</t>
  </si>
  <si>
    <t>Discretionary Reserves - See Note 3</t>
  </si>
  <si>
    <t>Term Debt (226)</t>
  </si>
  <si>
    <t>11d</t>
  </si>
  <si>
    <t>Other Restricted Investments - See Note 4</t>
  </si>
  <si>
    <t>Total Long Term Debt (sum line 33-35 less 36)</t>
  </si>
  <si>
    <t>Total Other Property and Investments       (sum lines 8, 10, 11 less 9)</t>
  </si>
  <si>
    <t>OTHER NONCURRENT LIABILITIES</t>
  </si>
  <si>
    <t>CURRENT &amp; ACCRUED ASSETS</t>
  </si>
  <si>
    <t>Accumulated Operating Provisions (228.1-.4)</t>
  </si>
  <si>
    <t>Cash, Working Funds &amp; Investments</t>
  </si>
  <si>
    <t>Accumulated Provisions for Rate Refunds</t>
  </si>
  <si>
    <t>(131-136)</t>
  </si>
  <si>
    <t>Total Other Non Current Liabilities (sum 38-39)</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</si>
  <si>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</si>
  <si>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</si>
  <si>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</si>
  <si>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</si>
  <si>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</si>
  <si>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</si>
  <si>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</si>
  <si>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</si>
  <si>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</si>
  <si>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</si>
  <si>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</si>
  <si>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</si>
  <si>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</si>
  <si>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</si>
  <si>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</si>
  <si>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</si>
  <si>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</si>
  <si>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</si>
  <si>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</si>
  <si>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</si>
  <si>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             (sum line 41-47)</t>
  </si>
  <si>
    <t>Total Current &amp; Accrued Assets                      ( sum lines 13-15, 17-22 less line 16)</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</si>
  <si>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</si>
  <si>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</si>
  <si>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</si>
  <si>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</si>
  <si>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</si>
  <si>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</si>
  <si>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</si>
  <si>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</si>
  <si>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</si>
  <si>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</si>
  <si>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</si>
  <si>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</si>
  <si>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</si>
  <si>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</si>
  <si>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Total Deferred Debits (sum  line 24-26)</t>
  </si>
  <si>
    <t>Total Deferred Credits</t>
  </si>
  <si>
    <t>TOTAL ASSETS &amp; OTHER DEBITS             (sum of lines 7, 12, 23, 27)</t>
  </si>
  <si>
    <t>TOTAL LIABILITIES &amp; OTHER CREDITS</t>
  </si>
  <si>
    <t>Note 1 - includes debt service reserve funds, P&amp;I and sinking fund deposits</t>
  </si>
  <si>
    <t>Note 2 - funds from bond proceeds</t>
  </si>
  <si>
    <t>Note 3 - includes rate stabilization funds and O&amp;M and R&amp;R reserves</t>
  </si>
  <si>
    <t>Note 4 - includes any remaining restricted funds unavailable for operations or debt service, such as decommissioning funds</t>
  </si>
  <si>
    <t>Schedule 3 - 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</si>
  <si>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</si>
  <si>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</si>
  <si>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</si>
  <si>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</si>
  <si>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</si>
  <si>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</si>
  <si>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 (sum lines 2-6)</t>
  </si>
  <si>
    <t xml:space="preserve">        NET ELECTRIC OPERATING INCOME (line 1 less line 7)</t>
  </si>
  <si>
    <t>Income from Electric Plant Leased to Others (412, 413)</t>
  </si>
  <si>
    <t xml:space="preserve">    Electric Operating Income (sum lines 8, 9)</t>
  </si>
  <si>
    <t>Other Electric Income (explain significant amounts in a footnote) (415, 417, 418, 419, 421, 421.1)</t>
  </si>
  <si>
    <t>Other Electric Deductions (explain significant amounts in a footnote) (416, 417, 421.2)</t>
  </si>
  <si>
    <t>Allowance for Other Funds Used During Construction (419.1)</t>
  </si>
  <si>
    <t>Taxes Applicable to Other Income and Deductions (408.2, 409.2)</t>
  </si>
  <si>
    <t xml:space="preserve">    Electric Income (sumlines 10, 11, 13 less lines 12, 14)</t>
  </si>
  <si>
    <t>Income Deductions from Interest on Long Term Debt (427)</t>
  </si>
  <si>
    <t>Other Income Deductions (explain significant amounts in a footnote) (428-431)</t>
  </si>
  <si>
    <t>Allowance for Borrowed Funds Used During Construction (432)</t>
  </si>
  <si>
    <t xml:space="preserve">    Total Income Deductions (sum line 16-18)</t>
  </si>
  <si>
    <t xml:space="preserve">        Income Before Extraordinary Items (line 15 less line 19)</t>
  </si>
  <si>
    <t>Extraordinary Items (434)</t>
  </si>
  <si>
    <t>Extraordinary Deductions (435)</t>
  </si>
  <si>
    <t xml:space="preserve">        NET INCOME (sum lines 20, 21 less line 22)</t>
  </si>
  <si>
    <t>Senior Lien Debt Service - See Note 1</t>
  </si>
  <si>
    <t>Subordinate Lien Debt Service - See Note 1</t>
  </si>
  <si>
    <t>Third Lien Debt Service - See Note 1</t>
  </si>
  <si>
    <t>Project Debt Service - See Note 1</t>
  </si>
  <si>
    <t>Aggregate Debt Service</t>
  </si>
  <si>
    <t>General Fund Transfers (excl. Taxes and Tax Equivalents listed above)</t>
  </si>
  <si>
    <t>Note 1 - required deposits to the P&amp;I fund during the fiscal year without regard to interest earnings on debt service;</t>
  </si>
  <si>
    <t>include interest expense for CP and short-term notes where appropriate.</t>
  </si>
  <si>
    <t xml:space="preserve">Beginning </t>
  </si>
  <si>
    <t>Ending</t>
  </si>
  <si>
    <t>Balance</t>
  </si>
  <si>
    <t>Retirements</t>
  </si>
  <si>
    <t>Transfers</t>
  </si>
  <si>
    <t>Intangible Plant (301-303)</t>
  </si>
  <si>
    <t>Steam Production (310-316)</t>
  </si>
  <si>
    <t>Nuclear Production (320-325)</t>
  </si>
  <si>
    <t>Hydraulic Production (330-336)</t>
  </si>
  <si>
    <t>ACCUM DEPR</t>
  </si>
  <si>
    <t>Total Production Plant (sum lines 2-5)</t>
  </si>
  <si>
    <t>Transmission Plant (350-359)</t>
  </si>
  <si>
    <t>Distribution Plant (360-373)</t>
  </si>
  <si>
    <t>General Plant (389-399)</t>
  </si>
  <si>
    <t>Total Electric Plant In Service              (sum lines 1, 6-9)</t>
  </si>
  <si>
    <t>Electric Plant Leased to Others (104)</t>
  </si>
  <si>
    <t>Electric Plant Held for Future Use (105)</t>
  </si>
  <si>
    <t>Electric Plant Miscellaneous (102,103,106,114,116)</t>
  </si>
  <si>
    <t>Electric Plant &amp; Adjustments                (sum lines 10-13)</t>
  </si>
  <si>
    <t>Construction Work in Progress Electric (107)</t>
  </si>
  <si>
    <t>Total Electric Plant &amp; Adjustments      (sum lines 14, 15)</t>
  </si>
  <si>
    <t>SCHEDULE 5. TAXES, TAX EQUIVALENTS, CONTRIBUTIONS, AND SERVICES DURING YEAR</t>
  </si>
  <si>
    <t xml:space="preserve">Line </t>
  </si>
  <si>
    <t>SUBJECT PAYMENTS TO MUNICIPALITY OR OTHER GOVERNMENT UNITS</t>
  </si>
  <si>
    <t>Taxes other than Income Taxes, Operating Income</t>
  </si>
  <si>
    <t>Income Taxes, Operating Income (409.1)</t>
  </si>
  <si>
    <t xml:space="preserve">    Taxes and Tax Equivalents (sum of lines 1,2)</t>
  </si>
  <si>
    <t>Taxes Other than Income Taxes, other Income and Deductions (408.2)</t>
  </si>
  <si>
    <t>Income Taxes, Other Income and Deductions (409.2)</t>
  </si>
  <si>
    <t xml:space="preserve">    Taxes Applicable to Other Income and Deductions (sum of lines 4,5)</t>
  </si>
  <si>
    <t>Transfers from Retained Earnings (State and Local)</t>
  </si>
  <si>
    <t>Other Transfers from Retained Earnings</t>
  </si>
  <si>
    <t xml:space="preserve">    Total Taxes and Transfers (sum of lines 3,6-8)</t>
  </si>
  <si>
    <t>CONTRIBUTIONS OF SERVICES AND MATERIALS TO STATE AND LOCAL GOVERNMENTS</t>
  </si>
  <si>
    <t>Free or Below-Cost Electric Service</t>
  </si>
  <si>
    <t>Use of Electric Department Employees</t>
  </si>
  <si>
    <t>Use of Electric Department Vehicles and Other Equipment</t>
  </si>
  <si>
    <t>Materials and Supplies</t>
  </si>
  <si>
    <t xml:space="preserve">    Total Contributions Provided (sum of lines 10-13)</t>
  </si>
  <si>
    <t>CONTRIBUTIONS OF SERVICE AND MATERIALS FROM STATE AND LOCAL GOVERNMENTS</t>
  </si>
  <si>
    <t>Free or Below-Cost Services</t>
  </si>
  <si>
    <t>Use of State or Local Employees (Not on Payroll of Reporting Entity)</t>
  </si>
  <si>
    <t>Use of State or Local Vehicles and Other Equipment</t>
  </si>
  <si>
    <t xml:space="preserve">    Total Contributions Received (sum of lines 15-18)</t>
  </si>
  <si>
    <t xml:space="preserve">    Net Contributions and Services to Municipality or Other Government Units                                          (line 14, less line 19)</t>
  </si>
  <si>
    <t>Schedule 7 - ELECTRIC OPERATION AND MAINTENANCE EXPENSES (Dollars)</t>
  </si>
  <si>
    <t>Fuel Cost</t>
  </si>
  <si>
    <t>Operation</t>
  </si>
  <si>
    <t>Maintenance</t>
  </si>
  <si>
    <t>Steam Power Generation</t>
  </si>
  <si>
    <t>(500-507, 510-514) Fuel Cost (501)</t>
  </si>
  <si>
    <t>Nuclear Power Generation (517-525, 528-532) Fule Cost (518)</t>
  </si>
  <si>
    <t>Hydraulic Power Generation</t>
  </si>
  <si>
    <t>(535-540, 541-545)</t>
  </si>
  <si>
    <t>Other Power Generation</t>
  </si>
  <si>
    <t>(546-550, 551-554) Fuel cost (547)</t>
  </si>
  <si>
    <t>Specify: Combustion Turbines</t>
  </si>
  <si>
    <t>Purchased Power (555)</t>
  </si>
  <si>
    <t>Other Production Expenses</t>
  </si>
  <si>
    <t>(556-557)</t>
  </si>
  <si>
    <t xml:space="preserve">   Total Production Expenses</t>
  </si>
  <si>
    <t>Transmission Expenses</t>
  </si>
  <si>
    <t>(560-567, 568-573)</t>
  </si>
  <si>
    <t>xxxxxxxxxxxxxx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</si>
  <si>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</si>
  <si>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</si>
  <si>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</si>
  <si>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</si>
  <si>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</si>
  <si>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</si>
  <si>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</si>
  <si>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</si>
  <si>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</si>
  <si>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</si>
  <si>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</si>
  <si>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</si>
  <si>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6 - SALES OF ELECTRICITY FOR RESALE (Acct 447)</t>
  </si>
  <si>
    <t xml:space="preserve">Electricity </t>
  </si>
  <si>
    <t>Annual</t>
  </si>
  <si>
    <t>Demand</t>
  </si>
  <si>
    <t>Energy,</t>
  </si>
  <si>
    <t xml:space="preserve">Total </t>
  </si>
  <si>
    <t>Type</t>
  </si>
  <si>
    <t>Sold</t>
  </si>
  <si>
    <t>Max Demand</t>
  </si>
  <si>
    <t>Charges</t>
  </si>
  <si>
    <t xml:space="preserve">Other </t>
  </si>
  <si>
    <t>Rev Sttlmt</t>
  </si>
  <si>
    <t>Sales Made To:</t>
  </si>
  <si>
    <t>Code</t>
  </si>
  <si>
    <t>(MWH)</t>
  </si>
  <si>
    <t>(MW)</t>
  </si>
  <si>
    <t>($)</t>
  </si>
  <si>
    <t>Charges ($)</t>
  </si>
  <si>
    <t>Schedule 8 - PURCHASES OF ELECTRICITY FOR RESALE (Acct 555)</t>
  </si>
  <si>
    <t>Purchased</t>
  </si>
  <si>
    <t>Purchases From</t>
  </si>
  <si>
    <t>Xcel Energy, MISO</t>
  </si>
  <si>
    <t>FP,OT</t>
  </si>
  <si>
    <t>Notes:</t>
  </si>
  <si>
    <t>Utilizing EIA Form 412 Data</t>
  </si>
  <si>
    <t>(line 16/260; line 16/365)</t>
  </si>
  <si>
    <t>(line 16/4160; line 16/8760</t>
  </si>
  <si>
    <t>IV.6.e</t>
  </si>
  <si>
    <t>IV.7.e</t>
  </si>
  <si>
    <t>IV.8.e</t>
  </si>
  <si>
    <t>EIA 412</t>
  </si>
  <si>
    <t>Reference</t>
  </si>
  <si>
    <t>IV.12.e     (Note G)</t>
  </si>
  <si>
    <t>VII.8.d</t>
  </si>
  <si>
    <t>VII.13.d</t>
  </si>
  <si>
    <t xml:space="preserve">     Less EPRI &amp; Reg. Comm. Exp. &amp; Non-safety Ad. (Note I)</t>
  </si>
  <si>
    <t>(Revenue Requirement for facilities included on page 2, line 2, and also</t>
  </si>
  <si>
    <t>32a</t>
  </si>
  <si>
    <t>Removes dollar amount of transmission expenses included in the OATT ancillary services rates, including Account Nos. 561.1, 561.2, 561.3, and 561.BA.</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</si>
  <si>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</si>
  <si>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Line 29 must equal zero since all short-term power sales must be unbundled and the transmission component reflected in Account No. 456.1 and all other uses are to be included in the divisor.</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</si>
  <si>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</si>
  <si>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V</t>
  </si>
  <si>
    <t>W</t>
  </si>
  <si>
    <t>X</t>
  </si>
  <si>
    <t>Included transmission expenses (line 6 less line 7)</t>
  </si>
  <si>
    <t>Line 31 supported by notes in Form 412 or detailed Schedule</t>
  </si>
  <si>
    <t>Line 32 supported by notes in Form 412 or detailed Schedule</t>
  </si>
  <si>
    <t>DEPR</t>
  </si>
  <si>
    <t>Production</t>
  </si>
  <si>
    <t>Transmission</t>
  </si>
  <si>
    <t>Distribution</t>
  </si>
  <si>
    <t>Total</t>
  </si>
  <si>
    <t xml:space="preserve">Salary and Wages </t>
  </si>
  <si>
    <t>Other (non A&amp;G)</t>
  </si>
  <si>
    <t>Employees (Do not include names)</t>
  </si>
  <si>
    <t>Wages</t>
  </si>
  <si>
    <t>% Spent on Production</t>
  </si>
  <si>
    <t>% Spent on Transmission</t>
  </si>
  <si>
    <t>% Spent on Distribution</t>
  </si>
  <si>
    <t>% Spent on Other (non A&amp;G)</t>
  </si>
  <si>
    <t>Gross Plant</t>
  </si>
  <si>
    <t>Depreciation Expense</t>
  </si>
  <si>
    <t>General</t>
  </si>
  <si>
    <t>DS3:  Delano Schedule 3 -  Depreciation Expense</t>
  </si>
  <si>
    <t>Date In</t>
  </si>
  <si>
    <t>Book</t>
  </si>
  <si>
    <t>Property Description</t>
  </si>
  <si>
    <t>Service</t>
  </si>
  <si>
    <t>Cost</t>
  </si>
  <si>
    <t>Period</t>
  </si>
  <si>
    <t>GROUP: BUILDING</t>
  </si>
  <si>
    <t>01/01/75</t>
  </si>
  <si>
    <t>12/31/79</t>
  </si>
  <si>
    <t>Office Remodeling</t>
  </si>
  <si>
    <t>12/31/83</t>
  </si>
  <si>
    <t>12/31/84</t>
  </si>
  <si>
    <t>12/31/89</t>
  </si>
  <si>
    <t>03/03/94</t>
  </si>
  <si>
    <t>Warehouse</t>
  </si>
  <si>
    <t>12/27/95</t>
  </si>
  <si>
    <t>11/05/97</t>
  </si>
  <si>
    <t>2/26/98</t>
  </si>
  <si>
    <t>City Shed-Cement Slab</t>
  </si>
  <si>
    <t>11/03/99</t>
  </si>
  <si>
    <t>11/06/00</t>
  </si>
  <si>
    <t>12/31/01</t>
  </si>
  <si>
    <t>Warehouse Roof</t>
  </si>
  <si>
    <t>7/01/02</t>
  </si>
  <si>
    <t>Sidewalk</t>
  </si>
  <si>
    <t>06/30/04</t>
  </si>
  <si>
    <t>BUILDING</t>
  </si>
  <si>
    <t xml:space="preserve"> </t>
  </si>
  <si>
    <t>GROUP: DISTRIBUTION</t>
  </si>
  <si>
    <t>12/31/75</t>
  </si>
  <si>
    <t>Transformers</t>
  </si>
  <si>
    <t>12/31/76</t>
  </si>
  <si>
    <t>Engineering</t>
  </si>
  <si>
    <t>12/31/77</t>
  </si>
  <si>
    <t>12/31/78</t>
  </si>
  <si>
    <t>12/31/80</t>
  </si>
  <si>
    <t>Additions</t>
  </si>
  <si>
    <t>12/31/81</t>
  </si>
  <si>
    <t>Street Lights</t>
  </si>
  <si>
    <t>System Addition</t>
  </si>
  <si>
    <t>12/31/85</t>
  </si>
  <si>
    <t>12/31/86</t>
  </si>
  <si>
    <t>12/31/88</t>
  </si>
  <si>
    <t>12/31/90</t>
  </si>
  <si>
    <t>Underground Lines</t>
  </si>
  <si>
    <t>07/08/94</t>
  </si>
  <si>
    <t>11/08/94</t>
  </si>
  <si>
    <t>09/01/95</t>
  </si>
  <si>
    <t>08/01/96</t>
  </si>
  <si>
    <t>12/03/96</t>
  </si>
  <si>
    <t>08/06/97</t>
  </si>
  <si>
    <t>8/06/97</t>
  </si>
  <si>
    <t>Maint/Underground</t>
  </si>
  <si>
    <t>6/01/98</t>
  </si>
  <si>
    <t>Maint/Transformers</t>
  </si>
  <si>
    <t>06/01/98</t>
  </si>
  <si>
    <t>Rockford &amp; 5th Distribution</t>
  </si>
  <si>
    <t>12/31/99</t>
  </si>
  <si>
    <t>15Kv Capacity bank</t>
  </si>
  <si>
    <t>04/05/00</t>
  </si>
  <si>
    <t>9/30/00</t>
  </si>
  <si>
    <t>Underground Lines/Cty Rd</t>
  </si>
  <si>
    <t>Underground Lines/West</t>
  </si>
  <si>
    <t>Underground Line/Downtown</t>
  </si>
  <si>
    <t>7/01/03</t>
  </si>
  <si>
    <t>Underground Line/Industrial</t>
  </si>
  <si>
    <t>Pine Ridge URD</t>
  </si>
  <si>
    <t>9/30/04</t>
  </si>
  <si>
    <t>Clover Springs URD</t>
  </si>
  <si>
    <t>Kings Pointe</t>
  </si>
  <si>
    <t>09/30/04</t>
  </si>
  <si>
    <t>Elm Avenue</t>
  </si>
  <si>
    <t>Franklin 12.5 feed</t>
  </si>
  <si>
    <t>Delano Crossing</t>
  </si>
  <si>
    <t>5TH Street URD</t>
  </si>
  <si>
    <t>Franklin E 12.5 Feed</t>
  </si>
  <si>
    <t>11/01/05</t>
  </si>
  <si>
    <t>Downtown URD</t>
  </si>
  <si>
    <t>12/01/05</t>
  </si>
  <si>
    <t>XCEL Lines</t>
  </si>
  <si>
    <t>Parkview Hills URD</t>
  </si>
  <si>
    <t>Westridge URD</t>
  </si>
  <si>
    <t>Fuel Tank Upgrade</t>
  </si>
  <si>
    <t>West River Road-Labor</t>
  </si>
  <si>
    <t>West River Road</t>
  </si>
  <si>
    <t>Warehouse-Labor</t>
  </si>
  <si>
    <t>XCEL Lines-Labor</t>
  </si>
  <si>
    <t>Streetlights-Labor</t>
  </si>
  <si>
    <t>Streetlights</t>
  </si>
  <si>
    <t>Transformer</t>
  </si>
  <si>
    <t>Tools/Equipment</t>
  </si>
  <si>
    <t>MCKinley URD</t>
  </si>
  <si>
    <t>MCKinley URD LABOR</t>
  </si>
  <si>
    <t>Highland URD-Labor</t>
  </si>
  <si>
    <t>Highland URD</t>
  </si>
  <si>
    <t>Delano Crossing-Labor</t>
  </si>
  <si>
    <t>Fuel Tank Upgrade-Labor</t>
  </si>
  <si>
    <t>No. of RR Tracks URD</t>
  </si>
  <si>
    <t>No. of RR Tracks URD-Labor</t>
  </si>
  <si>
    <t>County Rd 30</t>
  </si>
  <si>
    <t xml:space="preserve">DISTRIBUTION  </t>
  </si>
  <si>
    <t>GROUP: GENERATING</t>
  </si>
  <si>
    <t>Generating Equipment</t>
  </si>
  <si>
    <t>Addtions</t>
  </si>
  <si>
    <t>Additions To eng/Generator</t>
  </si>
  <si>
    <t>12/31/91</t>
  </si>
  <si>
    <t>Generator 7</t>
  </si>
  <si>
    <t>8/05/94</t>
  </si>
  <si>
    <t>Cooling tower</t>
  </si>
  <si>
    <t>10/01/96</t>
  </si>
  <si>
    <t>4/02/97</t>
  </si>
  <si>
    <t>Unit 6 control System</t>
  </si>
  <si>
    <t>12/03/97</t>
  </si>
  <si>
    <t>Generator 2</t>
  </si>
  <si>
    <t>9/03/99</t>
  </si>
  <si>
    <t>Generator Update</t>
  </si>
  <si>
    <t>5/02/00</t>
  </si>
  <si>
    <t>10/04/00</t>
  </si>
  <si>
    <t>Unit #9</t>
  </si>
  <si>
    <t xml:space="preserve">GENERATING  </t>
  </si>
  <si>
    <t>GROUP: IMP</t>
  </si>
  <si>
    <t>Blacktop Driveway</t>
  </si>
  <si>
    <t>Land Improvements</t>
  </si>
  <si>
    <t>01/01/91</t>
  </si>
  <si>
    <t>Fence</t>
  </si>
  <si>
    <t>11/06/95</t>
  </si>
  <si>
    <t>Alley Paving</t>
  </si>
  <si>
    <t>IMP</t>
  </si>
  <si>
    <t>GROUP: LAND</t>
  </si>
  <si>
    <t>Land</t>
  </si>
  <si>
    <t>LAND</t>
  </si>
  <si>
    <t>GROUP: METERS</t>
  </si>
  <si>
    <t>Meters</t>
  </si>
  <si>
    <t>12/31/04</t>
  </si>
  <si>
    <t>5/31/05</t>
  </si>
  <si>
    <t>METERS</t>
  </si>
  <si>
    <t>GROUP: OFFICE</t>
  </si>
  <si>
    <t>2 Typewriters</t>
  </si>
  <si>
    <t>Stove 7 Refrigerator</t>
  </si>
  <si>
    <t>Perforating Machine</t>
  </si>
  <si>
    <t>Desk-Chair File</t>
  </si>
  <si>
    <t>12/01/00</t>
  </si>
  <si>
    <t>Office Equipment/microwave</t>
  </si>
  <si>
    <t>Desks</t>
  </si>
  <si>
    <t>Desk</t>
  </si>
  <si>
    <t>4/01/03</t>
  </si>
  <si>
    <t>Vacuum Cleaner</t>
  </si>
  <si>
    <t>9/30/03</t>
  </si>
  <si>
    <t>Phone System</t>
  </si>
  <si>
    <t>2/17/04</t>
  </si>
  <si>
    <t>Projector</t>
  </si>
  <si>
    <t>8/31/04</t>
  </si>
  <si>
    <t>File Cabinet</t>
  </si>
  <si>
    <t>OFFICE</t>
  </si>
  <si>
    <t>GROUP: PLANT</t>
  </si>
  <si>
    <t>Phasing Tester</t>
  </si>
  <si>
    <t>Tools</t>
  </si>
  <si>
    <t>Hydraulic Crimper</t>
  </si>
  <si>
    <t>Chipper</t>
  </si>
  <si>
    <t>1/01/82</t>
  </si>
  <si>
    <t>2 Ton Hoist</t>
  </si>
  <si>
    <t>28' Fiberglass Ladder</t>
  </si>
  <si>
    <t>JD Tractor</t>
  </si>
  <si>
    <t>Drywall Shooter</t>
  </si>
  <si>
    <t>Softener</t>
  </si>
  <si>
    <t>ABM Equip Tool Board</t>
  </si>
  <si>
    <t>Overhead ARM</t>
  </si>
  <si>
    <t>Pipe Threader</t>
  </si>
  <si>
    <t>Coleman Generator</t>
  </si>
  <si>
    <t>Steel Shelving</t>
  </si>
  <si>
    <t>Wrenches</t>
  </si>
  <si>
    <t>Reel Stand</t>
  </si>
  <si>
    <t>Cable Locator</t>
  </si>
  <si>
    <t>Equipment</t>
  </si>
  <si>
    <t>Pneumatic boring tool</t>
  </si>
  <si>
    <t>Cut Off Saw</t>
  </si>
  <si>
    <t>Dual Frequency locator</t>
  </si>
  <si>
    <t>Hydraulic Compression Tool</t>
  </si>
  <si>
    <t>Ram &amp; foot Pump</t>
  </si>
  <si>
    <t>Fault Locator</t>
  </si>
  <si>
    <t>Fire Alarm</t>
  </si>
  <si>
    <t>Hoists</t>
  </si>
  <si>
    <t>Battery Crimping Tool</t>
  </si>
  <si>
    <t>Megger (HV-MS)</t>
  </si>
  <si>
    <t>Chain Hoist</t>
  </si>
  <si>
    <t>Pressure Washer</t>
  </si>
  <si>
    <t>Electric Boiler</t>
  </si>
  <si>
    <t>Drill/Saw Kit</t>
  </si>
  <si>
    <t>Infrared Thermometer</t>
  </si>
  <si>
    <t>Welder</t>
  </si>
  <si>
    <t>Lifting Beam</t>
  </si>
  <si>
    <t>Man Lift</t>
  </si>
  <si>
    <t>Honda Generator</t>
  </si>
  <si>
    <t>Hydrolic Crimper</t>
  </si>
  <si>
    <t>Forklift</t>
  </si>
  <si>
    <t>Crimper</t>
  </si>
  <si>
    <t>Window Replacement</t>
  </si>
  <si>
    <t>PLANT</t>
  </si>
  <si>
    <t>GROUP: STREET</t>
  </si>
  <si>
    <t>Street Lighting</t>
  </si>
  <si>
    <t>Lights</t>
  </si>
  <si>
    <t>Westridge 1 and 2</t>
  </si>
  <si>
    <t>Marsh Ridge</t>
  </si>
  <si>
    <t>Woods Creek</t>
  </si>
  <si>
    <t>Pine Ridge</t>
  </si>
  <si>
    <t xml:space="preserve">STREET  </t>
  </si>
  <si>
    <t>GROUP: SUB</t>
  </si>
  <si>
    <t>Substation Study</t>
  </si>
  <si>
    <t>SUB</t>
  </si>
  <si>
    <t>GROUP: TRANSMISSION</t>
  </si>
  <si>
    <t>4160 SwitchGear Bldg</t>
  </si>
  <si>
    <t>12500 Switchgear Bldg</t>
  </si>
  <si>
    <t>Central Remote Panels</t>
  </si>
  <si>
    <t>Substation Transformers</t>
  </si>
  <si>
    <t>NSP</t>
  </si>
  <si>
    <t>01/01/94</t>
  </si>
  <si>
    <t>69KV Lines</t>
  </si>
  <si>
    <t>10/01/97</t>
  </si>
  <si>
    <t>Additions to Substation</t>
  </si>
  <si>
    <t>Substation Additions</t>
  </si>
  <si>
    <t>Substation Equipment</t>
  </si>
  <si>
    <t>Switchgear</t>
  </si>
  <si>
    <t>Upgrade Switchgear</t>
  </si>
  <si>
    <t>Switchgear Updates</t>
  </si>
  <si>
    <t>Leiter Property Land (SUBSTATION)</t>
  </si>
  <si>
    <t>12/01/63</t>
  </si>
  <si>
    <t>Leiter Property (SUBSTATION)</t>
  </si>
  <si>
    <t>TOTAL TRANSMISSION:</t>
  </si>
  <si>
    <t>GROUP: TRANSPORTATION</t>
  </si>
  <si>
    <t>90 Bucket Truck</t>
  </si>
  <si>
    <t>Trailer</t>
  </si>
  <si>
    <t>Bobcat</t>
  </si>
  <si>
    <t>DitchWitch</t>
  </si>
  <si>
    <t>Bobcat/Trailer</t>
  </si>
  <si>
    <t>Digger Derrick</t>
  </si>
  <si>
    <t>Reel Trailer</t>
  </si>
  <si>
    <t>Trailer Update</t>
  </si>
  <si>
    <t>Pickup Box</t>
  </si>
  <si>
    <t>2003 chev dump truck</t>
  </si>
  <si>
    <t>TRANSPORTATION</t>
  </si>
  <si>
    <t>ELECTRICITY</t>
  </si>
  <si>
    <t>Date</t>
  </si>
  <si>
    <t>Delano</t>
  </si>
  <si>
    <t>Book Prior</t>
  </si>
  <si>
    <t>Book Current</t>
  </si>
  <si>
    <t>Book Net</t>
  </si>
  <si>
    <t>Depreciation</t>
  </si>
  <si>
    <t>Depr Monthly</t>
  </si>
  <si>
    <t>Depr Annualy</t>
  </si>
  <si>
    <t>End Depr</t>
  </si>
  <si>
    <t>Book Value</t>
  </si>
  <si>
    <t>DS1:  Delano Schedule1 - Wages &amp; Salary Allocator</t>
  </si>
  <si>
    <t>Attachment O</t>
  </si>
  <si>
    <t>Page 1 of 5</t>
  </si>
  <si>
    <t xml:space="preserve">Formula Rate - Non-Levelized </t>
  </si>
  <si>
    <t xml:space="preserve">   Rate Formula Template</t>
  </si>
  <si>
    <t>Line</t>
  </si>
  <si>
    <t>Allocated</t>
  </si>
  <si>
    <t>No.</t>
  </si>
  <si>
    <t>Amount</t>
  </si>
  <si>
    <t xml:space="preserve">REVENUE CREDITS </t>
  </si>
  <si>
    <t>(Note T)</t>
  </si>
  <si>
    <t>Allocator</t>
  </si>
  <si>
    <t xml:space="preserve">  Account No. 454</t>
  </si>
  <si>
    <t>(page 4, line 30)</t>
  </si>
  <si>
    <t>TP</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</si>
  <si>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</si>
  <si>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</si>
  <si>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</si>
  <si>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</si>
  <si>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</si>
  <si>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</si>
  <si>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</si>
  <si>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</si>
  <si>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</si>
  <si>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</si>
  <si>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</si>
  <si>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</si>
  <si>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</si>
  <si>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</si>
  <si>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</si>
  <si>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</si>
  <si>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</si>
  <si>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</si>
  <si>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</si>
  <si>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line 15)</t>
  </si>
  <si>
    <t>Network &amp; P-to-P Rate ($/kW/Mo) (line 11/ 12)</t>
  </si>
  <si>
    <t>Peak Rate</t>
  </si>
  <si>
    <t>Off-Peak Rate</t>
  </si>
  <si>
    <t>Point-To-Point Rate ($/kW/Wk)</t>
  </si>
  <si>
    <t>(line 16 / 52; line 16/ 52)</t>
  </si>
  <si>
    <t>Point-To-Point Rate ($/kW/Day)</t>
  </si>
  <si>
    <t xml:space="preserve"> Capped at weekly rate</t>
  </si>
  <si>
    <t>Point-To-Point Rate ($/MWh)</t>
  </si>
  <si>
    <t xml:space="preserve"> Capped at weekly</t>
  </si>
  <si>
    <t xml:space="preserve"> times 1,000)</t>
  </si>
  <si>
    <t xml:space="preserve"> and daily rates</t>
  </si>
  <si>
    <t>FERC Annual Charge($/MWh)</t>
  </si>
  <si>
    <t xml:space="preserve">          (Note E)</t>
  </si>
  <si>
    <t>Short Term</t>
  </si>
  <si>
    <t>Long Term</t>
  </si>
  <si>
    <t>Page 2 of 5</t>
  </si>
  <si>
    <t>(1)</t>
  </si>
  <si>
    <t>(2)</t>
  </si>
  <si>
    <t>(3)</t>
  </si>
  <si>
    <t>(4)</t>
  </si>
  <si>
    <t>(5)</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</si>
  <si>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</si>
  <si>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</si>
  <si>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</si>
  <si>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</si>
  <si>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</si>
  <si>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</si>
  <si>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</si>
  <si>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</si>
  <si>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</si>
  <si>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</si>
  <si>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</si>
  <si>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</si>
  <si>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</si>
  <si>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</si>
  <si>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TOTAL ACCUM. DEPRECIATION (sum lines 7-11)</t>
  </si>
  <si>
    <t>NET PLANT IN SERVICE</t>
  </si>
  <si>
    <t xml:space="preserve"> (line 1- line 7)</t>
  </si>
  <si>
    <t xml:space="preserve"> (line 2- line 8)</t>
  </si>
  <si>
    <t xml:space="preserve"> (line 3 - line 9)</t>
  </si>
  <si>
    <t xml:space="preserve"> (line 4 - line 10)</t>
  </si>
  <si>
    <t xml:space="preserve"> (line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</si>
  <si>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</si>
  <si>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</si>
  <si>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</si>
  <si>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</si>
  <si>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</si>
  <si>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</si>
  <si>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</si>
  <si>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</si>
  <si>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</si>
  <si>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</si>
  <si>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</si>
  <si>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</si>
  <si>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</si>
  <si>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(Note H)</t>
  </si>
  <si>
    <t xml:space="preserve">  CWC</t>
  </si>
  <si>
    <t xml:space="preserve">  Materials &amp; Supplies</t>
  </si>
  <si>
    <t xml:space="preserve"> (Note G)</t>
  </si>
  <si>
    <t>TE</t>
  </si>
  <si>
    <t xml:space="preserve">  Prepayments</t>
  </si>
  <si>
    <t>GP</t>
  </si>
  <si>
    <t>TOTAL WORKING CAPITAL (sum lines 26 - 28)</t>
  </si>
  <si>
    <t>RATE BASE  (sum lines 18, 24, 25, and 29)</t>
  </si>
  <si>
    <t>Page 3 of 5</t>
  </si>
  <si>
    <t xml:space="preserve">  Transmission </t>
  </si>
  <si>
    <t xml:space="preserve">     Less Account 565</t>
  </si>
  <si>
    <t xml:space="preserve">  A&amp;G</t>
  </si>
  <si>
    <t xml:space="preserve">     Less FERC Annual Fees</t>
  </si>
  <si>
    <t>5a</t>
  </si>
  <si>
    <t xml:space="preserve">     Plus Transmission Related Reg. Comm. Exp. (Note I)</t>
  </si>
  <si>
    <t xml:space="preserve">  Transmission Lease Payments</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</si>
  <si>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</si>
  <si>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</si>
  <si>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</si>
  <si>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</si>
  <si>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</si>
  <si>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</si>
  <si>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</si>
  <si>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</si>
  <si>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</si>
  <si>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</si>
  <si>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</si>
  <si>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</si>
  <si>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</si>
  <si>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</si>
  <si>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</si>
  <si>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</si>
  <si>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</si>
  <si>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</si>
  <si>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</si>
  <si>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</si>
  <si>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</si>
  <si>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</si>
  <si>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</si>
  <si>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</si>
  <si>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</si>
  <si>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12,20,27,28)</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</si>
  <si>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</si>
  <si>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</si>
  <si>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</si>
  <si>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</si>
  <si>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</si>
  <si>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</si>
  <si>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</si>
  <si>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</si>
  <si>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</si>
  <si>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</si>
  <si>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</si>
  <si>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</si>
  <si>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</si>
  <si>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</si>
  <si>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</si>
  <si>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</si>
  <si>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</si>
  <si>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</si>
  <si>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</si>
  <si>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</si>
  <si>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</si>
  <si>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</si>
  <si>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</si>
  <si>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</si>
  <si>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 xml:space="preserve">  =</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</si>
  <si>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</si>
  <si>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</si>
  <si>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</si>
  <si>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</si>
  <si>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</si>
  <si>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</si>
  <si>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</si>
  <si>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</si>
  <si>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</si>
  <si>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</si>
  <si>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</si>
  <si>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</si>
  <si>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t>
  </si>
  <si>
    <t>(Note P)</t>
  </si>
  <si>
    <t>Weighted</t>
  </si>
  <si>
    <t xml:space="preserve">  Long Term Debt</t>
  </si>
  <si>
    <t>=WCLTD</t>
  </si>
  <si>
    <t xml:space="preserve">  Proprietary Capital</t>
  </si>
  <si>
    <t>Total  (sum lines 22, 23)</t>
  </si>
  <si>
    <t>=R</t>
  </si>
  <si>
    <t xml:space="preserve">                               Proprietary Capital Cost Rate =</t>
  </si>
  <si>
    <t xml:space="preserve">                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</si>
  <si>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</si>
  <si>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</si>
  <si>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</si>
  <si>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</si>
  <si>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</si>
  <si>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</si>
  <si>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</si>
  <si>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</si>
  <si>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 xml:space="preserve">  a. Transmission charges for all transmission transactions </t>
  </si>
  <si>
    <t xml:space="preserve">  b. Transmission charges for all transmission transactions included in Divisor on page 1</t>
  </si>
  <si>
    <t>Page 5 of 5</t>
  </si>
  <si>
    <t>General Note:  References to pages in this formulary rate are indicated as:  (page#, line#, col.#)</t>
  </si>
  <si>
    <t>Note</t>
  </si>
  <si>
    <t>Letter</t>
  </si>
  <si>
    <t>A</t>
  </si>
  <si>
    <t>B</t>
  </si>
  <si>
    <t>C</t>
  </si>
  <si>
    <t>D</t>
  </si>
  <si>
    <t>E</t>
  </si>
  <si>
    <t>F</t>
  </si>
  <si>
    <t>G</t>
  </si>
  <si>
    <t>Transmission related only.</t>
  </si>
  <si>
    <t>H</t>
  </si>
  <si>
    <t>I</t>
  </si>
  <si>
    <t>J</t>
  </si>
  <si>
    <t>K</t>
  </si>
  <si>
    <t>Transformer for Dairy Queen</t>
  </si>
  <si>
    <t>Transformer for True Value</t>
  </si>
  <si>
    <t xml:space="preserve">MNDOT Hwy 12 </t>
  </si>
  <si>
    <t>Conserv Imp Program</t>
  </si>
  <si>
    <t xml:space="preserve">Transformer for Legacy </t>
  </si>
  <si>
    <t>Transformer-Hwy 12 LiftStation</t>
  </si>
  <si>
    <t>Transformer-fr 507 Kelsey Street</t>
  </si>
  <si>
    <t>Transformer-for Lift Station by Public Works Building</t>
  </si>
  <si>
    <t>Transformer-for Brinkman's (N of RR, East of Hwy 12, South of Bridge, West of River)</t>
  </si>
  <si>
    <t>North of RR URD and Labor</t>
  </si>
  <si>
    <t>Honeytree URD and Labor</t>
  </si>
  <si>
    <t>HWY 12 URD and Labor</t>
  </si>
  <si>
    <t>URD Projects and Labor</t>
  </si>
  <si>
    <t>1st Street South URD Projects and Labor</t>
  </si>
  <si>
    <t>Washer/Dryer</t>
  </si>
  <si>
    <t>Office Furniture - Desk</t>
  </si>
  <si>
    <t>Black and White Copier</t>
  </si>
  <si>
    <t>Buffalo TeraStation</t>
  </si>
  <si>
    <t>Network Server #1 (1/3 of cost)</t>
  </si>
  <si>
    <t>Network Server #2 (1/3 of cost)</t>
  </si>
  <si>
    <t>Network Server #3 (1/3 of cost)</t>
  </si>
  <si>
    <t>1110 Tools/Equipment</t>
  </si>
  <si>
    <t>3" Wet Sleeve Pump 13 HP</t>
  </si>
  <si>
    <t>Steel for Stairs</t>
  </si>
  <si>
    <t>Metro Tech Locator</t>
  </si>
  <si>
    <t>46KV Phasing Meter (from Resco)</t>
  </si>
  <si>
    <t>Infrared Camera</t>
  </si>
  <si>
    <t>2009 Ford F350 (VIN A94280)</t>
  </si>
  <si>
    <t>2009 Ford F350 (VIN A94279)*</t>
  </si>
  <si>
    <t>2009 Ford F350 (VIN A94278)*</t>
  </si>
  <si>
    <t>CWIP</t>
  </si>
  <si>
    <t>01-01-75535000</t>
  </si>
  <si>
    <t>01-01-75925000</t>
  </si>
  <si>
    <t>01-01-75935000</t>
  </si>
  <si>
    <t>01-01-75945000</t>
  </si>
  <si>
    <t>01-01-75955000</t>
  </si>
  <si>
    <t>01-01-75965000</t>
  </si>
  <si>
    <t>01-01-75975000</t>
  </si>
  <si>
    <t>01-01-75985000</t>
  </si>
  <si>
    <t>01-01-75995000</t>
  </si>
  <si>
    <t>01-01-75505000</t>
  </si>
  <si>
    <t>01-01-75515000</t>
  </si>
  <si>
    <t>01-01-75525000</t>
  </si>
  <si>
    <t>01-01-75545000</t>
  </si>
  <si>
    <t>ee#</t>
  </si>
  <si>
    <t>GROSS REVENUE REQUIREMENT  (page 3, line 31)</t>
  </si>
  <si>
    <t xml:space="preserve">  Account No. 456.1</t>
  </si>
  <si>
    <t>ACCOUNT 456.1 (OTHER ELECTRIC REVENUES)</t>
  </si>
  <si>
    <t>adjustment for rounding on Financials</t>
  </si>
  <si>
    <t>New Roof to power plant</t>
  </si>
  <si>
    <t>GeoThermal System for Plant and Office</t>
  </si>
  <si>
    <t>Xcel customer lines added to service territory</t>
  </si>
  <si>
    <t>Railroad Ave URD and Labor</t>
  </si>
  <si>
    <t>New Business Serv. - Landscape new building</t>
  </si>
  <si>
    <t>Franklin Ave E</t>
  </si>
  <si>
    <t>5th ST S URD</t>
  </si>
  <si>
    <t>General URD line projects</t>
  </si>
  <si>
    <t>8 office computers and laptop</t>
  </si>
  <si>
    <t>Network Service</t>
  </si>
  <si>
    <t>Winch or Reel Truck</t>
  </si>
  <si>
    <t>New compactor/rammer</t>
  </si>
  <si>
    <t>Zero turn John Deere Lawn Mower</t>
  </si>
  <si>
    <t>Totals per Audited Financials</t>
  </si>
  <si>
    <t>GROSS PLANT IN SERVICE (Note AA)</t>
  </si>
  <si>
    <t>IV.9.e &amp; IV.1.e</t>
  </si>
  <si>
    <t>ACCUMULATED DEPRECIATION (Note AA)</t>
  </si>
  <si>
    <t>O&amp;M (Note BB)</t>
  </si>
  <si>
    <t>DEPRECIATION  AND AMORTIZATION EXPENSE (Note AA)</t>
  </si>
  <si>
    <t xml:space="preserve">       where WCLTD=(page 4, line 22) and R= (page 4, line 24)</t>
  </si>
  <si>
    <t>II.37.b</t>
  </si>
  <si>
    <t>II.32.b</t>
  </si>
  <si>
    <t xml:space="preserve">  c.  Transmission charges associated with Schedules 26 and 37 (Note X)</t>
  </si>
  <si>
    <t xml:space="preserve">   Total of a-b-c-d</t>
  </si>
  <si>
    <t>32b</t>
  </si>
  <si>
    <t xml:space="preserve">  d.  Transmission charges associated with Schedule 26-A (Note Z)</t>
  </si>
  <si>
    <t>From Reference III.17.b include only the amount from Accounts 428, 429, and 430.</t>
  </si>
  <si>
    <t>Account Nos. 561.4 and 561.8 consist of RTO expenses billed to load-serving entities and are not included in Transmission Owner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</si>
  <si>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</si>
  <si>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</si>
  <si>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</si>
  <si>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</si>
  <si>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Y</t>
  </si>
  <si>
    <t>Z</t>
  </si>
  <si>
    <t>Line 4 supported by schedules.</t>
  </si>
  <si>
    <t>Line 5 supported by schedules.</t>
  </si>
  <si>
    <t>30a</t>
  </si>
  <si>
    <t>LESS ATTACHMENT MM ADJUSTMENT [Attachment MM, page 2, line 3, column 10]  (Note Y)</t>
  </si>
  <si>
    <t>[Revenue Requirement for facilities included on page 2, line 2, and also included</t>
  </si>
  <si>
    <t>in Attachment MM]</t>
  </si>
  <si>
    <t>(line 29-line 30 - line 30a)</t>
  </si>
  <si>
    <t>III.16.b + III.17.b ( Note U)</t>
  </si>
  <si>
    <t>CA</t>
  </si>
  <si>
    <t>Entity</t>
  </si>
  <si>
    <t>Year</t>
  </si>
  <si>
    <t>Month</t>
  </si>
  <si>
    <t>HE</t>
  </si>
  <si>
    <t>Transmission mwh</t>
  </si>
  <si>
    <t>Control Area mwh</t>
  </si>
  <si>
    <t>% of Control Area</t>
  </si>
  <si>
    <t>blue</t>
  </si>
  <si>
    <t>del</t>
  </si>
  <si>
    <t>fair</t>
  </si>
  <si>
    <t>gfalls</t>
  </si>
  <si>
    <t>glen</t>
  </si>
  <si>
    <t>jane</t>
  </si>
  <si>
    <t>kass</t>
  </si>
  <si>
    <t>ken</t>
  </si>
  <si>
    <t>ITC</t>
  </si>
  <si>
    <t>mlake</t>
  </si>
  <si>
    <t>sleep</t>
  </si>
  <si>
    <t>spring</t>
  </si>
  <si>
    <t>win</t>
  </si>
  <si>
    <t>Employee ID # 52</t>
  </si>
  <si>
    <t>Plant Cooling Tower</t>
  </si>
  <si>
    <t>Plant Cooling Tower - Variable Speed Drive</t>
  </si>
  <si>
    <t>XCEL Customer Lines and Labor</t>
  </si>
  <si>
    <t>5th S URD and Labor</t>
  </si>
  <si>
    <t>General URD line projects and Labor</t>
  </si>
  <si>
    <t>New Business URD and Labor</t>
  </si>
  <si>
    <t>Buffalo TeraStation Upgrade</t>
  </si>
  <si>
    <t>Check Scanner and Software</t>
  </si>
  <si>
    <t>General Manager Computer Screens</t>
  </si>
  <si>
    <t>Sharo MX5500 Color Copier</t>
  </si>
  <si>
    <t>1999 Ford F550 (reel Truck)</t>
  </si>
  <si>
    <t>Attachment O-EIA Non-Levelized Generic</t>
  </si>
  <si>
    <t>Employee ID # 53</t>
  </si>
  <si>
    <t>Plant Air Compressor</t>
  </si>
  <si>
    <t>Plant Lighting Project</t>
  </si>
  <si>
    <t>Transformer for Serv Territory along County Line Rd</t>
  </si>
  <si>
    <t>5th St S URD and Labor</t>
  </si>
  <si>
    <t>Generator #9</t>
  </si>
  <si>
    <t>HP LaserJet 4250 PCL 5e</t>
  </si>
  <si>
    <t>Laptop - Dell Precision M 4600</t>
  </si>
  <si>
    <t>Buffalo Terastation TS-XE8.0TL.R5</t>
  </si>
  <si>
    <t>general</t>
  </si>
  <si>
    <t>Set of 65 Drilling Rods for Boring Machine</t>
  </si>
  <si>
    <t>2012 Ford F350 4x4 (VIN C05718)</t>
  </si>
  <si>
    <t>2012 Ford F350 4x2 (VIN B85168)</t>
  </si>
  <si>
    <t>ADDITIONS BY CATEGORY:</t>
  </si>
  <si>
    <t>EXPENSES TO BE DEDUCTED ON PAGE 3 LINE 4 OF THE ATTACHMENT O.</t>
  </si>
  <si>
    <t>THERE ARE NO CMMPA ASSETS REPRESENTED IN THE BOOKS AND RECORDS OF DELANO WATER, LIGHT, AND POWER COMMISSION,</t>
  </si>
  <si>
    <t>THERE ARE NO CMMPA EXPENSES REFLECTED ANYWHERE IN THE BOOKS AND RECORDS OF DELANO WATER, LIGHT, AND POWER COMMISSION.</t>
  </si>
  <si>
    <t>CMMPA DOES INVOICE DELANO FOR A PREPARATION FEE FOR THEIR ATTACHMENT O.  THAT FEE IS REPORTED AS A</t>
  </si>
  <si>
    <t>TRANSMISSION EXPENSE BY DELANO AND A NEGATIVE TRANSMISSION EXPENSE BY CMMPA.</t>
  </si>
  <si>
    <t>DELANO HAS NO RECB OR OTHER "COST SHARED" PROJECTS' COSTS REFLECTED IN ITS ATTACHMENT O.</t>
  </si>
  <si>
    <t>DELANO IS CHARGED THEIR APPROPRIATE SHARE OF SCHEDULE 10 TRANSMISSION ADMIN CHARGES BY CMMPA AS A</t>
  </si>
  <si>
    <t>COMPONENT OF THEIR TRANSMISSION COSTS.  IT IS INCLUDED IN DELANO'S PURCHASED POWER COSTS ON THEIR FINANCIAL</t>
  </si>
  <si>
    <t>STATEMENTS.  SINCE THIS COST IS NOT INCLUDED IN A&amp;G ON DELANO'S BOOKS, IT WOULD BE INAPPROPRIATE FOR SCHEDULE 10</t>
  </si>
  <si>
    <t>mwh Load SCADA</t>
  </si>
  <si>
    <t>mwh Gen SCADA</t>
  </si>
  <si>
    <t>mwh Load MDMA</t>
  </si>
  <si>
    <t>mwh Gen MDMA</t>
  </si>
  <si>
    <t>BE</t>
  </si>
  <si>
    <t>DEL</t>
  </si>
  <si>
    <t>NBV</t>
  </si>
  <si>
    <t xml:space="preserve"> Power Purchases are net of Capacity sales &amp; purchases</t>
  </si>
  <si>
    <t>p 26 of Audited Financials- Production Salaries + Distribution Salaries</t>
  </si>
  <si>
    <t>Num</t>
  </si>
  <si>
    <t>Name</t>
  </si>
  <si>
    <t>Memo</t>
  </si>
  <si>
    <t>Account</t>
  </si>
  <si>
    <t>Class</t>
  </si>
  <si>
    <t>Clr</t>
  </si>
  <si>
    <t>Split</t>
  </si>
  <si>
    <t>Debit</t>
  </si>
  <si>
    <t>Credit</t>
  </si>
  <si>
    <t>456.1 MISO TO REVENUE</t>
  </si>
  <si>
    <t>MISO TO REV-DELANO</t>
  </si>
  <si>
    <t>MISO TO REV ALLOC-DELANO SCH 7</t>
  </si>
  <si>
    <t>Total MISO TO REV ALLOC-DELANO SCH 7</t>
  </si>
  <si>
    <t>MISO TO REV ALLOC-DELANO SCH 8</t>
  </si>
  <si>
    <t>Total MISO TO REV ALLOC-DELANO SCH 8</t>
  </si>
  <si>
    <t>MISO TO REV ALLOC-DELANO SCH 9</t>
  </si>
  <si>
    <t>Total MISO TO REV ALLOC-DELANO SCH 9</t>
  </si>
  <si>
    <t>Total MISO TO REV-DELANO</t>
  </si>
  <si>
    <t>Total 456.1 MISO TO REVENUE</t>
  </si>
  <si>
    <t>DEPARTMENT EXPENSES</t>
  </si>
  <si>
    <t>TRANSMISSION FERC 560-579</t>
  </si>
  <si>
    <t>566 OPER SUPPLIES &amp; EXP-TRANS</t>
  </si>
  <si>
    <t>922 TRANS EXP TRANSFERRED-TRANS</t>
  </si>
  <si>
    <t>TRANS OUT-MISO TO FEE-MEM-TRANS</t>
  </si>
  <si>
    <t>Total TRANS OUT-MISO TO FEE-MEM-TRANS</t>
  </si>
  <si>
    <t>Total 922 TRANS EXP TRANSFERRED-TRANS</t>
  </si>
  <si>
    <t>Total 566 OPER SUPPLIES &amp; EXP-TRANS</t>
  </si>
  <si>
    <t>Total TRANSMISSION FERC 560-579</t>
  </si>
  <si>
    <t>Total DEPARTMENT EXPENSES</t>
  </si>
  <si>
    <t>TOTAL</t>
  </si>
  <si>
    <t>Credit Memo</t>
  </si>
  <si>
    <t>DELANO MUNICIPAL UTILITIES</t>
  </si>
  <si>
    <t>MISO T.O. REVENUE SCHED 7-DELANO</t>
  </si>
  <si>
    <t>MISO T.O. REVENUE SCHED 8-DELANO</t>
  </si>
  <si>
    <t>MISO T.O. REVENUE SCHED 9-DELANO</t>
  </si>
  <si>
    <t>MISO T.O. ADMIN FEE-DELANO</t>
  </si>
  <si>
    <t>GENERAL</t>
  </si>
  <si>
    <t>142 ACCOUNTS RECEIVABLE</t>
  </si>
  <si>
    <t>Industrial Park Loop and Labor</t>
  </si>
  <si>
    <t>New Business, Xcel Customers and Labor</t>
  </si>
  <si>
    <t>AMR and Labor</t>
  </si>
  <si>
    <t>LOAD MANAGEMENT</t>
  </si>
  <si>
    <t>Sharp MX2300 Color Copier (Upstairs Office)</t>
  </si>
  <si>
    <t>16 Walkie Talkies and central unit</t>
  </si>
  <si>
    <t>Lawn Mower Trailer</t>
  </si>
  <si>
    <t>2013 Ford Van E-350(VIN B26139)</t>
  </si>
  <si>
    <t>2014 Ford F350  (VIN A22885)</t>
  </si>
  <si>
    <t>2010 CAT 420E Backhoe Loader  (SN: PRA 016000)</t>
  </si>
  <si>
    <t>2013 Ring-O-Matic Jet/Vac model 550 STD CFM</t>
  </si>
  <si>
    <t>Office Lighting Project</t>
  </si>
  <si>
    <t>RETIREMENTS BY CATEGORY:</t>
  </si>
  <si>
    <t>Employee ID # 47</t>
  </si>
  <si>
    <t>For the 12 months ended 12/31/14</t>
  </si>
  <si>
    <t>DS5:  Delano Schedule 5 -  Plant Detail 2014</t>
  </si>
  <si>
    <t>Delano 2014 Audited Financial Statement Detail</t>
  </si>
  <si>
    <t>YEAR ENDING 12/31/2014</t>
  </si>
  <si>
    <t>Invoice</t>
  </si>
  <si>
    <t>4330</t>
  </si>
  <si>
    <t>4362</t>
  </si>
  <si>
    <t>4394</t>
  </si>
  <si>
    <t>4447</t>
  </si>
  <si>
    <t>4480</t>
  </si>
  <si>
    <t>4516</t>
  </si>
  <si>
    <t>4549</t>
  </si>
  <si>
    <t>4582</t>
  </si>
  <si>
    <t>4616</t>
  </si>
  <si>
    <t>4648</t>
  </si>
  <si>
    <t>4683</t>
  </si>
  <si>
    <t>4715</t>
  </si>
  <si>
    <t>4441</t>
  </si>
  <si>
    <t>net of capacity sales 16410</t>
  </si>
  <si>
    <t>HENCE NO CMMPA ASSETS ARE REPRESENTED IN THE ACCOMPANYING ATTACHMENT O USING 2014 AUDITED INFORMATION.</t>
  </si>
  <si>
    <t>DELANO HAS NO 2014 GFA LOAD OR REVENUE INCLUDED IN THEIR ATTACHMENT O FOR 2014 DATA.</t>
  </si>
  <si>
    <t>Employee ID # 50</t>
  </si>
  <si>
    <t>Employee ID # 55</t>
  </si>
  <si>
    <t>Employee ID # 56</t>
  </si>
  <si>
    <t>page 26 of financials</t>
  </si>
  <si>
    <t>Stahlke Addition Upgrade and Labor</t>
  </si>
  <si>
    <t>Xcel Lines/New Customers and Labor</t>
  </si>
  <si>
    <t>Fence Gate to Substation</t>
  </si>
  <si>
    <t>Website Design</t>
  </si>
  <si>
    <t>Exchange Server</t>
  </si>
  <si>
    <t>Work Station -Dell T3610 Precision</t>
  </si>
  <si>
    <t>2014 RETIREMENTS:</t>
  </si>
  <si>
    <t>2015 Ford F350 (VIN A64212) net of $12,000 trade-in</t>
  </si>
  <si>
    <t>2015 Ford F350 (VIN A64213) net of $12,000 trade-in</t>
  </si>
  <si>
    <t>2015 Ford F350 (VIN A64215) net of $12,000 trade-in</t>
  </si>
  <si>
    <t>2014 ADDITIONS:</t>
  </si>
  <si>
    <t>TOTAL ADDITIONS-2014</t>
  </si>
  <si>
    <t>TOTAL RETIREMENTS - 2014</t>
  </si>
  <si>
    <t>TOTAL DEPRECIATION 2014</t>
  </si>
  <si>
    <t>6a</t>
  </si>
  <si>
    <t>Adjustments to Net Revenue Requirement (Note CC)</t>
  </si>
  <si>
    <t>6b</t>
  </si>
  <si>
    <t>Interest on Adjustments (Note DD)</t>
  </si>
  <si>
    <t>6c</t>
  </si>
  <si>
    <t>Total Adjustment (line 6a + line 6b)</t>
  </si>
  <si>
    <t xml:space="preserve"> (line 1 minus line 6 plus Line 6c)</t>
  </si>
  <si>
    <t>References to data from EIA Form 412 are indicated as:   x.y.z  (section, line, column)</t>
  </si>
  <si>
    <t>To the extent the page references to EIA Form 412 are missing, the entity will include a "Notes" section in the EIA 412 to provide this data.</t>
  </si>
  <si>
    <t xml:space="preserve">                            </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</si>
  <si>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</si>
  <si>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</si>
  <si>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</si>
  <si>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The FERC's annual charges for the year assessed the Transmission Owner for service under this tariff, if any.</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</si>
  <si>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</si>
  <si>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</si>
  <si>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</si>
  <si>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</si>
  <si>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</si>
  <si>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</si>
  <si>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</si>
  <si>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</si>
  <si>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</si>
  <si>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</si>
  <si>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</si>
  <si>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</si>
  <si>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</si>
  <si>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</si>
  <si>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</si>
  <si>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</si>
  <si>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</si>
  <si>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</si>
  <si>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</si>
  <si>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NOTE FOR LINE 5:  Combustion Turbine</t>
  </si>
  <si>
    <t>Other Production (340-346)</t>
  </si>
  <si>
    <t>Schedule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</si>
</sst>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 numFmtId="167" formatCode="_(* #,##0_);_(* \(#,##0\);_(* &quot;-&quot;??_);_(@_)"/>
    <numFmt numFmtId="168" formatCode="0.00000"/>
    <numFmt numFmtId="169" formatCode="0.0000"/>
    <numFmt numFmtId="170" formatCode="General_)"/>
    <numFmt numFmtId="171" formatCode="mm/dd/yy;@"/>
    <numFmt numFmtId="172" formatCode="&quot;$&quot;#,##0"/>
    <numFmt numFmtId="173" formatCode="#,##0.000"/>
    <numFmt numFmtId="174" formatCode="&quot;$&quot;#,##0.000"/>
    <numFmt numFmtId="175" formatCode="#,##0.00000"/>
    <numFmt numFmtId="176" formatCode="0.000%"/>
    <numFmt numFmtId="177" formatCode="#,##0.0000"/>
    <numFmt numFmtId="178" formatCode="0_);\(0\)"/>
    <numFmt numFmtId="179" formatCode="mm/dd/yyyy"/>
    <numFmt numFmtId="180" formatCode="#,##0.00;\-#,##0.00"/>
  </numFmts>
  <fonts count="77">
    <font>
      <sz val="10"/>
      <name val="Arial"/>
    </font>
    <font>
      <sz val="10"/>
      <name val="Arial"/>
      <family val="2"/>
    </font>
    <font>
      <sz val="8"/>
      <name val="Arial"/>
      <family val="2"/>
    </font>
    <font>
      <b/>
      <sz val="10"/>
      <name val="Arial"/>
      <family val="2"/>
    </font>
    <font>
      <sz val="10"/>
      <name val="Arial"/>
      <family val="2"/>
    </font>
    <font>
      <b/>
      <sz val="12"/>
      <color indexed="10"/>
      <name val="Arial"/>
      <family val="2"/>
    </font>
    <font>
      <b/>
      <sz val="8"/>
      <color indexed="12"/>
      <name val="Arial"/>
      <family val="2"/>
    </font>
    <font>
      <b/>
      <sz val="8"/>
      <name val="Arial"/>
      <family val="2"/>
    </font>
    <font>
      <b/>
      <sz val="12"/>
      <name val="Arial"/>
      <family val="2"/>
    </font>
    <font>
      <sz val="12"/>
      <name val="Helv"/>
    </font>
    <font>
      <sz val="8"/>
      <name val="Helv"/>
    </font>
    <font>
      <b/>
      <sz val="10"/>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b/>
      <sz val="10"/>
      <color indexed="12"/>
      <name val="Helv"/>
    </font>
    <font>
      <sz val="12"/>
      <name val="Arial MT"/>
    </font>
    <font>
      <sz val="12"/>
      <name val="Arial"/>
      <family val="2"/>
    </font>
    <font>
      <sz val="12"/>
      <color indexed="17"/>
      <name val="Arial MT"/>
    </font>
    <font>
      <sz val="12"/>
      <color indexed="10"/>
      <name val="Arial"/>
      <family val="2"/>
    </font>
    <font>
      <sz val="11"/>
      <name val="Arial"/>
      <family val="2"/>
    </font>
    <font>
      <sz val="12"/>
      <color indexed="17"/>
      <name val="Arial"/>
      <family val="2"/>
    </font>
    <font>
      <strike/>
      <sz val="12"/>
      <name val="Arial"/>
      <family val="2"/>
    </font>
    <font>
      <sz val="12"/>
      <name val="Times New Roman"/>
      <family val="1"/>
    </font>
    <font>
      <sz val="16"/>
      <name val="Arial MT"/>
    </font>
    <font>
      <sz val="14"/>
      <name val="Times New Roman"/>
      <family val="1"/>
    </font>
    <font>
      <sz val="10"/>
      <name val="Arial MT"/>
    </font>
    <font>
      <sz val="14"/>
      <name val="Arial MT"/>
    </font>
    <font>
      <sz val="12"/>
      <color indexed="12"/>
      <name val="Arial"/>
      <family val="2"/>
    </font>
    <font>
      <b/>
      <sz val="11"/>
      <name val="Arial"/>
      <family val="2"/>
    </font>
    <font>
      <sz val="10"/>
      <color indexed="12"/>
      <name val="Arial"/>
      <family val="2"/>
    </font>
    <font>
      <sz val="10"/>
      <color indexed="12"/>
      <name val="Arial"/>
      <family val="2"/>
    </font>
    <font>
      <b/>
      <sz val="10"/>
      <color indexed="12"/>
      <name val="Arial"/>
      <family val="2"/>
    </font>
    <font>
      <b/>
      <sz val="10"/>
      <color indexed="12"/>
      <name val="Arial"/>
      <family val="2"/>
    </font>
    <font>
      <b/>
      <sz val="10"/>
      <name val="Arial"/>
      <family val="2"/>
    </font>
    <font>
      <sz val="12"/>
      <name val="Arial"/>
      <family val="2"/>
    </font>
    <font>
      <sz val="12"/>
      <color indexed="17"/>
      <name val="Times New Roman"/>
      <family val="1"/>
    </font>
    <font>
      <sz val="12"/>
      <color indexed="10"/>
      <name val="Times New Roman"/>
      <family val="1"/>
    </font>
    <font>
      <sz val="10"/>
      <name val="Arial"/>
      <family val="2"/>
    </font>
    <font>
      <sz val="9"/>
      <color indexed="81"/>
      <name val="Tahoma"/>
      <family val="2"/>
    </font>
    <font>
      <b/>
      <sz val="9"/>
      <color indexed="81"/>
      <name val="Tahoma"/>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1"/>
      <color theme="1"/>
      <name val="Calibri"/>
      <family val="2"/>
      <scheme val="minor"/>
    </font>
    <font>
      <b/>
      <sz val="8"/>
      <color rgb="FF000000"/>
      <name val="Arial"/>
      <family val="2"/>
    </font>
    <font>
      <sz val="8"/>
      <color rgb="FF000000"/>
      <name val="Arial"/>
      <family val="2"/>
    </font>
    <font>
      <sz val="10"/>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99"/>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style="double">
        <color indexed="64"/>
      </top>
      <bottom/>
      <diagonal/>
    </border>
    <border>
      <left/>
      <right/>
      <top style="medium">
        <color indexed="64"/>
      </top>
      <bottom style="double">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15">
    <xf numFmtId="0" fontId="0" fillId="0" borderId="0"/>
    <xf numFmtId="0" fontId="12" fillId="2" borderId="0" applyNumberFormat="0" applyBorder="0" applyAlignment="0" applyProtection="0"/>
    <xf numFmtId="0" fontId="56" fillId="27" borderId="0" applyNumberFormat="0" applyBorder="0" applyAlignment="0" applyProtection="0"/>
    <xf numFmtId="0" fontId="12" fillId="3" borderId="0" applyNumberFormat="0" applyBorder="0" applyAlignment="0" applyProtection="0"/>
    <xf numFmtId="0" fontId="56" fillId="28" borderId="0" applyNumberFormat="0" applyBorder="0" applyAlignment="0" applyProtection="0"/>
    <xf numFmtId="0" fontId="12" fillId="4" borderId="0" applyNumberFormat="0" applyBorder="0" applyAlignment="0" applyProtection="0"/>
    <xf numFmtId="0" fontId="56" fillId="29" borderId="0" applyNumberFormat="0" applyBorder="0" applyAlignment="0" applyProtection="0"/>
    <xf numFmtId="0" fontId="12" fillId="5" borderId="0" applyNumberFormat="0" applyBorder="0" applyAlignment="0" applyProtection="0"/>
    <xf numFmtId="0" fontId="56" fillId="30" borderId="0" applyNumberFormat="0" applyBorder="0" applyAlignment="0" applyProtection="0"/>
    <xf numFmtId="0" fontId="12" fillId="6" borderId="0" applyNumberFormat="0" applyBorder="0" applyAlignment="0" applyProtection="0"/>
    <xf numFmtId="0" fontId="56" fillId="31" borderId="0" applyNumberFormat="0" applyBorder="0" applyAlignment="0" applyProtection="0"/>
    <xf numFmtId="0" fontId="12" fillId="7" borderId="0" applyNumberFormat="0" applyBorder="0" applyAlignment="0" applyProtection="0"/>
    <xf numFmtId="0" fontId="56" fillId="32" borderId="0" applyNumberFormat="0" applyBorder="0" applyAlignment="0" applyProtection="0"/>
    <xf numFmtId="0" fontId="12" fillId="8" borderId="0" applyNumberFormat="0" applyBorder="0" applyAlignment="0" applyProtection="0"/>
    <xf numFmtId="0" fontId="56" fillId="33" borderId="0" applyNumberFormat="0" applyBorder="0" applyAlignment="0" applyProtection="0"/>
    <xf numFmtId="0" fontId="12" fillId="9" borderId="0" applyNumberFormat="0" applyBorder="0" applyAlignment="0" applyProtection="0"/>
    <xf numFmtId="0" fontId="56" fillId="34" borderId="0" applyNumberFormat="0" applyBorder="0" applyAlignment="0" applyProtection="0"/>
    <xf numFmtId="0" fontId="12" fillId="10" borderId="0" applyNumberFormat="0" applyBorder="0" applyAlignment="0" applyProtection="0"/>
    <xf numFmtId="0" fontId="56" fillId="35" borderId="0" applyNumberFormat="0" applyBorder="0" applyAlignment="0" applyProtection="0"/>
    <xf numFmtId="0" fontId="12" fillId="5" borderId="0" applyNumberFormat="0" applyBorder="0" applyAlignment="0" applyProtection="0"/>
    <xf numFmtId="0" fontId="56" fillId="36" borderId="0" applyNumberFormat="0" applyBorder="0" applyAlignment="0" applyProtection="0"/>
    <xf numFmtId="0" fontId="12" fillId="8" borderId="0" applyNumberFormat="0" applyBorder="0" applyAlignment="0" applyProtection="0"/>
    <xf numFmtId="0" fontId="56" fillId="37" borderId="0" applyNumberFormat="0" applyBorder="0" applyAlignment="0" applyProtection="0"/>
    <xf numFmtId="0" fontId="12" fillId="11" borderId="0" applyNumberFormat="0" applyBorder="0" applyAlignment="0" applyProtection="0"/>
    <xf numFmtId="0" fontId="56" fillId="38" borderId="0" applyNumberFormat="0" applyBorder="0" applyAlignment="0" applyProtection="0"/>
    <xf numFmtId="0" fontId="13" fillId="12" borderId="0" applyNumberFormat="0" applyBorder="0" applyAlignment="0" applyProtection="0"/>
    <xf numFmtId="0" fontId="57" fillId="39" borderId="0" applyNumberFormat="0" applyBorder="0" applyAlignment="0" applyProtection="0"/>
    <xf numFmtId="0" fontId="13" fillId="9" borderId="0" applyNumberFormat="0" applyBorder="0" applyAlignment="0" applyProtection="0"/>
    <xf numFmtId="0" fontId="57" fillId="40" borderId="0" applyNumberFormat="0" applyBorder="0" applyAlignment="0" applyProtection="0"/>
    <xf numFmtId="0" fontId="13" fillId="10" borderId="0" applyNumberFormat="0" applyBorder="0" applyAlignment="0" applyProtection="0"/>
    <xf numFmtId="0" fontId="57" fillId="41" borderId="0" applyNumberFormat="0" applyBorder="0" applyAlignment="0" applyProtection="0"/>
    <xf numFmtId="0" fontId="13" fillId="13" borderId="0" applyNumberFormat="0" applyBorder="0" applyAlignment="0" applyProtection="0"/>
    <xf numFmtId="0" fontId="57" fillId="42" borderId="0" applyNumberFormat="0" applyBorder="0" applyAlignment="0" applyProtection="0"/>
    <xf numFmtId="0" fontId="13" fillId="14" borderId="0" applyNumberFormat="0" applyBorder="0" applyAlignment="0" applyProtection="0"/>
    <xf numFmtId="0" fontId="57" fillId="43" borderId="0" applyNumberFormat="0" applyBorder="0" applyAlignment="0" applyProtection="0"/>
    <xf numFmtId="0" fontId="13" fillId="15" borderId="0" applyNumberFormat="0" applyBorder="0" applyAlignment="0" applyProtection="0"/>
    <xf numFmtId="0" fontId="57" fillId="44" borderId="0" applyNumberFormat="0" applyBorder="0" applyAlignment="0" applyProtection="0"/>
    <xf numFmtId="0" fontId="13" fillId="16" borderId="0" applyNumberFormat="0" applyBorder="0" applyAlignment="0" applyProtection="0"/>
    <xf numFmtId="0" fontId="57" fillId="45" borderId="0" applyNumberFormat="0" applyBorder="0" applyAlignment="0" applyProtection="0"/>
    <xf numFmtId="0" fontId="13" fillId="17" borderId="0" applyNumberFormat="0" applyBorder="0" applyAlignment="0" applyProtection="0"/>
    <xf numFmtId="0" fontId="57" fillId="46" borderId="0" applyNumberFormat="0" applyBorder="0" applyAlignment="0" applyProtection="0"/>
    <xf numFmtId="0" fontId="13" fillId="18" borderId="0" applyNumberFormat="0" applyBorder="0" applyAlignment="0" applyProtection="0"/>
    <xf numFmtId="0" fontId="57" fillId="47" borderId="0" applyNumberFormat="0" applyBorder="0" applyAlignment="0" applyProtection="0"/>
    <xf numFmtId="0" fontId="13" fillId="13" borderId="0" applyNumberFormat="0" applyBorder="0" applyAlignment="0" applyProtection="0"/>
    <xf numFmtId="0" fontId="57" fillId="48" borderId="0" applyNumberFormat="0" applyBorder="0" applyAlignment="0" applyProtection="0"/>
    <xf numFmtId="0" fontId="13" fillId="14" borderId="0" applyNumberFormat="0" applyBorder="0" applyAlignment="0" applyProtection="0"/>
    <xf numFmtId="0" fontId="57" fillId="49" borderId="0" applyNumberFormat="0" applyBorder="0" applyAlignment="0" applyProtection="0"/>
    <xf numFmtId="0" fontId="13" fillId="19" borderId="0" applyNumberFormat="0" applyBorder="0" applyAlignment="0" applyProtection="0"/>
    <xf numFmtId="0" fontId="57" fillId="50" borderId="0" applyNumberFormat="0" applyBorder="0" applyAlignment="0" applyProtection="0"/>
    <xf numFmtId="0" fontId="14" fillId="3" borderId="0" applyNumberFormat="0" applyBorder="0" applyAlignment="0" applyProtection="0"/>
    <xf numFmtId="0" fontId="58" fillId="51" borderId="0" applyNumberFormat="0" applyBorder="0" applyAlignment="0" applyProtection="0"/>
    <xf numFmtId="0" fontId="15" fillId="20" borderId="1" applyNumberFormat="0" applyAlignment="0" applyProtection="0"/>
    <xf numFmtId="0" fontId="59" fillId="52" borderId="54" applyNumberFormat="0" applyAlignment="0" applyProtection="0"/>
    <xf numFmtId="0" fontId="16" fillId="21" borderId="2" applyNumberFormat="0" applyAlignment="0" applyProtection="0"/>
    <xf numFmtId="0" fontId="60" fillId="53" borderId="55" applyNumberFormat="0" applyAlignment="0" applyProtection="0"/>
    <xf numFmtId="43" fontId="1"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0" fontId="17" fillId="0" borderId="0" applyNumberFormat="0" applyFill="0" applyBorder="0" applyAlignment="0" applyProtection="0"/>
    <xf numFmtId="0" fontId="61" fillId="0" borderId="0" applyNumberFormat="0" applyFill="0" applyBorder="0" applyAlignment="0" applyProtection="0"/>
    <xf numFmtId="0" fontId="18" fillId="4" borderId="0" applyNumberFormat="0" applyBorder="0" applyAlignment="0" applyProtection="0"/>
    <xf numFmtId="0" fontId="62" fillId="54" borderId="0" applyNumberFormat="0" applyBorder="0" applyAlignment="0" applyProtection="0"/>
    <xf numFmtId="0" fontId="19" fillId="0" borderId="3" applyNumberFormat="0" applyFill="0" applyAlignment="0" applyProtection="0"/>
    <xf numFmtId="0" fontId="63" fillId="0" borderId="56" applyNumberFormat="0" applyFill="0" applyAlignment="0" applyProtection="0"/>
    <xf numFmtId="0" fontId="20" fillId="0" borderId="4" applyNumberFormat="0" applyFill="0" applyAlignment="0" applyProtection="0"/>
    <xf numFmtId="0" fontId="64" fillId="0" borderId="57" applyNumberFormat="0" applyFill="0" applyAlignment="0" applyProtection="0"/>
    <xf numFmtId="0" fontId="21" fillId="0" borderId="5" applyNumberFormat="0" applyFill="0" applyAlignment="0" applyProtection="0"/>
    <xf numFmtId="0" fontId="65" fillId="0" borderId="58" applyNumberFormat="0" applyFill="0" applyAlignment="0" applyProtection="0"/>
    <xf numFmtId="0" fontId="21" fillId="0" borderId="0" applyNumberFormat="0" applyFill="0" applyBorder="0" applyAlignment="0" applyProtection="0"/>
    <xf numFmtId="0" fontId="65" fillId="0" borderId="0" applyNumberFormat="0" applyFill="0" applyBorder="0" applyAlignment="0" applyProtection="0"/>
    <xf numFmtId="0" fontId="22" fillId="7" borderId="1" applyNumberFormat="0" applyAlignment="0" applyProtection="0"/>
    <xf numFmtId="0" fontId="66" fillId="55" borderId="54" applyNumberFormat="0" applyAlignment="0" applyProtection="0"/>
    <xf numFmtId="0" fontId="23" fillId="0" borderId="6" applyNumberFormat="0" applyFill="0" applyAlignment="0" applyProtection="0"/>
    <xf numFmtId="0" fontId="67" fillId="0" borderId="59" applyNumberFormat="0" applyFill="0" applyAlignment="0" applyProtection="0"/>
    <xf numFmtId="0" fontId="24" fillId="22" borderId="0" applyNumberFormat="0" applyBorder="0" applyAlignment="0" applyProtection="0"/>
    <xf numFmtId="0" fontId="68" fillId="56" borderId="0" applyNumberFormat="0" applyBorder="0" applyAlignment="0" applyProtection="0"/>
    <xf numFmtId="0" fontId="4" fillId="0" borderId="0"/>
    <xf numFmtId="166" fontId="31" fillId="0" borderId="0" applyProtection="0"/>
    <xf numFmtId="0" fontId="56" fillId="0" borderId="0"/>
    <xf numFmtId="170" fontId="9" fillId="0" borderId="0"/>
    <xf numFmtId="0" fontId="12" fillId="23" borderId="7" applyNumberFormat="0" applyFont="0" applyAlignment="0" applyProtection="0"/>
    <xf numFmtId="0" fontId="56" fillId="57" borderId="60" applyNumberFormat="0" applyFont="0" applyAlignment="0" applyProtection="0"/>
    <xf numFmtId="0" fontId="25" fillId="20" borderId="8" applyNumberFormat="0" applyAlignment="0" applyProtection="0"/>
    <xf numFmtId="0" fontId="69" fillId="52" borderId="61"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0" fontId="26" fillId="0" borderId="0" applyNumberFormat="0" applyFill="0" applyBorder="0" applyAlignment="0" applyProtection="0"/>
    <xf numFmtId="0" fontId="70" fillId="0" borderId="0" applyNumberFormat="0" applyFill="0" applyBorder="0" applyAlignment="0" applyProtection="0"/>
    <xf numFmtId="0" fontId="27" fillId="0" borderId="9" applyNumberFormat="0" applyFill="0" applyAlignment="0" applyProtection="0"/>
    <xf numFmtId="0" fontId="71" fillId="0" borderId="62" applyNumberFormat="0" applyFill="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76" fillId="0" borderId="0" applyFont="0" applyFill="0" applyBorder="0" applyAlignment="0" applyProtection="0"/>
    <xf numFmtId="44" fontId="76" fillId="0" borderId="0" applyFont="0" applyFill="0" applyBorder="0" applyAlignment="0" applyProtection="0"/>
  </cellStyleXfs>
  <cellXfs count="644">
    <xf numFmtId="0" fontId="0" fillId="0" borderId="0" xfId="0"/>
    <xf numFmtId="0" fontId="0" fillId="0" borderId="0" xfId="0" applyAlignment="1">
      <alignment horizontal="center"/>
    </xf>
    <xf numFmtId="0" fontId="0" fillId="0" borderId="0" xfId="0" applyAlignment="1">
      <alignment vertical="center"/>
    </xf>
    <xf numFmtId="164" fontId="1" fillId="0" borderId="0" xfId="59" applyNumberFormat="1" applyAlignment="1">
      <alignment vertical="center"/>
    </xf>
    <xf numFmtId="164" fontId="0" fillId="0" borderId="0" xfId="59" applyNumberFormat="1" applyFont="1" applyAlignment="1">
      <alignment vertical="center"/>
    </xf>
    <xf numFmtId="0" fontId="0" fillId="0" borderId="0" xfId="0" applyBorder="1"/>
    <xf numFmtId="170" fontId="9" fillId="0" borderId="0" xfId="84"/>
    <xf numFmtId="43" fontId="9" fillId="0" borderId="0" xfId="84" applyNumberFormat="1"/>
    <xf numFmtId="170" fontId="9" fillId="0" borderId="10" xfId="84" applyBorder="1"/>
    <xf numFmtId="170" fontId="9" fillId="0" borderId="11" xfId="84" applyBorder="1"/>
    <xf numFmtId="43" fontId="9" fillId="0" borderId="11" xfId="84" applyNumberFormat="1" applyBorder="1"/>
    <xf numFmtId="43" fontId="9" fillId="0" borderId="12" xfId="84" applyNumberFormat="1" applyBorder="1"/>
    <xf numFmtId="170" fontId="9" fillId="0" borderId="13" xfId="84" applyBorder="1"/>
    <xf numFmtId="0" fontId="8" fillId="0" borderId="0" xfId="0" applyFont="1" applyBorder="1" applyAlignment="1">
      <alignment vertical="center"/>
    </xf>
    <xf numFmtId="170" fontId="9" fillId="0" borderId="0" xfId="84" applyBorder="1"/>
    <xf numFmtId="43" fontId="9" fillId="0" borderId="0" xfId="84" applyNumberFormat="1" applyBorder="1"/>
    <xf numFmtId="43" fontId="9" fillId="0" borderId="14" xfId="84" applyNumberFormat="1" applyBorder="1"/>
    <xf numFmtId="43" fontId="11" fillId="0" borderId="0" xfId="84" applyNumberFormat="1" applyFont="1" applyBorder="1"/>
    <xf numFmtId="43" fontId="11" fillId="0" borderId="0" xfId="84" applyNumberFormat="1" applyFont="1" applyBorder="1" applyAlignment="1">
      <alignment horizontal="center"/>
    </xf>
    <xf numFmtId="43" fontId="9" fillId="0" borderId="0" xfId="84" applyNumberFormat="1" applyBorder="1" applyAlignment="1">
      <alignment horizontal="center"/>
    </xf>
    <xf numFmtId="170" fontId="9" fillId="0" borderId="0" xfId="84" applyFont="1" applyBorder="1"/>
    <xf numFmtId="164" fontId="9" fillId="0" borderId="0" xfId="59" applyNumberFormat="1" applyFont="1" applyBorder="1"/>
    <xf numFmtId="170" fontId="9" fillId="0" borderId="15" xfId="84" applyBorder="1"/>
    <xf numFmtId="170" fontId="9" fillId="0" borderId="16" xfId="84" applyBorder="1"/>
    <xf numFmtId="43" fontId="9" fillId="0" borderId="16" xfId="84" applyNumberFormat="1" applyBorder="1"/>
    <xf numFmtId="43" fontId="9" fillId="0" borderId="17" xfId="84" applyNumberFormat="1" applyBorder="1"/>
    <xf numFmtId="0" fontId="0" fillId="0" borderId="0" xfId="0" applyAlignment="1">
      <alignment horizontal="left"/>
    </xf>
    <xf numFmtId="0" fontId="0" fillId="0" borderId="16" xfId="0" applyBorder="1" applyAlignment="1">
      <alignment horizontal="center"/>
    </xf>
    <xf numFmtId="0" fontId="0" fillId="0" borderId="0" xfId="0" applyFill="1" applyAlignment="1">
      <alignment vertical="center"/>
    </xf>
    <xf numFmtId="0" fontId="0" fillId="0" borderId="0" xfId="0" applyAlignment="1">
      <alignment horizontal="center" vertical="center"/>
    </xf>
    <xf numFmtId="0" fontId="29" fillId="0" borderId="0" xfId="0" applyFont="1"/>
    <xf numFmtId="0" fontId="3" fillId="0" borderId="0" xfId="0" applyFont="1"/>
    <xf numFmtId="0" fontId="0" fillId="0" borderId="0" xfId="0" applyAlignment="1"/>
    <xf numFmtId="0" fontId="31" fillId="0" borderId="0" xfId="0" applyNumberFormat="1" applyFont="1"/>
    <xf numFmtId="0" fontId="31" fillId="0" borderId="0" xfId="0" applyFont="1" applyAlignment="1"/>
    <xf numFmtId="0" fontId="32" fillId="0" borderId="0" xfId="0" applyNumberFormat="1" applyFont="1" applyAlignment="1"/>
    <xf numFmtId="0" fontId="32" fillId="0" borderId="0" xfId="0" applyNumberFormat="1" applyFont="1"/>
    <xf numFmtId="0" fontId="32" fillId="0" borderId="0" xfId="0" applyNumberFormat="1" applyFont="1" applyAlignment="1">
      <alignment horizontal="right"/>
    </xf>
    <xf numFmtId="0" fontId="32" fillId="0" borderId="0" xfId="0" applyNumberFormat="1" applyFont="1" applyAlignment="1">
      <alignment horizontal="left"/>
    </xf>
    <xf numFmtId="0" fontId="32" fillId="0" borderId="0" xfId="0" applyNumberFormat="1" applyFont="1" applyAlignment="1">
      <alignment horizontal="center"/>
    </xf>
    <xf numFmtId="0" fontId="32" fillId="24" borderId="0" xfId="0" applyNumberFormat="1" applyFont="1" applyFill="1"/>
    <xf numFmtId="3" fontId="32" fillId="0" borderId="0" xfId="0" applyNumberFormat="1" applyFont="1" applyAlignment="1"/>
    <xf numFmtId="0" fontId="0" fillId="0" borderId="0" xfId="0" applyNumberFormat="1" applyAlignment="1">
      <alignment horizontal="center"/>
    </xf>
    <xf numFmtId="49" fontId="32" fillId="24" borderId="0" xfId="0" applyNumberFormat="1" applyFont="1" applyFill="1"/>
    <xf numFmtId="49" fontId="32" fillId="0" borderId="0" xfId="0" applyNumberFormat="1" applyFont="1"/>
    <xf numFmtId="0" fontId="31" fillId="0" borderId="0" xfId="0" applyFont="1" applyFill="1" applyAlignment="1"/>
    <xf numFmtId="0" fontId="0" fillId="0" borderId="16" xfId="0" applyNumberFormat="1" applyBorder="1" applyAlignment="1">
      <alignment horizontal="center"/>
    </xf>
    <xf numFmtId="0" fontId="32" fillId="0" borderId="16" xfId="0" applyNumberFormat="1" applyFont="1" applyBorder="1" applyAlignment="1">
      <alignment horizontal="center"/>
    </xf>
    <xf numFmtId="3" fontId="32" fillId="0" borderId="0" xfId="0" applyNumberFormat="1" applyFont="1"/>
    <xf numFmtId="42" fontId="32" fillId="0" borderId="0" xfId="0" applyNumberFormat="1" applyFont="1"/>
    <xf numFmtId="0" fontId="32" fillId="0" borderId="16" xfId="0" applyNumberFormat="1" applyFont="1" applyBorder="1" applyAlignment="1">
      <alignment horizontal="centerContinuous"/>
    </xf>
    <xf numFmtId="168" fontId="32" fillId="0" borderId="0" xfId="0" applyNumberFormat="1" applyFont="1" applyAlignment="1"/>
    <xf numFmtId="0" fontId="0" fillId="0" borderId="0" xfId="0" applyFill="1" applyBorder="1" applyAlignment="1"/>
    <xf numFmtId="0" fontId="31" fillId="0" borderId="0" xfId="0" applyFont="1" applyFill="1" applyBorder="1" applyAlignment="1"/>
    <xf numFmtId="0" fontId="31" fillId="0" borderId="0" xfId="0" applyNumberFormat="1" applyFont="1" applyFill="1" applyBorder="1"/>
    <xf numFmtId="3" fontId="32" fillId="24" borderId="0" xfId="0" applyNumberFormat="1" applyFont="1" applyFill="1"/>
    <xf numFmtId="3" fontId="32" fillId="0" borderId="16" xfId="0" applyNumberFormat="1" applyFont="1" applyBorder="1" applyAlignment="1"/>
    <xf numFmtId="3" fontId="32" fillId="0" borderId="0" xfId="0" applyNumberFormat="1" applyFont="1" applyAlignment="1">
      <alignment horizontal="fill"/>
    </xf>
    <xf numFmtId="0" fontId="32" fillId="0" borderId="0" xfId="0" applyFont="1" applyAlignment="1"/>
    <xf numFmtId="42" fontId="32" fillId="0" borderId="18" xfId="0" applyNumberFormat="1" applyFont="1" applyBorder="1" applyAlignment="1">
      <alignment horizontal="right"/>
    </xf>
    <xf numFmtId="0" fontId="34" fillId="0" borderId="0" xfId="0" applyNumberFormat="1" applyFont="1"/>
    <xf numFmtId="0" fontId="33" fillId="0" borderId="0" xfId="0" applyFont="1" applyFill="1" applyBorder="1" applyAlignment="1"/>
    <xf numFmtId="3" fontId="32" fillId="0" borderId="0" xfId="0" applyNumberFormat="1" applyFont="1" applyFill="1" applyBorder="1"/>
    <xf numFmtId="3" fontId="32" fillId="24" borderId="0" xfId="0" applyNumberFormat="1" applyFont="1" applyFill="1" applyBorder="1"/>
    <xf numFmtId="3" fontId="32" fillId="24" borderId="16" xfId="0" applyNumberFormat="1" applyFont="1" applyFill="1" applyBorder="1"/>
    <xf numFmtId="173" fontId="32" fillId="0" borderId="0" xfId="0" applyNumberFormat="1" applyFont="1"/>
    <xf numFmtId="173" fontId="32" fillId="0" borderId="0" xfId="0" applyNumberFormat="1" applyFont="1" applyAlignment="1">
      <alignment horizontal="center"/>
    </xf>
    <xf numFmtId="0" fontId="32" fillId="0" borderId="0" xfId="0" applyFont="1" applyAlignment="1">
      <alignment horizontal="center"/>
    </xf>
    <xf numFmtId="174" fontId="32" fillId="0" borderId="0" xfId="0" applyNumberFormat="1" applyFont="1" applyAlignment="1"/>
    <xf numFmtId="174" fontId="32" fillId="24" borderId="0" xfId="0" applyNumberFormat="1" applyFont="1" applyFill="1" applyProtection="1">
      <protection locked="0"/>
    </xf>
    <xf numFmtId="174" fontId="32" fillId="0" borderId="0" xfId="0" applyNumberFormat="1" applyFont="1" applyProtection="1">
      <protection locked="0"/>
    </xf>
    <xf numFmtId="0" fontId="32" fillId="0" borderId="0" xfId="0" applyNumberFormat="1" applyFont="1" applyProtection="1">
      <protection locked="0"/>
    </xf>
    <xf numFmtId="0" fontId="31" fillId="0" borderId="0" xfId="0" applyNumberFormat="1" applyFont="1" applyAlignment="1"/>
    <xf numFmtId="0" fontId="31" fillId="0" borderId="0" xfId="0" applyNumberFormat="1" applyFont="1" applyFill="1" applyBorder="1" applyAlignment="1"/>
    <xf numFmtId="3" fontId="31" fillId="0" borderId="0" xfId="0" applyNumberFormat="1" applyFont="1" applyAlignment="1"/>
    <xf numFmtId="3" fontId="31" fillId="0" borderId="0" xfId="0" applyNumberFormat="1" applyFont="1" applyFill="1" applyBorder="1" applyAlignment="1"/>
    <xf numFmtId="49" fontId="32" fillId="0" borderId="0" xfId="0" applyNumberFormat="1" applyFont="1" applyAlignment="1">
      <alignment horizontal="left"/>
    </xf>
    <xf numFmtId="49" fontId="32" fillId="0" borderId="0" xfId="0" applyNumberFormat="1" applyFont="1" applyAlignment="1">
      <alignment horizontal="center"/>
    </xf>
    <xf numFmtId="0" fontId="31" fillId="0" borderId="0" xfId="0" applyNumberFormat="1" applyFont="1" applyFill="1" applyBorder="1" applyAlignment="1">
      <alignment horizontal="center"/>
    </xf>
    <xf numFmtId="3" fontId="8" fillId="0" borderId="0" xfId="0" applyNumberFormat="1" applyFont="1" applyAlignment="1">
      <alignment horizontal="center"/>
    </xf>
    <xf numFmtId="0" fontId="8" fillId="0" borderId="0" xfId="0" applyNumberFormat="1" applyFont="1" applyAlignment="1">
      <alignment horizontal="center"/>
    </xf>
    <xf numFmtId="0" fontId="8" fillId="0" borderId="0" xfId="0" applyFont="1" applyAlignment="1">
      <alignment horizontal="center"/>
    </xf>
    <xf numFmtId="3" fontId="8" fillId="0" borderId="0" xfId="0" applyNumberFormat="1" applyFont="1" applyAlignment="1"/>
    <xf numFmtId="0" fontId="35" fillId="0" borderId="0" xfId="0" applyNumberFormat="1" applyFont="1" applyAlignment="1">
      <alignment horizontal="center"/>
    </xf>
    <xf numFmtId="0" fontId="8" fillId="0" borderId="0" xfId="0" applyNumberFormat="1" applyFont="1" applyAlignment="1"/>
    <xf numFmtId="3" fontId="32" fillId="24" borderId="0" xfId="0" applyNumberFormat="1" applyFont="1" applyFill="1" applyBorder="1" applyAlignment="1"/>
    <xf numFmtId="175" fontId="32" fillId="0" borderId="0" xfId="0" applyNumberFormat="1" applyFont="1" applyAlignment="1"/>
    <xf numFmtId="3" fontId="32" fillId="24" borderId="16" xfId="0" applyNumberFormat="1" applyFont="1" applyFill="1" applyBorder="1" applyAlignment="1"/>
    <xf numFmtId="176" fontId="32" fillId="0" borderId="0" xfId="0" applyNumberFormat="1" applyFont="1" applyAlignment="1">
      <alignment horizontal="center"/>
    </xf>
    <xf numFmtId="3" fontId="32" fillId="24" borderId="0" xfId="0" applyNumberFormat="1" applyFont="1" applyFill="1" applyAlignment="1"/>
    <xf numFmtId="0" fontId="31" fillId="0" borderId="0" xfId="0" applyNumberFormat="1" applyFont="1" applyFill="1" applyBorder="1" applyAlignment="1">
      <alignment horizontal="fill"/>
    </xf>
    <xf numFmtId="3" fontId="31" fillId="0" borderId="0" xfId="0" applyNumberFormat="1" applyFont="1" applyFill="1" applyBorder="1" applyAlignment="1">
      <alignment horizontal="fill"/>
    </xf>
    <xf numFmtId="175" fontId="32" fillId="0" borderId="0" xfId="0" applyNumberFormat="1" applyFont="1" applyAlignment="1">
      <alignment horizontal="right"/>
    </xf>
    <xf numFmtId="176" fontId="31" fillId="0" borderId="0" xfId="0" applyNumberFormat="1" applyFont="1" applyFill="1" applyBorder="1" applyAlignment="1">
      <alignment horizontal="center"/>
    </xf>
    <xf numFmtId="3" fontId="31" fillId="0" borderId="0" xfId="0" applyNumberFormat="1" applyFont="1" applyFill="1" applyBorder="1" applyAlignment="1">
      <alignment horizontal="center"/>
    </xf>
    <xf numFmtId="0" fontId="31" fillId="0" borderId="0" xfId="0" applyNumberFormat="1" applyFont="1" applyFill="1" applyBorder="1" applyAlignment="1">
      <alignment horizontal="left"/>
    </xf>
    <xf numFmtId="0" fontId="36" fillId="0" borderId="0" xfId="0" applyFont="1" applyAlignment="1"/>
    <xf numFmtId="0" fontId="0" fillId="0" borderId="16" xfId="0" applyBorder="1" applyAlignment="1"/>
    <xf numFmtId="3" fontId="32" fillId="0" borderId="18" xfId="0" applyNumberFormat="1" applyFont="1" applyBorder="1" applyAlignment="1"/>
    <xf numFmtId="0" fontId="0" fillId="0" borderId="0" xfId="0" applyNumberFormat="1"/>
    <xf numFmtId="0" fontId="0" fillId="0" borderId="0" xfId="0" applyNumberFormat="1" applyFill="1" applyBorder="1"/>
    <xf numFmtId="0" fontId="32" fillId="0" borderId="0" xfId="0" applyNumberFormat="1" applyFont="1" applyFill="1" applyBorder="1" applyAlignment="1">
      <alignment horizontal="center"/>
    </xf>
    <xf numFmtId="3" fontId="31" fillId="0" borderId="0" xfId="0" applyNumberFormat="1" applyFont="1" applyFill="1" applyBorder="1" applyAlignment="1">
      <alignment horizontal="left"/>
    </xf>
    <xf numFmtId="168" fontId="32" fillId="0" borderId="0" xfId="0" applyNumberFormat="1" applyFont="1" applyAlignment="1">
      <alignment horizontal="right"/>
    </xf>
    <xf numFmtId="10" fontId="32" fillId="0" borderId="0" xfId="0" applyNumberFormat="1" applyFont="1" applyAlignment="1">
      <alignment horizontal="left"/>
    </xf>
    <xf numFmtId="168" fontId="32" fillId="0" borderId="0" xfId="0" applyNumberFormat="1" applyFont="1" applyAlignment="1">
      <alignment horizontal="center"/>
    </xf>
    <xf numFmtId="176" fontId="32" fillId="0" borderId="0" xfId="0" applyNumberFormat="1" applyFont="1" applyAlignment="1">
      <alignment horizontal="left"/>
    </xf>
    <xf numFmtId="10" fontId="32" fillId="0" borderId="0" xfId="0" applyNumberFormat="1" applyFont="1" applyFill="1" applyAlignment="1">
      <alignment horizontal="right"/>
    </xf>
    <xf numFmtId="169" fontId="32" fillId="0" borderId="0" xfId="0" applyNumberFormat="1" applyFont="1" applyFill="1" applyAlignment="1">
      <alignment horizontal="right"/>
    </xf>
    <xf numFmtId="3" fontId="32" fillId="0" borderId="0" xfId="0" applyNumberFormat="1" applyFont="1" applyFill="1" applyAlignment="1">
      <alignment horizontal="right"/>
    </xf>
    <xf numFmtId="177" fontId="32" fillId="0" borderId="0" xfId="0" applyNumberFormat="1" applyFont="1" applyAlignment="1"/>
    <xf numFmtId="0" fontId="32" fillId="0" borderId="16" xfId="0" applyNumberFormat="1" applyFont="1" applyBorder="1"/>
    <xf numFmtId="3" fontId="32" fillId="0" borderId="0" xfId="0" applyNumberFormat="1" applyFont="1" applyAlignment="1">
      <alignment horizontal="center"/>
    </xf>
    <xf numFmtId="49" fontId="32" fillId="0" borderId="0" xfId="0" applyNumberFormat="1" applyFont="1" applyAlignment="1"/>
    <xf numFmtId="0" fontId="33" fillId="0" borderId="0" xfId="0" applyNumberFormat="1" applyFont="1" applyFill="1" applyBorder="1" applyAlignment="1"/>
    <xf numFmtId="175" fontId="32" fillId="0" borderId="0" xfId="0" applyNumberFormat="1" applyFont="1"/>
    <xf numFmtId="168" fontId="32" fillId="0" borderId="0" xfId="0" applyNumberFormat="1" applyFont="1"/>
    <xf numFmtId="3" fontId="32" fillId="0" borderId="16" xfId="0" applyNumberFormat="1" applyFont="1" applyBorder="1" applyAlignment="1">
      <alignment horizontal="center"/>
    </xf>
    <xf numFmtId="4" fontId="32" fillId="0" borderId="0" xfId="0" applyNumberFormat="1" applyFont="1" applyAlignment="1"/>
    <xf numFmtId="3" fontId="32" fillId="0" borderId="0" xfId="0" applyNumberFormat="1" applyFont="1" applyBorder="1" applyAlignment="1">
      <alignment horizontal="center"/>
    </xf>
    <xf numFmtId="0" fontId="32" fillId="0" borderId="16" xfId="0" applyNumberFormat="1" applyFont="1" applyBorder="1" applyAlignment="1"/>
    <xf numFmtId="172" fontId="32" fillId="24" borderId="0" xfId="0" applyNumberFormat="1" applyFont="1" applyFill="1" applyAlignment="1"/>
    <xf numFmtId="0" fontId="33" fillId="0" borderId="0" xfId="0" applyNumberFormat="1" applyFont="1"/>
    <xf numFmtId="9" fontId="32" fillId="0" borderId="0" xfId="0" applyNumberFormat="1" applyFont="1" applyAlignment="1"/>
    <xf numFmtId="169" fontId="32" fillId="0" borderId="0" xfId="0" applyNumberFormat="1" applyFont="1" applyAlignment="1"/>
    <xf numFmtId="10" fontId="32" fillId="0" borderId="0" xfId="0" applyNumberFormat="1" applyFont="1" applyAlignment="1"/>
    <xf numFmtId="3" fontId="32" fillId="0" borderId="0" xfId="0" quotePrefix="1" applyNumberFormat="1" applyFont="1" applyAlignment="1"/>
    <xf numFmtId="10" fontId="32" fillId="0" borderId="0" xfId="89" applyNumberFormat="1" applyFont="1" applyAlignment="1"/>
    <xf numFmtId="169" fontId="32" fillId="0" borderId="16" xfId="0" applyNumberFormat="1" applyFont="1" applyBorder="1" applyAlignment="1"/>
    <xf numFmtId="10" fontId="32" fillId="24" borderId="0" xfId="0" applyNumberFormat="1" applyFont="1" applyFill="1" applyAlignment="1"/>
    <xf numFmtId="3" fontId="32" fillId="0" borderId="0" xfId="0" applyNumberFormat="1" applyFont="1" applyFill="1" applyBorder="1" applyAlignment="1">
      <alignment horizontal="center"/>
    </xf>
    <xf numFmtId="0" fontId="32" fillId="0" borderId="0" xfId="0" applyNumberFormat="1" applyFont="1" applyFill="1" applyBorder="1" applyAlignment="1"/>
    <xf numFmtId="0" fontId="34" fillId="0" borderId="0" xfId="0" applyFont="1" applyAlignment="1"/>
    <xf numFmtId="0" fontId="0" fillId="0" borderId="0" xfId="0" applyFill="1" applyAlignment="1" applyProtection="1"/>
    <xf numFmtId="3" fontId="0" fillId="24" borderId="0" xfId="0" applyNumberFormat="1" applyFill="1" applyAlignment="1"/>
    <xf numFmtId="0" fontId="32" fillId="0" borderId="16" xfId="0" applyFont="1" applyBorder="1" applyAlignment="1"/>
    <xf numFmtId="3" fontId="0" fillId="24" borderId="16" xfId="0" applyNumberFormat="1" applyFill="1" applyBorder="1" applyAlignment="1"/>
    <xf numFmtId="172" fontId="32" fillId="0" borderId="0" xfId="0" applyNumberFormat="1" applyFont="1" applyFill="1" applyBorder="1" applyProtection="1"/>
    <xf numFmtId="174" fontId="32" fillId="0" borderId="0" xfId="0" applyNumberFormat="1" applyFont="1"/>
    <xf numFmtId="172" fontId="32" fillId="24" borderId="0" xfId="0" applyNumberFormat="1" applyFont="1" applyFill="1" applyBorder="1" applyProtection="1"/>
    <xf numFmtId="3" fontId="36" fillId="0" borderId="0" xfId="0" applyNumberFormat="1" applyFont="1" applyFill="1" applyBorder="1" applyAlignment="1">
      <alignment horizontal="left"/>
    </xf>
    <xf numFmtId="172" fontId="32" fillId="24" borderId="0" xfId="0" applyNumberFormat="1" applyFont="1" applyFill="1" applyBorder="1" applyAlignment="1" applyProtection="1">
      <protection locked="0"/>
    </xf>
    <xf numFmtId="166" fontId="32" fillId="0" borderId="0" xfId="0" applyNumberFormat="1" applyFont="1" applyAlignment="1"/>
    <xf numFmtId="172" fontId="32" fillId="0" borderId="0" xfId="0" applyNumberFormat="1" applyFont="1" applyFill="1" applyBorder="1" applyAlignment="1" applyProtection="1"/>
    <xf numFmtId="0" fontId="38" fillId="0" borderId="0" xfId="0" applyNumberFormat="1" applyFont="1" applyFill="1" applyBorder="1" applyAlignment="1">
      <alignment horizontal="center"/>
    </xf>
    <xf numFmtId="0" fontId="39" fillId="0" borderId="0" xfId="0" applyNumberFormat="1" applyFont="1"/>
    <xf numFmtId="0" fontId="40" fillId="0" borderId="0" xfId="0" applyNumberFormat="1" applyFont="1" applyFill="1" applyBorder="1" applyAlignment="1">
      <alignment horizontal="center"/>
    </xf>
    <xf numFmtId="0" fontId="31" fillId="0" borderId="0" xfId="0" quotePrefix="1" applyNumberFormat="1" applyFont="1" applyFill="1" applyBorder="1"/>
    <xf numFmtId="0" fontId="31" fillId="0" borderId="0" xfId="0" applyNumberFormat="1" applyFont="1" applyFill="1"/>
    <xf numFmtId="0" fontId="36" fillId="0" borderId="0" xfId="0" applyNumberFormat="1" applyFont="1" applyFill="1" applyBorder="1" applyAlignment="1">
      <alignment horizontal="left"/>
    </xf>
    <xf numFmtId="0" fontId="41" fillId="0" borderId="0" xfId="0" applyNumberFormat="1" applyFont="1" applyFill="1" applyBorder="1"/>
    <xf numFmtId="0" fontId="41" fillId="0" borderId="0" xfId="0" applyFont="1" applyFill="1" applyBorder="1" applyAlignment="1"/>
    <xf numFmtId="3" fontId="40" fillId="0" borderId="0" xfId="0" applyNumberFormat="1" applyFont="1" applyFill="1" applyBorder="1" applyAlignment="1">
      <alignment horizontal="center"/>
    </xf>
    <xf numFmtId="0" fontId="42" fillId="0" borderId="0" xfId="0" applyNumberFormat="1" applyFont="1"/>
    <xf numFmtId="0" fontId="42" fillId="0" borderId="0" xfId="0" applyNumberFormat="1" applyFont="1" applyAlignment="1">
      <alignment horizontal="center"/>
    </xf>
    <xf numFmtId="0" fontId="41" fillId="0" borderId="0" xfId="0" applyNumberFormat="1" applyFont="1"/>
    <xf numFmtId="0" fontId="41" fillId="0" borderId="0" xfId="0" applyFont="1" applyAlignment="1"/>
    <xf numFmtId="0" fontId="0" fillId="0" borderId="0" xfId="0" applyNumberFormat="1" applyFill="1" applyAlignment="1">
      <alignment horizontal="center"/>
    </xf>
    <xf numFmtId="0" fontId="32" fillId="0" borderId="0" xfId="0" applyNumberFormat="1" applyFont="1" applyFill="1" applyAlignment="1"/>
    <xf numFmtId="0" fontId="37" fillId="0" borderId="0" xfId="0" applyFont="1" applyFill="1" applyAlignment="1"/>
    <xf numFmtId="3" fontId="32" fillId="0" borderId="0" xfId="0" applyNumberFormat="1" applyFont="1" applyFill="1" applyAlignment="1"/>
    <xf numFmtId="175" fontId="32" fillId="0" borderId="0" xfId="0" applyNumberFormat="1" applyFont="1" applyFill="1" applyAlignment="1"/>
    <xf numFmtId="3" fontId="32" fillId="0" borderId="0" xfId="0" applyNumberFormat="1" applyFont="1" applyBorder="1" applyAlignment="1"/>
    <xf numFmtId="3" fontId="32" fillId="0" borderId="0" xfId="0" applyNumberFormat="1" applyFont="1" applyFill="1" applyBorder="1" applyAlignment="1"/>
    <xf numFmtId="0" fontId="32" fillId="0" borderId="0" xfId="0" applyFont="1" applyFill="1" applyAlignment="1"/>
    <xf numFmtId="0" fontId="32" fillId="0" borderId="0" xfId="0" applyFont="1" applyFill="1" applyBorder="1" applyAlignment="1"/>
    <xf numFmtId="3" fontId="32" fillId="0" borderId="19" xfId="0" applyNumberFormat="1" applyFont="1" applyFill="1" applyBorder="1" applyAlignment="1"/>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2" xfId="0" applyBorder="1"/>
    <xf numFmtId="0" fontId="0" fillId="0" borderId="23" xfId="0" applyBorder="1" applyAlignment="1">
      <alignment horizontal="center"/>
    </xf>
    <xf numFmtId="0" fontId="3" fillId="0" borderId="24" xfId="0" applyFont="1" applyBorder="1" applyAlignment="1">
      <alignment horizontal="center"/>
    </xf>
    <xf numFmtId="43" fontId="0" fillId="0" borderId="25" xfId="55" applyFont="1" applyBorder="1"/>
    <xf numFmtId="0" fontId="0" fillId="0" borderId="25" xfId="0" applyBorder="1" applyAlignment="1">
      <alignment horizontal="center"/>
    </xf>
    <xf numFmtId="0" fontId="0" fillId="0" borderId="26" xfId="0" applyBorder="1"/>
    <xf numFmtId="37" fontId="0" fillId="0" borderId="26" xfId="55" applyNumberFormat="1" applyFont="1" applyBorder="1"/>
    <xf numFmtId="0" fontId="0" fillId="0" borderId="26" xfId="0" applyBorder="1" applyAlignment="1">
      <alignment horizontal="center"/>
    </xf>
    <xf numFmtId="0" fontId="0" fillId="0" borderId="27" xfId="0" applyBorder="1" applyAlignment="1">
      <alignment horizontal="center"/>
    </xf>
    <xf numFmtId="0" fontId="0" fillId="0" borderId="28" xfId="0" applyBorder="1"/>
    <xf numFmtId="37" fontId="45" fillId="0" borderId="28" xfId="55" applyNumberFormat="1" applyFont="1" applyFill="1" applyBorder="1"/>
    <xf numFmtId="0" fontId="0" fillId="0" borderId="28" xfId="0" applyBorder="1" applyAlignment="1">
      <alignment horizontal="center"/>
    </xf>
    <xf numFmtId="37" fontId="45" fillId="0" borderId="28" xfId="55" applyNumberFormat="1" applyFont="1" applyBorder="1"/>
    <xf numFmtId="0" fontId="0" fillId="0" borderId="29" xfId="0" applyBorder="1"/>
    <xf numFmtId="37" fontId="0" fillId="0" borderId="29" xfId="55" applyNumberFormat="1" applyFont="1" applyBorder="1"/>
    <xf numFmtId="0" fontId="0" fillId="0" borderId="29" xfId="0" applyBorder="1" applyAlignment="1">
      <alignment horizontal="center"/>
    </xf>
    <xf numFmtId="0" fontId="0" fillId="0" borderId="29" xfId="0" applyFill="1" applyBorder="1"/>
    <xf numFmtId="37" fontId="45" fillId="0" borderId="29" xfId="55" applyNumberFormat="1" applyFont="1" applyBorder="1"/>
    <xf numFmtId="0" fontId="3" fillId="0" borderId="29" xfId="0" applyFont="1" applyFill="1" applyBorder="1"/>
    <xf numFmtId="37" fontId="3" fillId="0" borderId="29" xfId="55" applyNumberFormat="1" applyFont="1" applyBorder="1"/>
    <xf numFmtId="0" fontId="0" fillId="0" borderId="29" xfId="0" applyFill="1" applyBorder="1" applyAlignment="1">
      <alignment horizontal="center"/>
    </xf>
    <xf numFmtId="0" fontId="3" fillId="0" borderId="25" xfId="0" applyFont="1" applyFill="1" applyBorder="1" applyAlignment="1">
      <alignment wrapText="1"/>
    </xf>
    <xf numFmtId="37" fontId="3" fillId="0" borderId="29" xfId="55" applyNumberFormat="1" applyFont="1" applyFill="1" applyBorder="1"/>
    <xf numFmtId="0" fontId="0" fillId="0" borderId="20" xfId="0" applyFill="1" applyBorder="1" applyAlignment="1">
      <alignment horizontal="center"/>
    </xf>
    <xf numFmtId="0" fontId="3" fillId="0" borderId="24" xfId="0" applyFont="1" applyFill="1" applyBorder="1" applyAlignment="1">
      <alignment horizontal="center"/>
    </xf>
    <xf numFmtId="0" fontId="0" fillId="0" borderId="0" xfId="0" applyFill="1" applyBorder="1" applyAlignment="1">
      <alignment horizontal="center"/>
    </xf>
    <xf numFmtId="37" fontId="1" fillId="0" borderId="28" xfId="55" applyNumberFormat="1" applyFont="1" applyBorder="1"/>
    <xf numFmtId="0" fontId="3" fillId="0" borderId="26" xfId="0" applyFont="1" applyBorder="1"/>
    <xf numFmtId="0" fontId="0" fillId="0" borderId="30" xfId="0" applyBorder="1" applyAlignment="1">
      <alignment horizontal="center"/>
    </xf>
    <xf numFmtId="37" fontId="3" fillId="0" borderId="28" xfId="55" applyNumberFormat="1" applyFont="1" applyBorder="1"/>
    <xf numFmtId="0" fontId="0" fillId="0" borderId="25" xfId="0" applyFill="1" applyBorder="1"/>
    <xf numFmtId="37" fontId="0" fillId="0" borderId="25" xfId="55" applyNumberFormat="1" applyFont="1" applyBorder="1"/>
    <xf numFmtId="0" fontId="0" fillId="0" borderId="29" xfId="0" applyBorder="1" applyAlignment="1">
      <alignment wrapText="1"/>
    </xf>
    <xf numFmtId="37" fontId="1" fillId="0" borderId="29" xfId="55" applyNumberFormat="1" applyFont="1" applyBorder="1"/>
    <xf numFmtId="0" fontId="0" fillId="0" borderId="20" xfId="0" quotePrefix="1" applyBorder="1" applyAlignment="1">
      <alignment horizontal="center"/>
    </xf>
    <xf numFmtId="0" fontId="0" fillId="0" borderId="28" xfId="0" applyFill="1" applyBorder="1"/>
    <xf numFmtId="0" fontId="0" fillId="0" borderId="26" xfId="0" applyFill="1" applyBorder="1"/>
    <xf numFmtId="37" fontId="45" fillId="0" borderId="29" xfId="55" applyNumberFormat="1" applyFont="1" applyFill="1" applyBorder="1"/>
    <xf numFmtId="0" fontId="3" fillId="0" borderId="26" xfId="0" applyFont="1" applyFill="1" applyBorder="1"/>
    <xf numFmtId="37" fontId="3" fillId="0" borderId="28" xfId="55" applyNumberFormat="1" applyFont="1" applyFill="1" applyBorder="1"/>
    <xf numFmtId="0" fontId="3" fillId="0" borderId="25" xfId="0" applyFont="1" applyBorder="1" applyAlignment="1">
      <alignment wrapText="1"/>
    </xf>
    <xf numFmtId="37" fontId="0" fillId="0" borderId="28" xfId="55" applyNumberFormat="1" applyFont="1" applyBorder="1"/>
    <xf numFmtId="0" fontId="3" fillId="0" borderId="28" xfId="0" applyFont="1" applyBorder="1"/>
    <xf numFmtId="37" fontId="0" fillId="0" borderId="26" xfId="55" applyNumberFormat="1" applyFont="1" applyFill="1" applyBorder="1"/>
    <xf numFmtId="0" fontId="3" fillId="0" borderId="26" xfId="0" applyFont="1" applyBorder="1" applyAlignment="1">
      <alignment wrapText="1"/>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quotePrefix="1" applyBorder="1"/>
    <xf numFmtId="0" fontId="0" fillId="0" borderId="27" xfId="0" applyBorder="1"/>
    <xf numFmtId="0" fontId="3" fillId="0" borderId="29" xfId="0" applyFont="1" applyBorder="1"/>
    <xf numFmtId="0" fontId="3" fillId="0" borderId="31" xfId="0" applyFont="1" applyBorder="1" applyAlignment="1">
      <alignment wrapText="1"/>
    </xf>
    <xf numFmtId="37" fontId="3" fillId="0" borderId="31" xfId="55" applyNumberFormat="1" applyFont="1" applyBorder="1"/>
    <xf numFmtId="0" fontId="0" fillId="0" borderId="31" xfId="0" applyBorder="1" applyAlignment="1">
      <alignment horizontal="center"/>
    </xf>
    <xf numFmtId="0" fontId="3" fillId="0" borderId="31" xfId="0" applyFont="1" applyBorder="1"/>
    <xf numFmtId="37" fontId="0" fillId="0" borderId="0" xfId="55" applyNumberFormat="1" applyFont="1" applyBorder="1"/>
    <xf numFmtId="43" fontId="0" fillId="0" borderId="0" xfId="55" applyFont="1" applyBorder="1"/>
    <xf numFmtId="0" fontId="4" fillId="0" borderId="0" xfId="0" applyFont="1" applyFill="1" applyBorder="1"/>
    <xf numFmtId="37" fontId="0" fillId="0" borderId="0" xfId="0" applyNumberFormat="1" applyBorder="1"/>
    <xf numFmtId="14" fontId="32" fillId="0" borderId="0" xfId="0" applyNumberFormat="1" applyFont="1" applyAlignment="1">
      <alignment horizontal="center"/>
    </xf>
    <xf numFmtId="0" fontId="32" fillId="0" borderId="0" xfId="0" applyFont="1" applyAlignment="1">
      <alignment horizontal="left"/>
    </xf>
    <xf numFmtId="14" fontId="32" fillId="0" borderId="0" xfId="0" applyNumberFormat="1" applyFont="1" applyAlignment="1">
      <alignment horizontal="left"/>
    </xf>
    <xf numFmtId="0" fontId="0" fillId="0" borderId="0" xfId="0" applyFill="1" applyAlignment="1">
      <alignment horizontal="left"/>
    </xf>
    <xf numFmtId="0" fontId="44" fillId="0" borderId="0" xfId="0" applyFont="1" applyBorder="1" applyAlignment="1">
      <alignment horizontal="left"/>
    </xf>
    <xf numFmtId="0" fontId="0" fillId="0" borderId="32" xfId="0" applyBorder="1"/>
    <xf numFmtId="0" fontId="0" fillId="0" borderId="32" xfId="0" applyFill="1" applyBorder="1" applyAlignment="1">
      <alignment horizontal="center"/>
    </xf>
    <xf numFmtId="0" fontId="0" fillId="0" borderId="23" xfId="0" applyBorder="1"/>
    <xf numFmtId="0" fontId="0" fillId="0" borderId="23" xfId="0" applyFill="1" applyBorder="1" applyAlignment="1">
      <alignment horizontal="center"/>
    </xf>
    <xf numFmtId="37" fontId="46" fillId="0" borderId="23" xfId="0" applyNumberFormat="1" applyFont="1" applyFill="1" applyBorder="1"/>
    <xf numFmtId="37" fontId="0" fillId="0" borderId="23" xfId="0" applyNumberFormat="1" applyFill="1" applyBorder="1"/>
    <xf numFmtId="0" fontId="0" fillId="0" borderId="21" xfId="0" applyBorder="1"/>
    <xf numFmtId="37" fontId="46" fillId="0" borderId="21" xfId="0" applyNumberFormat="1" applyFont="1" applyFill="1" applyBorder="1"/>
    <xf numFmtId="0" fontId="3" fillId="0" borderId="21" xfId="0" applyFont="1" applyBorder="1"/>
    <xf numFmtId="37" fontId="0" fillId="0" borderId="21" xfId="0" applyNumberFormat="1" applyFill="1" applyBorder="1"/>
    <xf numFmtId="37" fontId="45" fillId="0" borderId="23" xfId="0" applyNumberFormat="1" applyFont="1" applyFill="1" applyBorder="1"/>
    <xf numFmtId="0" fontId="0" fillId="0" borderId="23" xfId="0" applyBorder="1" applyAlignment="1">
      <alignment wrapText="1"/>
    </xf>
    <xf numFmtId="0" fontId="3" fillId="0" borderId="23" xfId="0" applyFont="1" applyBorder="1"/>
    <xf numFmtId="37" fontId="0" fillId="0" borderId="0" xfId="0" applyNumberFormat="1"/>
    <xf numFmtId="37" fontId="0" fillId="0" borderId="29" xfId="0" applyNumberFormat="1" applyFill="1" applyBorder="1"/>
    <xf numFmtId="37" fontId="0" fillId="0" borderId="0" xfId="0" applyNumberFormat="1" applyFill="1"/>
    <xf numFmtId="0" fontId="0" fillId="0" borderId="0" xfId="0" applyFill="1"/>
    <xf numFmtId="0" fontId="0" fillId="0" borderId="32" xfId="0" applyBorder="1" applyAlignment="1">
      <alignment horizontal="center"/>
    </xf>
    <xf numFmtId="37" fontId="47" fillId="0" borderId="29" xfId="0" applyNumberFormat="1" applyFont="1" applyBorder="1"/>
    <xf numFmtId="37" fontId="45" fillId="0" borderId="29" xfId="0" applyNumberFormat="1" applyFont="1" applyBorder="1"/>
    <xf numFmtId="37" fontId="3" fillId="0" borderId="29" xfId="0" applyNumberFormat="1" applyFont="1" applyBorder="1"/>
    <xf numFmtId="37" fontId="0" fillId="0" borderId="29" xfId="0" applyNumberFormat="1" applyBorder="1"/>
    <xf numFmtId="37" fontId="48" fillId="0" borderId="29" xfId="0" applyNumberFormat="1" applyFont="1" applyBorder="1"/>
    <xf numFmtId="167" fontId="0" fillId="0" borderId="0" xfId="55" applyNumberFormat="1" applyFont="1"/>
    <xf numFmtId="37" fontId="49" fillId="0" borderId="29" xfId="0" applyNumberFormat="1" applyFont="1" applyBorder="1"/>
    <xf numFmtId="37" fontId="3" fillId="0" borderId="29" xfId="0" applyNumberFormat="1" applyFont="1" applyFill="1" applyBorder="1"/>
    <xf numFmtId="0" fontId="3" fillId="0" borderId="29" xfId="0" applyFont="1" applyBorder="1" applyAlignment="1">
      <alignment wrapText="1"/>
    </xf>
    <xf numFmtId="14" fontId="32" fillId="0" borderId="0" xfId="0" applyNumberFormat="1" applyFont="1" applyAlignment="1"/>
    <xf numFmtId="0" fontId="0" fillId="0" borderId="25" xfId="0" applyBorder="1"/>
    <xf numFmtId="164" fontId="45" fillId="0" borderId="25" xfId="59" applyNumberFormat="1" applyFont="1" applyBorder="1"/>
    <xf numFmtId="164" fontId="0" fillId="0" borderId="26" xfId="0" applyNumberFormat="1" applyBorder="1"/>
    <xf numFmtId="164" fontId="0" fillId="0" borderId="28" xfId="0" applyNumberFormat="1" applyBorder="1"/>
    <xf numFmtId="0" fontId="0" fillId="0" borderId="33" xfId="0" applyBorder="1"/>
    <xf numFmtId="0" fontId="0" fillId="0" borderId="34" xfId="0" applyBorder="1"/>
    <xf numFmtId="0" fontId="0" fillId="0" borderId="35" xfId="0" applyBorder="1"/>
    <xf numFmtId="0" fontId="0" fillId="0" borderId="28" xfId="0" applyBorder="1" applyAlignment="1">
      <alignment wrapText="1" readingOrder="1"/>
    </xf>
    <xf numFmtId="37" fontId="0" fillId="0" borderId="36" xfId="0" applyNumberFormat="1" applyBorder="1"/>
    <xf numFmtId="37" fontId="0" fillId="0" borderId="22" xfId="0" applyNumberFormat="1" applyBorder="1"/>
    <xf numFmtId="37" fontId="45" fillId="0" borderId="37" xfId="0" applyNumberFormat="1" applyFont="1" applyBorder="1"/>
    <xf numFmtId="37" fontId="45" fillId="0" borderId="23" xfId="0" applyNumberFormat="1" applyFont="1" applyBorder="1"/>
    <xf numFmtId="37" fontId="0" fillId="0" borderId="23" xfId="0" applyNumberFormat="1" applyBorder="1"/>
    <xf numFmtId="0" fontId="0" fillId="0" borderId="27" xfId="0" applyBorder="1" applyAlignment="1">
      <alignment wrapText="1"/>
    </xf>
    <xf numFmtId="37" fontId="0" fillId="0" borderId="38" xfId="0" applyNumberFormat="1" applyBorder="1"/>
    <xf numFmtId="0" fontId="0" fillId="0" borderId="22" xfId="0" applyFill="1" applyBorder="1"/>
    <xf numFmtId="0" fontId="0" fillId="0" borderId="0" xfId="0" applyFill="1" applyBorder="1"/>
    <xf numFmtId="0" fontId="0" fillId="0" borderId="39" xfId="0" applyFill="1" applyBorder="1"/>
    <xf numFmtId="0" fontId="0" fillId="0" borderId="27" xfId="0" applyFill="1" applyBorder="1"/>
    <xf numFmtId="0" fontId="0" fillId="0" borderId="21" xfId="0" applyFill="1" applyBorder="1"/>
    <xf numFmtId="0" fontId="0" fillId="0" borderId="20" xfId="0" applyFill="1" applyBorder="1"/>
    <xf numFmtId="37" fontId="45" fillId="0" borderId="40" xfId="0" applyNumberFormat="1" applyFont="1" applyBorder="1"/>
    <xf numFmtId="37" fontId="45" fillId="0" borderId="21" xfId="0" applyNumberFormat="1" applyFont="1" applyBorder="1"/>
    <xf numFmtId="37" fontId="0" fillId="0" borderId="21" xfId="0" applyNumberFormat="1" applyBorder="1"/>
    <xf numFmtId="37" fontId="45" fillId="0" borderId="41" xfId="0" applyNumberFormat="1" applyFont="1" applyBorder="1"/>
    <xf numFmtId="37" fontId="3" fillId="0" borderId="23" xfId="0" applyNumberFormat="1" applyFont="1" applyBorder="1" applyAlignment="1">
      <alignment horizontal="right"/>
    </xf>
    <xf numFmtId="37" fontId="3" fillId="0" borderId="21" xfId="0" applyNumberFormat="1" applyFont="1" applyBorder="1"/>
    <xf numFmtId="37" fontId="0" fillId="0" borderId="21" xfId="0" applyNumberFormat="1" applyBorder="1" applyAlignment="1">
      <alignment horizontal="right"/>
    </xf>
    <xf numFmtId="37" fontId="45" fillId="0" borderId="21" xfId="0" applyNumberFormat="1" applyFont="1" applyFill="1" applyBorder="1"/>
    <xf numFmtId="37" fontId="3" fillId="0" borderId="21" xfId="0" applyNumberFormat="1" applyFont="1" applyBorder="1" applyAlignment="1">
      <alignment horizontal="right"/>
    </xf>
    <xf numFmtId="37" fontId="3" fillId="0" borderId="23" xfId="0" applyNumberFormat="1" applyFont="1" applyBorder="1"/>
    <xf numFmtId="37" fontId="0" fillId="0" borderId="27" xfId="0" applyNumberFormat="1" applyBorder="1"/>
    <xf numFmtId="0" fontId="45" fillId="0" borderId="29" xfId="0" applyFont="1" applyBorder="1"/>
    <xf numFmtId="0" fontId="45" fillId="0" borderId="29" xfId="0" applyFont="1" applyBorder="1" applyAlignment="1">
      <alignment horizontal="center"/>
    </xf>
    <xf numFmtId="37" fontId="45" fillId="25" borderId="29" xfId="0" applyNumberFormat="1" applyFont="1" applyFill="1" applyBorder="1"/>
    <xf numFmtId="37" fontId="45" fillId="0" borderId="29" xfId="0" applyNumberFormat="1" applyFont="1" applyFill="1" applyBorder="1"/>
    <xf numFmtId="1" fontId="0" fillId="0" borderId="0" xfId="0" applyNumberFormat="1"/>
    <xf numFmtId="0" fontId="45" fillId="0" borderId="29" xfId="0" applyFont="1" applyFill="1" applyBorder="1" applyAlignment="1">
      <alignment horizontal="center"/>
    </xf>
    <xf numFmtId="39" fontId="0" fillId="0" borderId="0" xfId="0" applyNumberFormat="1" applyBorder="1"/>
    <xf numFmtId="0" fontId="45" fillId="0" borderId="26" xfId="0" applyFont="1" applyFill="1" applyBorder="1"/>
    <xf numFmtId="0" fontId="45" fillId="0" borderId="26" xfId="0" applyFont="1" applyFill="1" applyBorder="1" applyAlignment="1">
      <alignment horizontal="center"/>
    </xf>
    <xf numFmtId="41" fontId="0" fillId="0" borderId="0" xfId="0" applyNumberFormat="1"/>
    <xf numFmtId="41" fontId="0" fillId="0" borderId="0" xfId="55" applyNumberFormat="1" applyFont="1"/>
    <xf numFmtId="0" fontId="0" fillId="0" borderId="42" xfId="0" applyBorder="1"/>
    <xf numFmtId="164" fontId="0" fillId="0" borderId="42" xfId="59" applyNumberFormat="1" applyFont="1" applyBorder="1"/>
    <xf numFmtId="164" fontId="0" fillId="0" borderId="0" xfId="59" applyNumberFormat="1" applyFont="1"/>
    <xf numFmtId="170" fontId="9" fillId="0" borderId="0" xfId="84" applyFont="1"/>
    <xf numFmtId="0" fontId="38" fillId="0" borderId="0" xfId="0" applyFont="1" applyAlignment="1"/>
    <xf numFmtId="0" fontId="38" fillId="0" borderId="0" xfId="0" applyNumberFormat="1" applyFont="1" applyAlignment="1"/>
    <xf numFmtId="0" fontId="38" fillId="0" borderId="0" xfId="0" applyNumberFormat="1" applyFont="1"/>
    <xf numFmtId="169" fontId="38" fillId="0" borderId="0" xfId="0" applyNumberFormat="1" applyFont="1"/>
    <xf numFmtId="0" fontId="50" fillId="0" borderId="0" xfId="0" applyFont="1" applyAlignment="1"/>
    <xf numFmtId="0" fontId="38" fillId="0" borderId="0" xfId="0" applyNumberFormat="1" applyFont="1" applyAlignment="1" applyProtection="1">
      <protection locked="0"/>
    </xf>
    <xf numFmtId="3" fontId="38" fillId="0" borderId="0" xfId="0" applyNumberFormat="1" applyFont="1" applyAlignment="1"/>
    <xf numFmtId="3" fontId="38" fillId="0" borderId="0" xfId="0" applyNumberFormat="1" applyFont="1" applyBorder="1" applyAlignment="1"/>
    <xf numFmtId="176" fontId="38" fillId="0" borderId="0" xfId="0" applyNumberFormat="1" applyFont="1" applyAlignment="1">
      <alignment horizontal="center"/>
    </xf>
    <xf numFmtId="0" fontId="32" fillId="0" borderId="0" xfId="0" applyNumberFormat="1" applyFont="1" applyBorder="1" applyAlignment="1"/>
    <xf numFmtId="0" fontId="32" fillId="0" borderId="0" xfId="0" applyNumberFormat="1" applyFont="1" applyBorder="1"/>
    <xf numFmtId="0" fontId="38" fillId="0" borderId="0" xfId="0" applyNumberFormat="1" applyFont="1" applyAlignment="1" applyProtection="1">
      <alignment horizontal="center" vertical="top" wrapText="1"/>
      <protection locked="0"/>
    </xf>
    <xf numFmtId="0" fontId="38" fillId="0" borderId="0" xfId="0" applyNumberFormat="1" applyFont="1" applyAlignment="1" applyProtection="1">
      <alignment horizontal="center"/>
      <protection locked="0"/>
    </xf>
    <xf numFmtId="0" fontId="38" fillId="0" borderId="0" xfId="0" applyNumberFormat="1" applyFont="1" applyAlignment="1" applyProtection="1">
      <alignment vertical="top" wrapText="1"/>
      <protection locked="0"/>
    </xf>
    <xf numFmtId="0" fontId="38" fillId="0" borderId="0" xfId="0" applyFont="1" applyAlignment="1">
      <alignment horizontal="center" vertical="top" wrapText="1"/>
    </xf>
    <xf numFmtId="0" fontId="38" fillId="0" borderId="0" xfId="0" applyFont="1" applyFill="1" applyAlignment="1">
      <alignment horizontal="center" vertical="top" wrapText="1"/>
    </xf>
    <xf numFmtId="0" fontId="52" fillId="0" borderId="0" xfId="0" applyFont="1" applyAlignment="1">
      <alignment horizontal="center" vertical="top" wrapText="1"/>
    </xf>
    <xf numFmtId="0" fontId="52" fillId="0" borderId="0" xfId="0" applyNumberFormat="1" applyFont="1" applyAlignment="1" applyProtection="1">
      <alignment vertical="top" wrapText="1"/>
      <protection locked="0"/>
    </xf>
    <xf numFmtId="0" fontId="52" fillId="0" borderId="0" xfId="0" applyNumberFormat="1" applyFont="1"/>
    <xf numFmtId="0" fontId="52" fillId="0" borderId="0" xfId="0" applyFont="1" applyAlignment="1"/>
    <xf numFmtId="0" fontId="52" fillId="0" borderId="0" xfId="0" applyNumberFormat="1" applyFont="1" applyAlignment="1" applyProtection="1">
      <alignment horizontal="center"/>
      <protection locked="0"/>
    </xf>
    <xf numFmtId="0" fontId="38" fillId="0" borderId="0" xfId="0" applyNumberFormat="1" applyFont="1" applyProtection="1">
      <protection locked="0"/>
    </xf>
    <xf numFmtId="3" fontId="51" fillId="0" borderId="0" xfId="0" applyNumberFormat="1" applyFont="1" applyAlignment="1">
      <alignment horizontal="left"/>
    </xf>
    <xf numFmtId="0" fontId="52" fillId="0" borderId="0" xfId="0" applyNumberFormat="1" applyFont="1" applyAlignment="1" applyProtection="1">
      <protection locked="0"/>
    </xf>
    <xf numFmtId="0" fontId="52" fillId="0" borderId="0" xfId="0" applyNumberFormat="1" applyFont="1" applyAlignment="1"/>
    <xf numFmtId="43" fontId="9" fillId="0" borderId="0" xfId="84" applyNumberFormat="1" applyFont="1" applyBorder="1"/>
    <xf numFmtId="178" fontId="11" fillId="0" borderId="0" xfId="55" quotePrefix="1" applyNumberFormat="1" applyFont="1" applyBorder="1" applyAlignment="1">
      <alignment horizontal="center"/>
    </xf>
    <xf numFmtId="37" fontId="4" fillId="0" borderId="0" xfId="0" applyNumberFormat="1" applyFont="1"/>
    <xf numFmtId="0" fontId="4" fillId="0" borderId="0" xfId="81"/>
    <xf numFmtId="0" fontId="4" fillId="0" borderId="0" xfId="81" applyBorder="1" applyAlignment="1">
      <alignment vertical="center"/>
    </xf>
    <xf numFmtId="0" fontId="3" fillId="0" borderId="29" xfId="81" applyFont="1" applyBorder="1" applyAlignment="1">
      <alignment horizontal="left" vertical="center" indent="1"/>
    </xf>
    <xf numFmtId="0" fontId="4" fillId="0" borderId="29" xfId="81" applyBorder="1" applyAlignment="1">
      <alignment horizontal="left" vertical="center" indent="2"/>
    </xf>
    <xf numFmtId="164" fontId="4" fillId="0" borderId="29" xfId="60" applyNumberFormat="1" applyBorder="1" applyAlignment="1">
      <alignment vertical="center"/>
    </xf>
    <xf numFmtId="0" fontId="4" fillId="0" borderId="0" xfId="81" applyAlignment="1">
      <alignment vertical="center"/>
    </xf>
    <xf numFmtId="0" fontId="3" fillId="0" borderId="29" xfId="81" applyFont="1" applyBorder="1" applyAlignment="1">
      <alignment horizontal="left" vertical="center" indent="2"/>
    </xf>
    <xf numFmtId="0" fontId="4" fillId="0" borderId="0" xfId="81" applyAlignment="1">
      <alignment horizontal="center" vertical="center" wrapText="1"/>
    </xf>
    <xf numFmtId="164" fontId="4" fillId="0" borderId="0" xfId="60" applyNumberFormat="1" applyAlignment="1">
      <alignment vertical="center"/>
    </xf>
    <xf numFmtId="0" fontId="5" fillId="0" borderId="0" xfId="81" applyFont="1" applyAlignment="1">
      <alignment horizontal="left" vertical="center" indent="1"/>
    </xf>
    <xf numFmtId="0" fontId="3" fillId="26" borderId="43" xfId="81" applyFont="1" applyFill="1" applyBorder="1" applyAlignment="1">
      <alignment horizontal="center" vertical="center"/>
    </xf>
    <xf numFmtId="164" fontId="3" fillId="26" borderId="44" xfId="60" applyNumberFormat="1" applyFont="1" applyFill="1" applyBorder="1" applyAlignment="1">
      <alignment vertical="center"/>
    </xf>
    <xf numFmtId="0" fontId="6" fillId="26" borderId="44" xfId="81" applyFont="1" applyFill="1" applyBorder="1" applyAlignment="1">
      <alignment horizontal="center" vertical="center"/>
    </xf>
    <xf numFmtId="0" fontId="7" fillId="26" borderId="44" xfId="81" applyFont="1" applyFill="1" applyBorder="1" applyAlignment="1">
      <alignment horizontal="center" vertical="center"/>
    </xf>
    <xf numFmtId="0" fontId="7" fillId="26" borderId="45" xfId="81" applyFont="1" applyFill="1" applyBorder="1" applyAlignment="1">
      <alignment horizontal="center" vertical="center"/>
    </xf>
    <xf numFmtId="0" fontId="4" fillId="0" borderId="46" xfId="81" applyBorder="1" applyAlignment="1">
      <alignment horizontal="center" vertical="center"/>
    </xf>
    <xf numFmtId="44" fontId="4" fillId="0" borderId="47" xfId="60" applyBorder="1" applyAlignment="1">
      <alignment vertical="center"/>
    </xf>
    <xf numFmtId="0" fontId="4" fillId="0" borderId="48" xfId="81" applyBorder="1" applyAlignment="1">
      <alignment horizontal="center" vertical="center"/>
    </xf>
    <xf numFmtId="0" fontId="8" fillId="0" borderId="50" xfId="81" applyFont="1" applyBorder="1" applyAlignment="1">
      <alignment horizontal="center" vertical="center"/>
    </xf>
    <xf numFmtId="164" fontId="3" fillId="0" borderId="31" xfId="60" applyNumberFormat="1" applyFont="1" applyBorder="1" applyAlignment="1">
      <alignment vertical="center"/>
    </xf>
    <xf numFmtId="10" fontId="4" fillId="0" borderId="31" xfId="90" applyNumberFormat="1" applyBorder="1" applyAlignment="1">
      <alignment vertical="center"/>
    </xf>
    <xf numFmtId="43" fontId="4" fillId="0" borderId="0" xfId="81" applyNumberFormat="1" applyAlignment="1">
      <alignment vertical="center"/>
    </xf>
    <xf numFmtId="10" fontId="4" fillId="0" borderId="0" xfId="90" applyNumberFormat="1" applyAlignment="1">
      <alignment vertical="center"/>
    </xf>
    <xf numFmtId="44" fontId="4" fillId="0" borderId="0" xfId="60" applyAlignment="1">
      <alignment vertical="center"/>
    </xf>
    <xf numFmtId="164" fontId="6" fillId="26" borderId="44" xfId="60" applyNumberFormat="1" applyFont="1" applyFill="1" applyBorder="1" applyAlignment="1">
      <alignment horizontal="center" vertical="center"/>
    </xf>
    <xf numFmtId="164" fontId="4" fillId="0" borderId="0" xfId="60" applyNumberFormat="1" applyBorder="1" applyAlignment="1">
      <alignment vertical="center"/>
    </xf>
    <xf numFmtId="0" fontId="8" fillId="0" borderId="0" xfId="81" applyFont="1" applyBorder="1"/>
    <xf numFmtId="0" fontId="4" fillId="0" borderId="10" xfId="81" applyBorder="1" applyAlignment="1">
      <alignment vertical="center"/>
    </xf>
    <xf numFmtId="0" fontId="4" fillId="0" borderId="11" xfId="81" applyBorder="1" applyAlignment="1">
      <alignment vertical="center"/>
    </xf>
    <xf numFmtId="164" fontId="4" fillId="0" borderId="11" xfId="60" applyNumberFormat="1" applyBorder="1" applyAlignment="1">
      <alignment vertical="center"/>
    </xf>
    <xf numFmtId="164" fontId="4" fillId="0" borderId="12" xfId="60" applyNumberFormat="1" applyBorder="1" applyAlignment="1">
      <alignment vertical="center"/>
    </xf>
    <xf numFmtId="0" fontId="4" fillId="0" borderId="13" xfId="81" applyBorder="1" applyAlignment="1">
      <alignment vertical="center"/>
    </xf>
    <xf numFmtId="164" fontId="4" fillId="0" borderId="14" xfId="60" applyNumberFormat="1" applyBorder="1" applyAlignment="1">
      <alignment vertical="center"/>
    </xf>
    <xf numFmtId="0" fontId="4" fillId="0" borderId="15" xfId="81" applyBorder="1" applyAlignment="1">
      <alignment vertical="center"/>
    </xf>
    <xf numFmtId="0" fontId="4" fillId="0" borderId="16" xfId="81" applyBorder="1" applyAlignment="1">
      <alignment vertical="center"/>
    </xf>
    <xf numFmtId="164" fontId="4" fillId="0" borderId="16" xfId="60" applyNumberFormat="1" applyBorder="1" applyAlignment="1">
      <alignment vertical="center"/>
    </xf>
    <xf numFmtId="164" fontId="4" fillId="0" borderId="17" xfId="60" applyNumberFormat="1" applyBorder="1" applyAlignment="1">
      <alignment vertical="center"/>
    </xf>
    <xf numFmtId="164" fontId="4" fillId="0" borderId="0" xfId="60" applyNumberFormat="1" applyFont="1" applyBorder="1" applyAlignment="1">
      <alignment vertical="center"/>
    </xf>
    <xf numFmtId="164" fontId="4" fillId="0" borderId="14" xfId="60" applyNumberFormat="1" applyFont="1" applyBorder="1" applyAlignment="1">
      <alignment vertical="center"/>
    </xf>
    <xf numFmtId="0" fontId="3" fillId="0" borderId="0" xfId="81" applyFont="1" applyBorder="1" applyAlignment="1">
      <alignment horizontal="left" vertical="center" indent="1"/>
    </xf>
    <xf numFmtId="0" fontId="4" fillId="0" borderId="0" xfId="81" applyBorder="1" applyAlignment="1">
      <alignment vertical="center" wrapText="1"/>
    </xf>
    <xf numFmtId="0" fontId="30" fillId="0" borderId="0" xfId="81" applyFont="1"/>
    <xf numFmtId="44" fontId="4" fillId="0" borderId="29" xfId="60" applyNumberFormat="1" applyBorder="1" applyAlignment="1">
      <alignment vertical="center"/>
    </xf>
    <xf numFmtId="43" fontId="3" fillId="0" borderId="31" xfId="58" applyFont="1" applyBorder="1" applyAlignment="1">
      <alignment vertical="center"/>
    </xf>
    <xf numFmtId="164" fontId="4" fillId="0" borderId="0" xfId="81" applyNumberFormat="1"/>
    <xf numFmtId="0" fontId="4" fillId="0" borderId="0" xfId="81" applyAlignment="1">
      <alignment horizontal="center" vertical="center"/>
    </xf>
    <xf numFmtId="43" fontId="4" fillId="0" borderId="0" xfId="58" applyFont="1" applyAlignment="1">
      <alignment vertical="center"/>
    </xf>
    <xf numFmtId="165" fontId="4" fillId="0" borderId="0" xfId="81" applyNumberFormat="1" applyAlignment="1">
      <alignment vertical="center"/>
    </xf>
    <xf numFmtId="0" fontId="4" fillId="0" borderId="0" xfId="81" applyAlignment="1">
      <alignment horizontal="right"/>
    </xf>
    <xf numFmtId="43" fontId="4" fillId="0" borderId="0" xfId="81" applyNumberFormat="1"/>
    <xf numFmtId="0" fontId="4" fillId="0" borderId="0" xfId="0" applyFont="1"/>
    <xf numFmtId="37" fontId="1" fillId="0" borderId="23" xfId="0" applyNumberFormat="1" applyFont="1" applyFill="1" applyBorder="1"/>
    <xf numFmtId="166" fontId="31" fillId="0" borderId="0" xfId="82" applyAlignment="1"/>
    <xf numFmtId="0" fontId="38" fillId="0" borderId="0" xfId="82" applyNumberFormat="1" applyFont="1"/>
    <xf numFmtId="0" fontId="51" fillId="0" borderId="0" xfId="82" applyNumberFormat="1" applyFont="1"/>
    <xf numFmtId="0" fontId="38" fillId="0" borderId="0" xfId="82" applyNumberFormat="1" applyFont="1" applyAlignment="1" applyProtection="1">
      <alignment horizontal="center"/>
      <protection locked="0"/>
    </xf>
    <xf numFmtId="166" fontId="38" fillId="0" borderId="0" xfId="82" applyFont="1" applyAlignment="1"/>
    <xf numFmtId="0" fontId="38" fillId="0" borderId="0" xfId="82" applyNumberFormat="1" applyFont="1" applyAlignment="1"/>
    <xf numFmtId="0" fontId="38" fillId="24" borderId="16" xfId="82" applyNumberFormat="1" applyFont="1" applyFill="1" applyBorder="1" applyAlignment="1"/>
    <xf numFmtId="0" fontId="32" fillId="0" borderId="0" xfId="0" applyFont="1"/>
    <xf numFmtId="3" fontId="0" fillId="0" borderId="0" xfId="0" applyNumberFormat="1"/>
    <xf numFmtId="37" fontId="45" fillId="0" borderId="34" xfId="0" applyNumberFormat="1" applyFont="1" applyFill="1" applyBorder="1"/>
    <xf numFmtId="42" fontId="32" fillId="0" borderId="0" xfId="0" applyNumberFormat="1" applyFont="1" applyBorder="1" applyAlignment="1">
      <alignment horizontal="right"/>
    </xf>
    <xf numFmtId="0" fontId="0" fillId="0" borderId="0" xfId="0"/>
    <xf numFmtId="0" fontId="0" fillId="0" borderId="0" xfId="0" applyBorder="1"/>
    <xf numFmtId="0" fontId="0" fillId="0" borderId="0" xfId="0" applyNumberFormat="1"/>
    <xf numFmtId="0" fontId="0" fillId="0" borderId="0" xfId="0" applyAlignment="1"/>
    <xf numFmtId="0" fontId="31" fillId="0" borderId="0" xfId="0" applyNumberFormat="1" applyFont="1"/>
    <xf numFmtId="0" fontId="31" fillId="0" borderId="0" xfId="0" applyFont="1" applyAlignment="1"/>
    <xf numFmtId="0" fontId="32" fillId="0" borderId="0" xfId="0" applyNumberFormat="1" applyFont="1" applyAlignment="1"/>
    <xf numFmtId="0" fontId="32" fillId="0" borderId="0" xfId="0" applyNumberFormat="1" applyFont="1"/>
    <xf numFmtId="0" fontId="32" fillId="0" borderId="0" xfId="0" applyNumberFormat="1" applyFont="1" applyAlignment="1">
      <alignment horizontal="center"/>
    </xf>
    <xf numFmtId="3" fontId="32" fillId="0" borderId="0" xfId="0" applyNumberFormat="1" applyFont="1" applyAlignment="1"/>
    <xf numFmtId="0" fontId="0" fillId="0" borderId="0" xfId="0" applyNumberFormat="1" applyAlignment="1">
      <alignment horizontal="center"/>
    </xf>
    <xf numFmtId="3" fontId="32" fillId="0" borderId="0" xfId="0" applyNumberFormat="1" applyFont="1"/>
    <xf numFmtId="42" fontId="32" fillId="0" borderId="0" xfId="0" applyNumberFormat="1" applyFont="1"/>
    <xf numFmtId="168" fontId="32" fillId="0" borderId="0" xfId="0" applyNumberFormat="1" applyFont="1" applyAlignment="1"/>
    <xf numFmtId="0" fontId="0" fillId="0" borderId="0" xfId="0" applyFill="1" applyBorder="1" applyAlignment="1"/>
    <xf numFmtId="0" fontId="31" fillId="0" borderId="0" xfId="0" applyFont="1" applyFill="1" applyBorder="1" applyAlignment="1"/>
    <xf numFmtId="0" fontId="31" fillId="0" borderId="0" xfId="0" applyNumberFormat="1" applyFont="1" applyFill="1" applyBorder="1"/>
    <xf numFmtId="3" fontId="32" fillId="0" borderId="0" xfId="0" applyNumberFormat="1" applyFont="1" applyAlignment="1">
      <alignment horizontal="fill"/>
    </xf>
    <xf numFmtId="0" fontId="32" fillId="0" borderId="0" xfId="0" applyFont="1" applyAlignment="1"/>
    <xf numFmtId="0" fontId="31" fillId="0" borderId="0" xfId="0" applyNumberFormat="1" applyFont="1" applyFill="1" applyBorder="1" applyAlignment="1"/>
    <xf numFmtId="3" fontId="31" fillId="0" borderId="0" xfId="0" applyNumberFormat="1" applyFont="1" applyAlignment="1"/>
    <xf numFmtId="3" fontId="31" fillId="0" borderId="0" xfId="0" applyNumberFormat="1" applyFont="1" applyFill="1" applyBorder="1" applyAlignment="1"/>
    <xf numFmtId="49" fontId="32" fillId="0" borderId="0" xfId="0" applyNumberFormat="1" applyFont="1" applyAlignment="1">
      <alignment horizontal="left"/>
    </xf>
    <xf numFmtId="0" fontId="31" fillId="0" borderId="0" xfId="0" applyNumberFormat="1" applyFont="1" applyFill="1" applyBorder="1" applyAlignment="1">
      <alignment horizontal="center"/>
    </xf>
    <xf numFmtId="175" fontId="32" fillId="0" borderId="0" xfId="0" applyNumberFormat="1" applyFont="1" applyAlignment="1"/>
    <xf numFmtId="168" fontId="32" fillId="0" borderId="0" xfId="0" applyNumberFormat="1" applyFont="1"/>
    <xf numFmtId="0" fontId="32" fillId="0" borderId="0" xfId="0" applyNumberFormat="1" applyFont="1" applyFill="1" applyBorder="1" applyAlignment="1"/>
    <xf numFmtId="3" fontId="0" fillId="24" borderId="0" xfId="0" applyNumberFormat="1" applyFill="1" applyAlignment="1"/>
    <xf numFmtId="0" fontId="38" fillId="0" borderId="0" xfId="0" applyFont="1" applyAlignment="1"/>
    <xf numFmtId="3" fontId="38" fillId="0" borderId="0" xfId="0" applyNumberFormat="1" applyFont="1" applyBorder="1" applyAlignment="1"/>
    <xf numFmtId="0" fontId="38" fillId="0" borderId="0" xfId="0" applyNumberFormat="1" applyFont="1"/>
    <xf numFmtId="37" fontId="1" fillId="0" borderId="0" xfId="0" applyNumberFormat="1" applyFont="1"/>
    <xf numFmtId="0" fontId="1" fillId="0" borderId="0" xfId="108"/>
    <xf numFmtId="0" fontId="73" fillId="0" borderId="29" xfId="0" applyFont="1" applyBorder="1" applyAlignment="1">
      <alignment horizontal="center"/>
    </xf>
    <xf numFmtId="0" fontId="73" fillId="0" borderId="64" xfId="0" applyFont="1" applyBorder="1" applyAlignment="1">
      <alignment horizontal="center" vertical="center" wrapText="1"/>
    </xf>
    <xf numFmtId="0" fontId="73" fillId="0" borderId="63" xfId="0" applyFont="1" applyBorder="1" applyAlignment="1">
      <alignment horizontal="center" vertical="center" wrapText="1"/>
    </xf>
    <xf numFmtId="0" fontId="0" fillId="0" borderId="64" xfId="0" applyBorder="1" applyAlignment="1">
      <alignment horizontal="center" wrapText="1"/>
    </xf>
    <xf numFmtId="14" fontId="0" fillId="0" borderId="63" xfId="0" applyNumberFormat="1" applyBorder="1" applyAlignment="1">
      <alignment horizontal="center" wrapText="1"/>
    </xf>
    <xf numFmtId="0" fontId="0" fillId="0" borderId="63" xfId="0" applyNumberFormat="1" applyBorder="1" applyAlignment="1">
      <alignment horizontal="center" wrapText="1"/>
    </xf>
    <xf numFmtId="0" fontId="0" fillId="0" borderId="63" xfId="0" applyBorder="1" applyAlignment="1">
      <alignment horizontal="center" wrapText="1"/>
    </xf>
    <xf numFmtId="10" fontId="0" fillId="0" borderId="63" xfId="0" applyNumberFormat="1" applyBorder="1" applyAlignment="1">
      <alignment horizontal="center" wrapText="1"/>
    </xf>
    <xf numFmtId="167" fontId="1" fillId="0" borderId="29" xfId="55" applyNumberFormat="1" applyFill="1" applyBorder="1" applyAlignment="1">
      <alignment vertical="center"/>
    </xf>
    <xf numFmtId="164" fontId="1" fillId="0" borderId="0" xfId="60" applyNumberFormat="1" applyFont="1" applyBorder="1" applyAlignment="1">
      <alignment vertical="center"/>
    </xf>
    <xf numFmtId="49" fontId="74" fillId="0" borderId="0" xfId="0" applyNumberFormat="1" applyFont="1"/>
    <xf numFmtId="179" fontId="74" fillId="0" borderId="0" xfId="0" applyNumberFormat="1" applyFont="1"/>
    <xf numFmtId="180" fontId="74" fillId="0" borderId="0" xfId="0" applyNumberFormat="1" applyFont="1"/>
    <xf numFmtId="49" fontId="75" fillId="0" borderId="0" xfId="0" applyNumberFormat="1" applyFont="1"/>
    <xf numFmtId="179" fontId="75" fillId="0" borderId="0" xfId="0" applyNumberFormat="1" applyFont="1"/>
    <xf numFmtId="49" fontId="75" fillId="0" borderId="0" xfId="0" applyNumberFormat="1" applyFont="1" applyAlignment="1">
      <alignment horizontal="centerContinuous"/>
    </xf>
    <xf numFmtId="180" fontId="75" fillId="0" borderId="0" xfId="0" applyNumberFormat="1" applyFont="1"/>
    <xf numFmtId="180" fontId="75" fillId="0" borderId="16" xfId="0" applyNumberFormat="1" applyFont="1" applyBorder="1"/>
    <xf numFmtId="180" fontId="75" fillId="0" borderId="0" xfId="0" applyNumberFormat="1" applyFont="1" applyBorder="1"/>
    <xf numFmtId="180" fontId="75" fillId="0" borderId="11" xfId="0" applyNumberFormat="1" applyFont="1" applyBorder="1"/>
    <xf numFmtId="180" fontId="75" fillId="0" borderId="66" xfId="0" applyNumberFormat="1" applyFont="1" applyBorder="1"/>
    <xf numFmtId="180" fontId="74" fillId="0" borderId="52" xfId="0" applyNumberFormat="1" applyFont="1" applyBorder="1"/>
    <xf numFmtId="0" fontId="74" fillId="0" borderId="0" xfId="0" applyFont="1"/>
    <xf numFmtId="49" fontId="0" fillId="0" borderId="0" xfId="0" applyNumberFormat="1" applyAlignment="1">
      <alignment horizontal="center"/>
    </xf>
    <xf numFmtId="49" fontId="74" fillId="0" borderId="65" xfId="0" applyNumberFormat="1" applyFont="1" applyBorder="1" applyAlignment="1">
      <alignment horizontal="center"/>
    </xf>
    <xf numFmtId="167" fontId="1" fillId="0" borderId="0" xfId="55" applyNumberFormat="1" applyFont="1" applyBorder="1"/>
    <xf numFmtId="0" fontId="1" fillId="0" borderId="46" xfId="81" applyFont="1" applyBorder="1" applyAlignment="1">
      <alignment horizontal="center" vertical="center"/>
    </xf>
    <xf numFmtId="43" fontId="0" fillId="0" borderId="0" xfId="0" applyNumberFormat="1" applyAlignment="1">
      <alignment vertical="center"/>
    </xf>
    <xf numFmtId="0" fontId="0" fillId="0" borderId="0" xfId="0" applyAlignment="1"/>
    <xf numFmtId="0" fontId="1" fillId="0" borderId="0" xfId="81" applyFont="1"/>
    <xf numFmtId="0" fontId="0" fillId="0" borderId="0" xfId="0" applyFill="1" applyProtection="1">
      <protection locked="0"/>
    </xf>
    <xf numFmtId="171" fontId="0" fillId="0" borderId="0" xfId="0" applyNumberFormat="1" applyFill="1" applyProtection="1">
      <protection locked="0"/>
    </xf>
    <xf numFmtId="44" fontId="0" fillId="0" borderId="0" xfId="61" applyNumberFormat="1" applyFont="1" applyFill="1" applyProtection="1">
      <protection locked="0"/>
    </xf>
    <xf numFmtId="44" fontId="0" fillId="0" borderId="0" xfId="61" applyFont="1" applyFill="1" applyProtection="1">
      <protection locked="0"/>
    </xf>
    <xf numFmtId="44" fontId="0" fillId="0" borderId="0" xfId="61" applyFont="1" applyFill="1"/>
    <xf numFmtId="44" fontId="0" fillId="0" borderId="0" xfId="61" applyNumberFormat="1" applyFont="1" applyFill="1"/>
    <xf numFmtId="0" fontId="0" fillId="0" borderId="0" xfId="0" applyFill="1" applyAlignment="1" applyProtection="1">
      <alignment horizontal="center"/>
      <protection locked="0"/>
    </xf>
    <xf numFmtId="0" fontId="8" fillId="0" borderId="0" xfId="0" applyFont="1" applyFill="1" applyBorder="1" applyAlignment="1">
      <alignment vertical="center"/>
    </xf>
    <xf numFmtId="43" fontId="0" fillId="0" borderId="0" xfId="56" applyFont="1" applyFill="1" applyAlignment="1">
      <alignment vertical="center"/>
    </xf>
    <xf numFmtId="0" fontId="30" fillId="0" borderId="0" xfId="0" applyFont="1" applyFill="1"/>
    <xf numFmtId="0" fontId="3" fillId="0" borderId="0" xfId="0" applyFont="1" applyFill="1" applyAlignment="1" applyProtection="1">
      <alignment horizontal="center"/>
      <protection locked="0"/>
    </xf>
    <xf numFmtId="171" fontId="0" fillId="0" borderId="0" xfId="0" applyNumberFormat="1" applyFill="1" applyAlignment="1" applyProtection="1">
      <alignment horizontal="center"/>
      <protection locked="0"/>
    </xf>
    <xf numFmtId="44" fontId="0" fillId="0" borderId="0" xfId="61" applyNumberFormat="1" applyFont="1" applyFill="1" applyAlignment="1" applyProtection="1">
      <alignment horizontal="center"/>
      <protection locked="0"/>
    </xf>
    <xf numFmtId="44" fontId="0" fillId="0" borderId="0" xfId="61" applyFont="1" applyFill="1" applyAlignment="1" applyProtection="1">
      <alignment horizontal="center"/>
      <protection locked="0"/>
    </xf>
    <xf numFmtId="44" fontId="0" fillId="0" borderId="0" xfId="61" applyFont="1" applyFill="1" applyAlignment="1">
      <alignment horizontal="center"/>
    </xf>
    <xf numFmtId="44" fontId="0" fillId="0" borderId="0" xfId="61" applyNumberFormat="1" applyFont="1"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vertical="center"/>
    </xf>
    <xf numFmtId="14" fontId="0" fillId="0" borderId="0" xfId="0" applyNumberFormat="1" applyFill="1" applyProtection="1">
      <protection locked="0"/>
    </xf>
    <xf numFmtId="44" fontId="0" fillId="0" borderId="0" xfId="61" applyFont="1" applyFill="1" applyBorder="1"/>
    <xf numFmtId="44" fontId="0" fillId="0" borderId="0" xfId="61" applyNumberFormat="1" applyFont="1" applyFill="1" applyBorder="1"/>
    <xf numFmtId="171" fontId="0" fillId="0" borderId="0" xfId="0" applyNumberFormat="1" applyFill="1" applyAlignment="1" applyProtection="1">
      <alignment horizontal="right"/>
      <protection locked="0"/>
    </xf>
    <xf numFmtId="14" fontId="1" fillId="0" borderId="0" xfId="0" applyNumberFormat="1" applyFont="1" applyFill="1" applyProtection="1">
      <protection locked="0"/>
    </xf>
    <xf numFmtId="44" fontId="0" fillId="0" borderId="0" xfId="61" applyNumberFormat="1" applyFont="1" applyFill="1" applyBorder="1" applyProtection="1">
      <protection locked="0"/>
    </xf>
    <xf numFmtId="44" fontId="0" fillId="0" borderId="0" xfId="61" applyFont="1" applyFill="1" applyBorder="1" applyProtection="1">
      <protection locked="0"/>
    </xf>
    <xf numFmtId="44" fontId="0" fillId="0" borderId="18" xfId="61" applyNumberFormat="1" applyFont="1" applyFill="1" applyBorder="1" applyProtection="1">
      <protection locked="0"/>
    </xf>
    <xf numFmtId="44" fontId="0" fillId="0" borderId="18" xfId="61" applyFont="1" applyFill="1" applyBorder="1" applyProtection="1">
      <protection locked="0"/>
    </xf>
    <xf numFmtId="44" fontId="0" fillId="0" borderId="18" xfId="61" applyFont="1" applyFill="1" applyBorder="1"/>
    <xf numFmtId="14" fontId="3" fillId="0" borderId="0" xfId="0" applyNumberFormat="1" applyFont="1" applyFill="1" applyProtection="1">
      <protection locked="0"/>
    </xf>
    <xf numFmtId="44" fontId="3" fillId="0" borderId="0" xfId="61" applyNumberFormat="1" applyFont="1" applyFill="1" applyBorder="1" applyProtection="1">
      <protection locked="0"/>
    </xf>
    <xf numFmtId="44" fontId="0" fillId="0" borderId="0" xfId="59" applyNumberFormat="1" applyFont="1" applyFill="1" applyBorder="1"/>
    <xf numFmtId="44" fontId="0" fillId="0" borderId="0" xfId="0" applyNumberFormat="1" applyFill="1"/>
    <xf numFmtId="0" fontId="1" fillId="0" borderId="0" xfId="0" applyFont="1" applyFill="1" applyAlignment="1">
      <alignment vertical="center"/>
    </xf>
    <xf numFmtId="44" fontId="1" fillId="0" borderId="0" xfId="61" applyNumberFormat="1" applyFont="1" applyFill="1" applyBorder="1" applyProtection="1">
      <protection locked="0"/>
    </xf>
    <xf numFmtId="44" fontId="1" fillId="0" borderId="0" xfId="61" applyNumberFormat="1" applyFont="1" applyFill="1" applyProtection="1">
      <protection locked="0"/>
    </xf>
    <xf numFmtId="44" fontId="0" fillId="0" borderId="0" xfId="59" applyNumberFormat="1" applyFont="1" applyFill="1" applyProtection="1">
      <protection locked="0"/>
    </xf>
    <xf numFmtId="44" fontId="0" fillId="0" borderId="0" xfId="107" applyNumberFormat="1" applyFont="1" applyFill="1" applyProtection="1">
      <protection locked="0"/>
    </xf>
    <xf numFmtId="44" fontId="0" fillId="0" borderId="0" xfId="107" applyFont="1" applyFill="1" applyBorder="1"/>
    <xf numFmtId="44" fontId="0" fillId="0" borderId="0" xfId="107" applyNumberFormat="1" applyFont="1" applyFill="1" applyBorder="1"/>
    <xf numFmtId="44" fontId="0" fillId="0" borderId="0" xfId="107" applyFont="1" applyFill="1"/>
    <xf numFmtId="14" fontId="3" fillId="0" borderId="0" xfId="0" applyNumberFormat="1" applyFont="1" applyFill="1" applyAlignment="1" applyProtection="1">
      <alignment horizontal="right"/>
      <protection locked="0"/>
    </xf>
    <xf numFmtId="44" fontId="3" fillId="0" borderId="19" xfId="61" applyNumberFormat="1" applyFont="1" applyFill="1" applyBorder="1" applyProtection="1">
      <protection locked="0"/>
    </xf>
    <xf numFmtId="43" fontId="0" fillId="0" borderId="0" xfId="55" applyFont="1" applyFill="1"/>
    <xf numFmtId="171" fontId="1" fillId="0" borderId="0" xfId="0" applyNumberFormat="1" applyFont="1" applyFill="1" applyAlignment="1" applyProtection="1">
      <alignment horizontal="right"/>
      <protection locked="0"/>
    </xf>
    <xf numFmtId="44" fontId="1" fillId="0" borderId="0" xfId="61" applyFont="1" applyFill="1" applyProtection="1">
      <protection locked="0"/>
    </xf>
    <xf numFmtId="44" fontId="1" fillId="0" borderId="0" xfId="61" applyFont="1" applyFill="1" applyBorder="1"/>
    <xf numFmtId="44" fontId="1" fillId="0" borderId="0" xfId="61" applyNumberFormat="1" applyFont="1" applyFill="1" applyBorder="1"/>
    <xf numFmtId="0" fontId="1" fillId="0" borderId="0" xfId="0" applyFont="1" applyFill="1" applyAlignment="1" applyProtection="1">
      <alignment horizontal="center"/>
      <protection locked="0"/>
    </xf>
    <xf numFmtId="44" fontId="1" fillId="0" borderId="27" xfId="61" applyNumberFormat="1" applyFont="1" applyFill="1" applyBorder="1" applyProtection="1">
      <protection locked="0"/>
    </xf>
    <xf numFmtId="44" fontId="0" fillId="0" borderId="51" xfId="61" applyNumberFormat="1" applyFont="1" applyFill="1" applyBorder="1" applyProtection="1">
      <protection locked="0"/>
    </xf>
    <xf numFmtId="44" fontId="0" fillId="0" borderId="51" xfId="61" applyFont="1" applyFill="1" applyBorder="1" applyProtection="1">
      <protection locked="0"/>
    </xf>
    <xf numFmtId="44" fontId="0" fillId="0" borderId="51" xfId="61" applyFont="1" applyFill="1" applyBorder="1"/>
    <xf numFmtId="44" fontId="0" fillId="0" borderId="51" xfId="61" applyNumberFormat="1" applyFont="1" applyFill="1" applyBorder="1"/>
    <xf numFmtId="44" fontId="0" fillId="0" borderId="0" xfId="0" applyNumberFormat="1" applyFill="1" applyAlignment="1" applyProtection="1">
      <alignment horizontal="center"/>
      <protection locked="0"/>
    </xf>
    <xf numFmtId="171" fontId="3" fillId="0" borderId="19" xfId="0" applyNumberFormat="1" applyFont="1" applyFill="1" applyBorder="1" applyAlignment="1" applyProtection="1">
      <alignment horizontal="right"/>
      <protection locked="0"/>
    </xf>
    <xf numFmtId="171" fontId="0" fillId="0" borderId="19" xfId="0" applyNumberFormat="1" applyFill="1" applyBorder="1" applyAlignment="1" applyProtection="1">
      <alignment horizontal="right"/>
      <protection locked="0"/>
    </xf>
    <xf numFmtId="44" fontId="1" fillId="0" borderId="0" xfId="61" applyFont="1" applyFill="1"/>
    <xf numFmtId="49" fontId="0" fillId="0" borderId="0" xfId="0" applyNumberFormat="1" applyFill="1" applyBorder="1" applyAlignment="1">
      <alignment horizontal="left"/>
    </xf>
    <xf numFmtId="40" fontId="0" fillId="0" borderId="0" xfId="0" applyNumberFormat="1" applyFill="1" applyBorder="1" applyAlignment="1">
      <alignment horizontal="right"/>
    </xf>
    <xf numFmtId="44" fontId="0" fillId="0" borderId="52" xfId="61" applyNumberFormat="1" applyFont="1" applyFill="1" applyBorder="1" applyProtection="1">
      <protection locked="0"/>
    </xf>
    <xf numFmtId="14" fontId="3" fillId="0" borderId="0" xfId="0" applyNumberFormat="1" applyFont="1" applyFill="1" applyAlignment="1" applyProtection="1">
      <alignment horizontal="center"/>
      <protection locked="0"/>
    </xf>
    <xf numFmtId="44" fontId="3" fillId="0" borderId="18" xfId="61" applyNumberFormat="1" applyFont="1" applyFill="1" applyBorder="1" applyProtection="1">
      <protection locked="0"/>
    </xf>
    <xf numFmtId="14" fontId="3" fillId="0" borderId="0" xfId="0" applyNumberFormat="1" applyFont="1" applyFill="1" applyBorder="1" applyAlignment="1" applyProtection="1">
      <alignment horizontal="left"/>
      <protection locked="0"/>
    </xf>
    <xf numFmtId="171" fontId="0" fillId="0" borderId="0" xfId="0" applyNumberFormat="1" applyFill="1" applyBorder="1" applyAlignment="1" applyProtection="1">
      <alignment horizontal="right"/>
      <protection locked="0"/>
    </xf>
    <xf numFmtId="0" fontId="0" fillId="0" borderId="0" xfId="0" applyFill="1" applyBorder="1" applyAlignment="1" applyProtection="1">
      <alignment horizontal="center"/>
      <protection locked="0"/>
    </xf>
    <xf numFmtId="164" fontId="0" fillId="0" borderId="0" xfId="61" applyNumberFormat="1" applyFont="1" applyFill="1" applyBorder="1" applyProtection="1">
      <protection locked="0"/>
    </xf>
    <xf numFmtId="14" fontId="3" fillId="0" borderId="0" xfId="0" applyNumberFormat="1" applyFont="1" applyFill="1" applyBorder="1" applyProtection="1">
      <protection locked="0"/>
    </xf>
    <xf numFmtId="49" fontId="3" fillId="0" borderId="0" xfId="0" applyNumberFormat="1" applyFont="1" applyFill="1" applyBorder="1" applyAlignment="1">
      <alignment horizontal="left"/>
    </xf>
    <xf numFmtId="164" fontId="0" fillId="0" borderId="0" xfId="61" applyNumberFormat="1" applyFont="1" applyFill="1" applyBorder="1" applyAlignment="1">
      <alignment horizontal="right"/>
    </xf>
    <xf numFmtId="49" fontId="3" fillId="0" borderId="18" xfId="0" applyNumberFormat="1" applyFont="1" applyFill="1" applyBorder="1" applyAlignment="1">
      <alignment horizontal="left"/>
    </xf>
    <xf numFmtId="171" fontId="0" fillId="0" borderId="18" xfId="0" applyNumberFormat="1" applyFill="1" applyBorder="1" applyAlignment="1" applyProtection="1">
      <alignment horizontal="right"/>
      <protection locked="0"/>
    </xf>
    <xf numFmtId="164" fontId="0" fillId="0" borderId="18" xfId="61" applyNumberFormat="1" applyFont="1" applyFill="1" applyBorder="1" applyAlignment="1">
      <alignment horizontal="right"/>
    </xf>
    <xf numFmtId="164" fontId="0" fillId="0" borderId="18" xfId="61" applyNumberFormat="1" applyFont="1" applyFill="1" applyBorder="1" applyProtection="1">
      <protection locked="0"/>
    </xf>
    <xf numFmtId="171" fontId="3" fillId="0" borderId="0" xfId="0" applyNumberFormat="1" applyFont="1" applyFill="1" applyBorder="1" applyAlignment="1" applyProtection="1">
      <alignment horizontal="right"/>
      <protection locked="0"/>
    </xf>
    <xf numFmtId="164" fontId="3" fillId="0" borderId="0" xfId="61" applyNumberFormat="1" applyFont="1" applyFill="1" applyBorder="1" applyAlignment="1">
      <alignment horizontal="right"/>
    </xf>
    <xf numFmtId="164" fontId="0" fillId="0" borderId="0" xfId="59" applyNumberFormat="1" applyFont="1" applyFill="1"/>
    <xf numFmtId="164" fontId="0" fillId="0" borderId="0" xfId="0" applyNumberFormat="1" applyFill="1"/>
    <xf numFmtId="0" fontId="0" fillId="0" borderId="0" xfId="0" applyFill="1" applyAlignment="1">
      <alignment horizontal="center"/>
    </xf>
    <xf numFmtId="0" fontId="3" fillId="0" borderId="0" xfId="0" applyFont="1" applyFill="1"/>
    <xf numFmtId="14" fontId="0" fillId="0" borderId="0" xfId="0" applyNumberFormat="1" applyFill="1"/>
    <xf numFmtId="164" fontId="1" fillId="0" borderId="0" xfId="59" applyNumberFormat="1" applyFont="1" applyFill="1"/>
    <xf numFmtId="164" fontId="1" fillId="0" borderId="0" xfId="0" applyNumberFormat="1" applyFont="1" applyFill="1"/>
    <xf numFmtId="0" fontId="0" fillId="0" borderId="0" xfId="0" applyFill="1" applyAlignment="1">
      <alignment horizontal="right"/>
    </xf>
    <xf numFmtId="44" fontId="0" fillId="0" borderId="0" xfId="59" applyFont="1" applyFill="1"/>
    <xf numFmtId="0" fontId="1" fillId="0" borderId="0" xfId="0" applyFont="1" applyFill="1"/>
    <xf numFmtId="44" fontId="0" fillId="0" borderId="0" xfId="0" applyNumberFormat="1" applyFill="1" applyAlignment="1">
      <alignment vertical="center"/>
    </xf>
    <xf numFmtId="44" fontId="0" fillId="0" borderId="0" xfId="59" applyFont="1" applyFill="1" applyAlignment="1">
      <alignment vertical="center"/>
    </xf>
    <xf numFmtId="0" fontId="32" fillId="0" borderId="0" xfId="0" applyFont="1" applyAlignment="1">
      <alignment horizontal="center"/>
    </xf>
    <xf numFmtId="0" fontId="1" fillId="0" borderId="0" xfId="81" applyFont="1" applyBorder="1" applyAlignment="1">
      <alignment vertical="center"/>
    </xf>
    <xf numFmtId="37" fontId="45" fillId="0" borderId="32" xfId="0" applyNumberFormat="1" applyFont="1" applyFill="1" applyBorder="1"/>
    <xf numFmtId="37" fontId="49" fillId="0" borderId="29" xfId="0" applyNumberFormat="1" applyFont="1" applyFill="1" applyBorder="1"/>
    <xf numFmtId="37" fontId="48" fillId="0" borderId="29" xfId="0" applyNumberFormat="1" applyFont="1" applyFill="1" applyBorder="1"/>
    <xf numFmtId="164" fontId="1" fillId="0" borderId="29" xfId="59" applyNumberFormat="1" applyFill="1" applyBorder="1" applyAlignment="1">
      <alignment vertical="center"/>
    </xf>
    <xf numFmtId="167" fontId="0" fillId="0" borderId="0" xfId="55" applyNumberFormat="1" applyFont="1" applyFill="1"/>
    <xf numFmtId="164" fontId="4" fillId="0" borderId="29" xfId="60" applyNumberFormat="1" applyFill="1" applyBorder="1" applyAlignment="1">
      <alignment vertical="center"/>
    </xf>
    <xf numFmtId="164" fontId="4" fillId="0" borderId="29" xfId="60" applyNumberFormat="1" applyFont="1" applyFill="1" applyBorder="1" applyAlignment="1">
      <alignment vertical="center"/>
    </xf>
    <xf numFmtId="43" fontId="1" fillId="0" borderId="29" xfId="104" applyFill="1" applyBorder="1" applyAlignment="1">
      <alignment vertical="center"/>
    </xf>
    <xf numFmtId="164" fontId="1" fillId="0" borderId="29" xfId="105" applyNumberFormat="1" applyFill="1" applyBorder="1" applyAlignment="1">
      <alignment vertical="center"/>
    </xf>
    <xf numFmtId="10" fontId="1" fillId="0" borderId="29" xfId="109" applyNumberFormat="1" applyFill="1" applyBorder="1" applyAlignment="1">
      <alignment vertical="center"/>
    </xf>
    <xf numFmtId="10" fontId="1" fillId="0" borderId="29" xfId="89" applyNumberFormat="1" applyFont="1" applyFill="1" applyBorder="1" applyAlignment="1">
      <alignment vertical="center"/>
    </xf>
    <xf numFmtId="10" fontId="4" fillId="0" borderId="29" xfId="90" applyNumberFormat="1" applyFill="1" applyBorder="1" applyAlignment="1">
      <alignment vertical="center"/>
    </xf>
    <xf numFmtId="10" fontId="1" fillId="0" borderId="29" xfId="105" applyNumberFormat="1" applyFont="1" applyFill="1" applyBorder="1" applyAlignment="1">
      <alignment vertical="center"/>
    </xf>
    <xf numFmtId="43" fontId="4" fillId="0" borderId="29" xfId="58" applyFill="1" applyBorder="1" applyAlignment="1">
      <alignment vertical="center"/>
    </xf>
    <xf numFmtId="10" fontId="4" fillId="0" borderId="29" xfId="60" applyNumberFormat="1" applyFill="1" applyBorder="1" applyAlignment="1">
      <alignment vertical="center"/>
    </xf>
    <xf numFmtId="43" fontId="4" fillId="0" borderId="49" xfId="58" applyFill="1" applyBorder="1" applyAlignment="1">
      <alignment vertical="center"/>
    </xf>
    <xf numFmtId="164" fontId="4" fillId="0" borderId="49" xfId="60" applyNumberFormat="1" applyFill="1" applyBorder="1" applyAlignment="1">
      <alignment vertical="center"/>
    </xf>
    <xf numFmtId="10" fontId="4" fillId="0" borderId="49" xfId="90" applyNumberFormat="1" applyFill="1" applyBorder="1" applyAlignment="1">
      <alignment vertical="center"/>
    </xf>
    <xf numFmtId="0" fontId="4" fillId="0" borderId="0" xfId="81" applyFill="1" applyAlignment="1" applyProtection="1">
      <alignment horizontal="left" vertical="top"/>
      <protection locked="0"/>
    </xf>
    <xf numFmtId="10" fontId="4" fillId="0" borderId="0" xfId="90" applyNumberFormat="1" applyFill="1" applyAlignment="1">
      <alignment vertical="center"/>
    </xf>
    <xf numFmtId="43" fontId="4" fillId="0" borderId="0" xfId="58" applyFont="1" applyFill="1" applyAlignment="1">
      <alignment vertical="center"/>
    </xf>
    <xf numFmtId="0" fontId="4" fillId="0" borderId="0" xfId="81" applyFill="1"/>
    <xf numFmtId="43" fontId="4" fillId="0" borderId="0" xfId="81" applyNumberFormat="1" applyFill="1" applyAlignment="1">
      <alignment vertical="center"/>
    </xf>
    <xf numFmtId="165" fontId="4" fillId="0" borderId="0" xfId="90" applyNumberFormat="1" applyFont="1" applyFill="1" applyAlignment="1">
      <alignment vertical="center"/>
    </xf>
    <xf numFmtId="43" fontId="4" fillId="0" borderId="0" xfId="58" applyFont="1" applyFill="1" applyAlignment="1">
      <alignment horizontal="center" vertical="center"/>
    </xf>
    <xf numFmtId="43" fontId="4" fillId="0" borderId="0" xfId="55" applyFont="1" applyFill="1" applyAlignment="1">
      <alignment vertical="center"/>
    </xf>
    <xf numFmtId="43" fontId="4" fillId="0" borderId="0" xfId="81" applyNumberFormat="1" applyFill="1"/>
    <xf numFmtId="0" fontId="1" fillId="0" borderId="0" xfId="81" applyFont="1" applyFill="1" applyAlignment="1" applyProtection="1">
      <alignment horizontal="left" vertical="top"/>
      <protection locked="0"/>
    </xf>
    <xf numFmtId="3" fontId="38" fillId="59" borderId="0" xfId="0" applyNumberFormat="1" applyFont="1" applyFill="1" applyAlignment="1"/>
    <xf numFmtId="3" fontId="38" fillId="0" borderId="67" xfId="0" applyNumberFormat="1" applyFont="1" applyBorder="1" applyAlignment="1"/>
    <xf numFmtId="166" fontId="38" fillId="0" borderId="0" xfId="0" applyNumberFormat="1" applyFont="1" applyAlignment="1" applyProtection="1">
      <protection locked="0"/>
    </xf>
    <xf numFmtId="172" fontId="38" fillId="0" borderId="0" xfId="0" applyNumberFormat="1" applyFont="1" applyFill="1" applyBorder="1" applyAlignment="1" applyProtection="1"/>
    <xf numFmtId="0" fontId="38" fillId="0" borderId="0" xfId="0" applyFont="1" applyAlignment="1">
      <alignment horizontal="right"/>
    </xf>
    <xf numFmtId="0" fontId="38" fillId="0" borderId="0" xfId="0" applyNumberFormat="1" applyFont="1" applyAlignment="1">
      <alignment horizontal="right"/>
    </xf>
    <xf numFmtId="3" fontId="38" fillId="0" borderId="0" xfId="0" applyNumberFormat="1" applyFont="1" applyProtection="1">
      <protection locked="0"/>
    </xf>
    <xf numFmtId="172" fontId="38" fillId="0" borderId="0" xfId="0" applyNumberFormat="1" applyFont="1" applyProtection="1">
      <protection locked="0"/>
    </xf>
    <xf numFmtId="0" fontId="38" fillId="0" borderId="0" xfId="0" applyFont="1" applyFill="1" applyAlignment="1" applyProtection="1"/>
    <xf numFmtId="3" fontId="38" fillId="0" borderId="0" xfId="0" applyNumberFormat="1" applyFont="1" applyFill="1" applyAlignment="1" applyProtection="1"/>
    <xf numFmtId="0" fontId="38" fillId="0" borderId="0" xfId="0" applyNumberFormat="1" applyFont="1" applyAlignment="1" applyProtection="1">
      <alignment horizontal="left" indent="8"/>
      <protection locked="0"/>
    </xf>
    <xf numFmtId="3" fontId="38" fillId="0" borderId="0" xfId="0" applyNumberFormat="1" applyFont="1" applyAlignment="1">
      <alignment horizontal="fill"/>
    </xf>
    <xf numFmtId="0" fontId="38" fillId="0" borderId="16" xfId="0" applyNumberFormat="1" applyFont="1" applyBorder="1" applyAlignment="1" applyProtection="1">
      <alignment horizontal="center"/>
      <protection locked="0"/>
    </xf>
    <xf numFmtId="0" fontId="38" fillId="0" borderId="0" xfId="0" applyNumberFormat="1" applyFont="1" applyFill="1" applyAlignment="1" applyProtection="1">
      <alignment horizontal="left" vertical="top" wrapText="1" indent="8"/>
      <protection locked="0"/>
    </xf>
    <xf numFmtId="0" fontId="38" fillId="0" borderId="0" xfId="0" applyNumberFormat="1" applyFont="1" applyFill="1" applyAlignment="1" applyProtection="1">
      <alignment vertical="top" wrapText="1"/>
      <protection locked="0"/>
    </xf>
    <xf numFmtId="10" fontId="38" fillId="24" borderId="0" xfId="0" applyNumberFormat="1" applyFont="1" applyFill="1" applyAlignment="1" applyProtection="1">
      <alignment vertical="top" wrapText="1"/>
      <protection locked="0"/>
    </xf>
    <xf numFmtId="3" fontId="38" fillId="0" borderId="0" xfId="0" applyNumberFormat="1" applyFont="1" applyAlignment="1">
      <alignment vertical="top" wrapText="1"/>
    </xf>
    <xf numFmtId="0" fontId="38" fillId="0" borderId="0" xfId="0" applyNumberFormat="1" applyFont="1" applyFill="1" applyAlignment="1">
      <alignment horizontal="left" vertical="top"/>
    </xf>
    <xf numFmtId="0" fontId="38" fillId="0" borderId="0" xfId="0" applyNumberFormat="1" applyFont="1" applyFill="1" applyAlignment="1">
      <alignment vertical="top"/>
    </xf>
    <xf numFmtId="0" fontId="0" fillId="0" borderId="0" xfId="0" applyFont="1" applyAlignment="1">
      <alignment horizontal="center"/>
    </xf>
    <xf numFmtId="0" fontId="38" fillId="0" borderId="0" xfId="0" applyNumberFormat="1" applyFont="1" applyFill="1"/>
    <xf numFmtId="0" fontId="0" fillId="0" borderId="0" xfId="0"/>
    <xf numFmtId="0" fontId="0" fillId="0" borderId="25" xfId="0" applyBorder="1" applyAlignment="1">
      <alignment horizontal="center"/>
    </xf>
    <xf numFmtId="0" fontId="0" fillId="0" borderId="29" xfId="0" applyBorder="1" applyAlignment="1">
      <alignment horizontal="center"/>
    </xf>
    <xf numFmtId="0" fontId="73" fillId="58" borderId="63" xfId="0" applyFont="1" applyFill="1" applyBorder="1" applyAlignment="1">
      <alignment horizontal="center" vertical="center" wrapText="1"/>
    </xf>
    <xf numFmtId="0" fontId="0" fillId="58" borderId="63" xfId="0" applyFill="1" applyBorder="1" applyAlignment="1">
      <alignment horizontal="center" wrapText="1"/>
    </xf>
    <xf numFmtId="0" fontId="0" fillId="0" borderId="64" xfId="0" applyBorder="1" applyAlignment="1">
      <alignment horizontal="center"/>
    </xf>
    <xf numFmtId="14" fontId="0" fillId="0" borderId="63" xfId="0" applyNumberFormat="1" applyBorder="1" applyAlignment="1">
      <alignment horizontal="center"/>
    </xf>
    <xf numFmtId="0" fontId="0" fillId="0" borderId="63" xfId="0" applyBorder="1" applyAlignment="1">
      <alignment horizontal="center"/>
    </xf>
    <xf numFmtId="0" fontId="0" fillId="58" borderId="63" xfId="0" applyFill="1" applyBorder="1" applyAlignment="1">
      <alignment horizontal="center"/>
    </xf>
    <xf numFmtId="4" fontId="0" fillId="0" borderId="63" xfId="0" applyNumberFormat="1" applyBorder="1" applyAlignment="1">
      <alignment horizontal="center"/>
    </xf>
    <xf numFmtId="0" fontId="0" fillId="0" borderId="68" xfId="0" applyBorder="1" applyAlignment="1">
      <alignment horizontal="center"/>
    </xf>
    <xf numFmtId="14" fontId="0" fillId="0" borderId="69" xfId="0" applyNumberFormat="1" applyBorder="1" applyAlignment="1">
      <alignment horizontal="center"/>
    </xf>
    <xf numFmtId="0" fontId="0" fillId="0" borderId="69" xfId="0" applyNumberFormat="1" applyBorder="1" applyAlignment="1">
      <alignment horizontal="center" wrapText="1"/>
    </xf>
    <xf numFmtId="0" fontId="0" fillId="0" borderId="69" xfId="0" applyBorder="1" applyAlignment="1">
      <alignment horizontal="center"/>
    </xf>
    <xf numFmtId="0" fontId="0" fillId="58" borderId="69" xfId="0" applyFill="1" applyBorder="1" applyAlignment="1">
      <alignment horizontal="center"/>
    </xf>
    <xf numFmtId="4" fontId="0" fillId="0" borderId="69" xfId="0" applyNumberFormat="1" applyBorder="1" applyAlignment="1">
      <alignment horizontal="center"/>
    </xf>
    <xf numFmtId="14" fontId="0" fillId="0" borderId="29" xfId="0" applyNumberFormat="1" applyBorder="1" applyAlignment="1">
      <alignment horizontal="center"/>
    </xf>
    <xf numFmtId="0" fontId="0" fillId="0" borderId="29" xfId="0" applyNumberFormat="1" applyBorder="1" applyAlignment="1">
      <alignment horizontal="center" wrapText="1"/>
    </xf>
    <xf numFmtId="0" fontId="0" fillId="58" borderId="29" xfId="0" applyFill="1" applyBorder="1" applyAlignment="1">
      <alignment horizontal="center"/>
    </xf>
    <xf numFmtId="4" fontId="0" fillId="0" borderId="29" xfId="0" applyNumberFormat="1" applyBorder="1" applyAlignment="1">
      <alignment horizontal="center"/>
    </xf>
    <xf numFmtId="0" fontId="0" fillId="0" borderId="29" xfId="0" applyBorder="1" applyAlignment="1">
      <alignment horizontal="center" wrapText="1"/>
    </xf>
    <xf numFmtId="14" fontId="0" fillId="0" borderId="29" xfId="0" applyNumberFormat="1" applyBorder="1" applyAlignment="1">
      <alignment horizontal="center" wrapText="1"/>
    </xf>
    <xf numFmtId="0" fontId="0" fillId="58" borderId="29" xfId="0" applyFill="1" applyBorder="1" applyAlignment="1">
      <alignment horizontal="center" wrapText="1"/>
    </xf>
    <xf numFmtId="10" fontId="0" fillId="0" borderId="29" xfId="0" applyNumberFormat="1" applyBorder="1" applyAlignment="1">
      <alignment horizontal="center" wrapText="1"/>
    </xf>
    <xf numFmtId="0" fontId="32" fillId="24" borderId="0" xfId="0" applyNumberFormat="1" applyFont="1" applyFill="1" applyAlignment="1">
      <alignment horizontal="center"/>
    </xf>
    <xf numFmtId="0" fontId="38" fillId="0" borderId="0" xfId="0" applyNumberFormat="1" applyFont="1" applyFill="1" applyAlignment="1">
      <alignment vertical="top" wrapText="1"/>
    </xf>
    <xf numFmtId="172" fontId="38" fillId="0" borderId="0" xfId="0" applyNumberFormat="1" applyFont="1" applyAlignment="1" applyProtection="1">
      <alignment horizontal="center"/>
      <protection locked="0"/>
    </xf>
    <xf numFmtId="0" fontId="38" fillId="0" borderId="0" xfId="0" applyNumberFormat="1" applyFont="1" applyFill="1" applyAlignment="1" applyProtection="1">
      <alignment vertical="top" wrapText="1"/>
      <protection locked="0"/>
    </xf>
    <xf numFmtId="0" fontId="38" fillId="0" borderId="0" xfId="0" applyNumberFormat="1" applyFont="1" applyAlignment="1" applyProtection="1">
      <alignment vertical="top" wrapText="1"/>
      <protection locked="0"/>
    </xf>
    <xf numFmtId="0" fontId="32" fillId="0" borderId="0" xfId="0" applyNumberFormat="1" applyFont="1" applyAlignment="1"/>
    <xf numFmtId="3" fontId="38" fillId="0" borderId="0" xfId="0" applyNumberFormat="1" applyFont="1" applyAlignment="1">
      <alignment horizontal="right"/>
    </xf>
    <xf numFmtId="0" fontId="43" fillId="0" borderId="0" xfId="0" applyFont="1" applyAlignment="1">
      <alignment horizontal="center"/>
    </xf>
    <xf numFmtId="0" fontId="32" fillId="0" borderId="0" xfId="0" applyFont="1" applyAlignment="1">
      <alignment horizontal="center"/>
    </xf>
    <xf numFmtId="14" fontId="43" fillId="0" borderId="0" xfId="0" applyNumberFormat="1" applyFont="1" applyAlignment="1">
      <alignment horizontal="center"/>
    </xf>
    <xf numFmtId="0" fontId="44" fillId="0" borderId="27" xfId="0" applyFont="1" applyBorder="1" applyAlignment="1">
      <alignment horizontal="center"/>
    </xf>
    <xf numFmtId="14" fontId="32" fillId="0" borderId="0" xfId="0" applyNumberFormat="1" applyFont="1" applyAlignment="1">
      <alignment horizontal="center"/>
    </xf>
    <xf numFmtId="0" fontId="0" fillId="0" borderId="3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3" xfId="0" applyBorder="1" applyAlignment="1">
      <alignment horizontal="left"/>
    </xf>
    <xf numFmtId="0" fontId="0" fillId="0" borderId="53" xfId="0" applyBorder="1" applyAlignment="1">
      <alignment horizontal="left"/>
    </xf>
    <xf numFmtId="0" fontId="3" fillId="0" borderId="27" xfId="0" applyFont="1" applyBorder="1" applyAlignment="1">
      <alignment horizontal="center"/>
    </xf>
    <xf numFmtId="0" fontId="0" fillId="0" borderId="0" xfId="0" applyAlignment="1"/>
    <xf numFmtId="37" fontId="45" fillId="0" borderId="0" xfId="0" applyNumberFormat="1" applyFont="1" applyFill="1" applyBorder="1"/>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57"/>
    <cellStyle name="Comma 2 2 2" xfId="103"/>
    <cellStyle name="Comma 2 3" xfId="102"/>
    <cellStyle name="Comma 3" xfId="58"/>
    <cellStyle name="Comma 3 2" xfId="104"/>
    <cellStyle name="Comma 4" xfId="101"/>
    <cellStyle name="Comma 5" xfId="113"/>
    <cellStyle name="Currency" xfId="59" builtinId="4"/>
    <cellStyle name="Currency 2" xfId="60"/>
    <cellStyle name="Currency 2 2" xfId="105"/>
    <cellStyle name="Currency 3" xfId="61"/>
    <cellStyle name="Currency 3 2" xfId="62"/>
    <cellStyle name="Currency 3 2 2" xfId="107"/>
    <cellStyle name="Currency 3 3" xfId="106"/>
    <cellStyle name="Currency 4" xfId="100"/>
    <cellStyle name="Currency 5" xfId="114"/>
    <cellStyle name="Explanatory Text" xfId="63" builtinId="53" customBuiltin="1"/>
    <cellStyle name="Explanatory Text 2" xfId="64"/>
    <cellStyle name="Good" xfId="65" builtinId="26" customBuiltin="1"/>
    <cellStyle name="Good 2" xfId="66"/>
    <cellStyle name="Heading 1" xfId="67" builtinId="16" customBuiltin="1"/>
    <cellStyle name="Heading 1 2" xfId="68"/>
    <cellStyle name="Heading 2" xfId="69" builtinId="17" customBuiltin="1"/>
    <cellStyle name="Heading 2 2" xfId="70"/>
    <cellStyle name="Heading 3" xfId="71" builtinId="18" customBuiltin="1"/>
    <cellStyle name="Heading 3 2" xfId="72"/>
    <cellStyle name="Heading 4" xfId="73" builtinId="19" customBuiltin="1"/>
    <cellStyle name="Heading 4 2" xfId="74"/>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08"/>
    <cellStyle name="Normal 3" xfId="82"/>
    <cellStyle name="Normal 4" xfId="83"/>
    <cellStyle name="Normal 5" xfId="99"/>
    <cellStyle name="Normal_Debt Service" xfId="84"/>
    <cellStyle name="Note" xfId="85" builtinId="10" customBuiltin="1"/>
    <cellStyle name="Note 2" xfId="86"/>
    <cellStyle name="Output" xfId="87" builtinId="21" customBuiltin="1"/>
    <cellStyle name="Output 2" xfId="88"/>
    <cellStyle name="Percent" xfId="89" builtinId="5"/>
    <cellStyle name="Percent 2" xfId="90"/>
    <cellStyle name="Percent 2 2" xfId="109"/>
    <cellStyle name="Percent 3" xfId="91"/>
    <cellStyle name="Percent 3 2" xfId="92"/>
    <cellStyle name="Percent 3 2 2" xfId="111"/>
    <cellStyle name="Percent 3 3" xfId="110"/>
    <cellStyle name="Percent 4" xfId="112"/>
    <cellStyle name="Title" xfId="93" builtinId="15" customBuiltin="1"/>
    <cellStyle name="Title 2" xfId="94"/>
    <cellStyle name="Total" xfId="95" builtinId="25" customBuiltin="1"/>
    <cellStyle name="Total 2" xfId="96"/>
    <cellStyle name="Warning Text" xfId="97" builtinId="11" customBuiltin="1"/>
    <cellStyle name="Warning Text 2" xfId="98"/>
  </cellStyles>
  <dxfs count="0"/>
  <tableStyles count="0" defaultTableStyle="TableStyleMedium2" defaultPivotStyle="PivotStyleLight16"/>
  <colors>
    <mruColors>
      <color rgb="FFBFD0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314325</xdr:colOff>
      <xdr:row>28</xdr:row>
      <xdr:rowOff>19050</xdr:rowOff>
    </xdr:to>
    <xdr:pic>
      <xdr:nvPicPr>
        <xdr:cNvPr id="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58325" cy="455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3077" name="FILTER"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3078" name="HEADER" hidden="1">
              <a:extLst>
                <a:ext uri="{63B3BB69-23CF-44E3-9099-C40C66FF867C}">
                  <a14:compatExt spid="_x0000_s307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95"/>
  <sheetViews>
    <sheetView topLeftCell="A53" zoomScale="90" zoomScaleNormal="90" workbookViewId="0">
      <selection activeCell="A81" sqref="A81"/>
    </sheetView>
  </sheetViews>
  <sheetFormatPr defaultColWidth="9.140625" defaultRowHeight="12.75"/>
  <cols>
    <col min="1" max="1" width="7.7109375" style="32" customWidth="1"/>
    <col min="2" max="2" width="61.42578125" style="32" customWidth="1"/>
    <col min="3" max="3" width="36.7109375" style="32" customWidth="1"/>
    <col min="4" max="4" width="17.85546875" style="32" customWidth="1"/>
    <col min="5" max="5" width="7.7109375" style="32" customWidth="1"/>
    <col min="6" max="6" width="7.28515625" style="32" customWidth="1"/>
    <col min="7" max="7" width="13.7109375" style="32" customWidth="1"/>
    <col min="8" max="8" width="7.42578125" style="32" customWidth="1"/>
    <col min="9" max="9" width="16.42578125" style="32" customWidth="1"/>
    <col min="10" max="10" width="4.42578125" style="32" customWidth="1"/>
    <col min="11" max="11" width="16" style="32" customWidth="1"/>
    <col min="12" max="12" width="13.140625" style="32" customWidth="1"/>
    <col min="13" max="13" width="13" style="32" bestFit="1" customWidth="1"/>
    <col min="14" max="14" width="9.140625" style="32"/>
    <col min="15" max="15" width="21.5703125" style="32" customWidth="1"/>
    <col min="16" max="16384" width="9.140625" style="32"/>
  </cols>
  <sheetData>
    <row r="1" spans="1:64" ht="15">
      <c r="H1" s="629" t="s">
        <v>918</v>
      </c>
      <c r="I1" s="629"/>
      <c r="J1" s="629"/>
      <c r="K1" s="629"/>
      <c r="L1" s="629"/>
    </row>
    <row r="2" spans="1:64" ht="15">
      <c r="B2" s="35"/>
      <c r="C2" s="35"/>
      <c r="D2" s="38"/>
      <c r="E2" s="35"/>
      <c r="F2" s="35"/>
      <c r="G2" s="35"/>
      <c r="H2" s="36"/>
      <c r="I2" s="36"/>
      <c r="J2" s="36"/>
      <c r="K2" s="37" t="s">
        <v>590</v>
      </c>
      <c r="L2" s="37"/>
      <c r="M2" s="33"/>
      <c r="N2" s="34"/>
      <c r="O2" s="33"/>
      <c r="P2" s="33"/>
      <c r="Q2" s="33"/>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row>
    <row r="3" spans="1:64" ht="15">
      <c r="B3" s="35"/>
      <c r="C3" s="35"/>
      <c r="D3" s="38"/>
      <c r="E3" s="35"/>
      <c r="F3" s="35"/>
      <c r="G3" s="35"/>
      <c r="H3" s="36"/>
      <c r="I3" s="36"/>
      <c r="J3" s="36"/>
      <c r="K3" s="39"/>
      <c r="L3" s="39"/>
      <c r="M3" s="33"/>
      <c r="N3" s="34"/>
      <c r="O3" s="33"/>
      <c r="P3" s="33"/>
      <c r="Q3" s="33"/>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
      <c r="B4" s="35" t="s">
        <v>591</v>
      </c>
      <c r="C4" s="35"/>
      <c r="D4" s="38" t="s">
        <v>592</v>
      </c>
      <c r="E4" s="35"/>
      <c r="F4" s="35"/>
      <c r="G4" s="35"/>
      <c r="H4" s="36"/>
      <c r="I4" s="624" t="s">
        <v>1003</v>
      </c>
      <c r="J4" s="624"/>
      <c r="K4" s="624"/>
      <c r="L4" s="148"/>
      <c r="M4" s="148"/>
      <c r="N4" s="34"/>
      <c r="O4" s="33"/>
      <c r="P4" s="33"/>
      <c r="Q4" s="33"/>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
      <c r="B5" s="35"/>
      <c r="C5" s="41" t="s">
        <v>364</v>
      </c>
      <c r="D5" s="41" t="s">
        <v>296</v>
      </c>
      <c r="E5" s="41"/>
      <c r="F5" s="41"/>
      <c r="G5" s="41"/>
      <c r="H5" s="36"/>
      <c r="I5" s="36"/>
      <c r="J5" s="36"/>
      <c r="K5" s="36"/>
      <c r="L5" s="33"/>
      <c r="M5" s="33"/>
      <c r="N5" s="34"/>
      <c r="O5" s="33"/>
      <c r="P5" s="33"/>
      <c r="Q5" s="33"/>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
      <c r="B6" s="36"/>
      <c r="C6" s="36"/>
      <c r="D6" s="36"/>
      <c r="E6" s="36"/>
      <c r="F6" s="36"/>
      <c r="G6" s="36"/>
      <c r="H6" s="36"/>
      <c r="I6" s="36"/>
      <c r="J6" s="36"/>
      <c r="K6" s="36"/>
      <c r="L6" s="33"/>
      <c r="M6" s="33"/>
      <c r="N6" s="34"/>
      <c r="O6" s="33"/>
      <c r="P6" s="33"/>
      <c r="Q6" s="33"/>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15">
      <c r="A7" s="42"/>
      <c r="B7" s="36"/>
      <c r="C7" s="36"/>
      <c r="D7" s="43" t="s">
        <v>579</v>
      </c>
      <c r="E7" s="40"/>
      <c r="F7" s="40"/>
      <c r="G7" s="40"/>
      <c r="H7" s="40"/>
      <c r="I7" s="36"/>
      <c r="J7" s="36"/>
      <c r="K7" s="36"/>
      <c r="L7" s="33"/>
      <c r="M7" s="33"/>
      <c r="N7" s="34"/>
      <c r="O7" s="33"/>
      <c r="P7" s="33"/>
      <c r="Q7" s="33"/>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row>
    <row r="8" spans="1:64" ht="15">
      <c r="A8" s="42"/>
      <c r="B8" s="36"/>
      <c r="C8" s="36"/>
      <c r="D8" s="44"/>
      <c r="E8" s="36"/>
      <c r="F8" s="36"/>
      <c r="G8" s="36"/>
      <c r="H8" s="36"/>
      <c r="I8" s="36"/>
      <c r="J8" s="36"/>
      <c r="K8" s="36"/>
      <c r="L8" s="33"/>
      <c r="M8" s="33"/>
      <c r="N8" s="45"/>
      <c r="O8" s="33"/>
      <c r="P8" s="33"/>
      <c r="Q8" s="33"/>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row>
    <row r="9" spans="1:64" ht="15">
      <c r="A9" s="42" t="s">
        <v>593</v>
      </c>
      <c r="B9" s="36"/>
      <c r="C9" s="36"/>
      <c r="D9" s="44"/>
      <c r="E9" s="36"/>
      <c r="F9" s="36"/>
      <c r="G9" s="36"/>
      <c r="H9" s="36"/>
      <c r="I9" s="39" t="s">
        <v>594</v>
      </c>
      <c r="J9" s="36"/>
      <c r="K9" s="36"/>
      <c r="L9" s="33"/>
      <c r="M9" s="33"/>
      <c r="N9" s="34"/>
      <c r="O9" s="33"/>
      <c r="P9" s="33"/>
      <c r="Q9" s="33"/>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row>
    <row r="10" spans="1:64" ht="15.75" thickBot="1">
      <c r="A10" s="46" t="s">
        <v>595</v>
      </c>
      <c r="B10" s="36"/>
      <c r="C10" s="36"/>
      <c r="D10" s="36"/>
      <c r="E10" s="36"/>
      <c r="F10" s="36"/>
      <c r="G10" s="36"/>
      <c r="H10" s="36"/>
      <c r="I10" s="47" t="s">
        <v>596</v>
      </c>
      <c r="J10" s="36"/>
      <c r="K10" s="36"/>
      <c r="L10" s="33"/>
      <c r="M10" s="33"/>
      <c r="N10" s="34"/>
      <c r="O10" s="33"/>
      <c r="P10" s="33"/>
      <c r="Q10" s="33"/>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row>
    <row r="11" spans="1:64" ht="15">
      <c r="A11" s="42">
        <v>1</v>
      </c>
      <c r="B11" s="36" t="s">
        <v>839</v>
      </c>
      <c r="C11" s="36"/>
      <c r="D11" s="48"/>
      <c r="E11" s="36"/>
      <c r="F11" s="36"/>
      <c r="G11" s="36"/>
      <c r="H11" s="36"/>
      <c r="I11" s="49">
        <f>+I201</f>
        <v>324821.38213032664</v>
      </c>
      <c r="J11" s="36"/>
      <c r="K11" s="36"/>
      <c r="L11" s="33"/>
      <c r="M11" s="33"/>
      <c r="N11" s="34"/>
      <c r="O11" s="33"/>
      <c r="P11" s="33"/>
      <c r="Q11" s="33"/>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row>
    <row r="12" spans="1:64" s="402" customFormat="1" ht="15">
      <c r="A12" s="409"/>
      <c r="B12" s="406"/>
      <c r="C12" s="406"/>
      <c r="D12" s="410"/>
      <c r="E12" s="406"/>
      <c r="F12" s="406"/>
      <c r="G12" s="406"/>
      <c r="H12" s="406"/>
      <c r="I12" s="411"/>
      <c r="J12" s="406"/>
      <c r="K12" s="406"/>
      <c r="L12" s="403"/>
      <c r="M12" s="403"/>
      <c r="N12" s="404"/>
      <c r="O12" s="403"/>
      <c r="P12" s="403"/>
      <c r="Q12" s="403"/>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row>
    <row r="13" spans="1:64" ht="15.75" thickBot="1">
      <c r="A13" s="42" t="s">
        <v>364</v>
      </c>
      <c r="B13" s="35" t="s">
        <v>597</v>
      </c>
      <c r="C13" s="41" t="s">
        <v>598</v>
      </c>
      <c r="D13" s="47" t="s">
        <v>324</v>
      </c>
      <c r="E13" s="41"/>
      <c r="F13" s="50" t="s">
        <v>599</v>
      </c>
      <c r="G13" s="50"/>
      <c r="H13" s="36"/>
      <c r="I13" s="48"/>
      <c r="J13" s="36"/>
      <c r="K13" s="36"/>
      <c r="L13" s="33"/>
      <c r="M13" s="33"/>
      <c r="N13" s="34"/>
      <c r="O13" s="33"/>
      <c r="P13" s="33"/>
      <c r="Q13" s="33"/>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
      <c r="A14" s="42">
        <v>2</v>
      </c>
      <c r="B14" s="35" t="s">
        <v>600</v>
      </c>
      <c r="C14" s="41" t="s">
        <v>601</v>
      </c>
      <c r="D14" s="41">
        <f>I261</f>
        <v>0</v>
      </c>
      <c r="E14" s="41"/>
      <c r="F14" s="41" t="s">
        <v>602</v>
      </c>
      <c r="G14" s="51">
        <f>I220</f>
        <v>1</v>
      </c>
      <c r="H14" s="41"/>
      <c r="I14" s="41">
        <f>+G14*D14</f>
        <v>0</v>
      </c>
      <c r="J14" s="36"/>
      <c r="K14" s="36"/>
      <c r="L14" s="33"/>
      <c r="M14" s="33"/>
      <c r="N14" s="34"/>
      <c r="O14" s="33"/>
      <c r="P14" s="33"/>
      <c r="Q14" s="33"/>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row>
    <row r="15" spans="1:64" ht="15">
      <c r="A15" s="42">
        <v>3</v>
      </c>
      <c r="B15" s="35" t="s">
        <v>840</v>
      </c>
      <c r="C15" s="41" t="s">
        <v>603</v>
      </c>
      <c r="D15" s="41">
        <f>I268</f>
        <v>26412.309999999969</v>
      </c>
      <c r="E15" s="41"/>
      <c r="F15" s="41" t="str">
        <f>+F14</f>
        <v>TP</v>
      </c>
      <c r="G15" s="51">
        <f>+G14</f>
        <v>1</v>
      </c>
      <c r="H15" s="41"/>
      <c r="I15" s="41">
        <f>+G15*D15</f>
        <v>26412.309999999969</v>
      </c>
      <c r="J15" s="36"/>
      <c r="K15" s="36"/>
      <c r="L15" s="33"/>
      <c r="M15" s="52"/>
      <c r="N15" s="53"/>
      <c r="O15" s="54"/>
      <c r="P15" s="54"/>
      <c r="Q15" s="54"/>
      <c r="R15" s="53"/>
      <c r="S15" s="53"/>
      <c r="T15" s="53"/>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row>
    <row r="16" spans="1:64" ht="15.75">
      <c r="A16" s="42">
        <v>4</v>
      </c>
      <c r="B16" s="35" t="s">
        <v>604</v>
      </c>
      <c r="C16" s="41"/>
      <c r="D16" s="55">
        <v>0</v>
      </c>
      <c r="E16" s="41"/>
      <c r="F16" s="41" t="s">
        <v>602</v>
      </c>
      <c r="G16" s="51">
        <f>+G14</f>
        <v>1</v>
      </c>
      <c r="H16" s="41"/>
      <c r="I16" s="41">
        <f>+G16*D16</f>
        <v>0</v>
      </c>
      <c r="J16" s="36"/>
      <c r="L16" s="390" t="s">
        <v>877</v>
      </c>
      <c r="M16" s="388"/>
      <c r="N16" s="389"/>
      <c r="O16" s="54"/>
      <c r="P16" s="54"/>
      <c r="Q16" s="54"/>
      <c r="R16" s="53"/>
      <c r="S16" s="53"/>
      <c r="T16" s="53"/>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6.5" thickBot="1">
      <c r="A17" s="42">
        <v>5</v>
      </c>
      <c r="B17" s="35" t="s">
        <v>605</v>
      </c>
      <c r="C17" s="41"/>
      <c r="D17" s="55">
        <v>0</v>
      </c>
      <c r="E17" s="41"/>
      <c r="F17" s="41" t="s">
        <v>602</v>
      </c>
      <c r="G17" s="51">
        <f>+G14</f>
        <v>1</v>
      </c>
      <c r="H17" s="41"/>
      <c r="I17" s="56">
        <f>+G17*D17</f>
        <v>0</v>
      </c>
      <c r="J17" s="36"/>
      <c r="L17" s="390" t="s">
        <v>878</v>
      </c>
      <c r="M17" s="388"/>
      <c r="N17" s="389"/>
      <c r="O17" s="54"/>
      <c r="P17" s="54"/>
      <c r="Q17" s="54"/>
      <c r="R17" s="53"/>
      <c r="S17" s="53"/>
      <c r="T17" s="53"/>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row>
    <row r="18" spans="1:64" ht="15">
      <c r="A18" s="42">
        <v>6</v>
      </c>
      <c r="B18" s="35" t="s">
        <v>606</v>
      </c>
      <c r="C18" s="36"/>
      <c r="D18" s="57" t="s">
        <v>364</v>
      </c>
      <c r="E18" s="41"/>
      <c r="F18" s="41"/>
      <c r="G18" s="51"/>
      <c r="H18" s="41"/>
      <c r="I18" s="41">
        <f>SUM(I14:I17)</f>
        <v>26412.309999999969</v>
      </c>
      <c r="J18" s="36"/>
      <c r="K18" s="36"/>
      <c r="L18" s="33"/>
      <c r="M18" s="54"/>
      <c r="N18" s="53"/>
      <c r="O18" s="54"/>
      <c r="P18" s="54"/>
      <c r="Q18" s="54"/>
      <c r="R18" s="53"/>
      <c r="S18" s="53"/>
      <c r="T18" s="53"/>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64" s="402" customFormat="1" ht="15">
      <c r="A19" s="409"/>
      <c r="B19" s="405"/>
      <c r="C19" s="406"/>
      <c r="D19" s="416"/>
      <c r="E19" s="408"/>
      <c r="F19" s="408"/>
      <c r="G19" s="412"/>
      <c r="H19" s="408"/>
      <c r="I19" s="408"/>
      <c r="J19" s="406"/>
      <c r="K19" s="406"/>
      <c r="L19" s="403"/>
      <c r="M19" s="415"/>
      <c r="N19" s="414"/>
      <c r="O19" s="415"/>
      <c r="P19" s="415"/>
      <c r="Q19" s="415"/>
      <c r="R19" s="414"/>
      <c r="S19" s="414"/>
      <c r="T19" s="41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row>
    <row r="20" spans="1:64" s="460" customFormat="1" ht="15.75">
      <c r="A20" s="320" t="s">
        <v>1042</v>
      </c>
      <c r="B20" s="309" t="s">
        <v>1043</v>
      </c>
      <c r="C20" s="427"/>
      <c r="D20" s="427"/>
      <c r="E20" s="427"/>
      <c r="F20" s="427"/>
      <c r="G20" s="427"/>
      <c r="H20" s="427"/>
      <c r="I20" s="579">
        <v>0</v>
      </c>
      <c r="J20" s="406"/>
      <c r="K20" s="406"/>
      <c r="L20" s="403"/>
      <c r="M20" s="415"/>
      <c r="N20" s="414"/>
      <c r="O20" s="415"/>
      <c r="P20" s="415"/>
      <c r="Q20" s="415"/>
      <c r="R20" s="414"/>
      <c r="S20" s="414"/>
      <c r="T20" s="41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404"/>
    </row>
    <row r="21" spans="1:64" s="460" customFormat="1" ht="15.75">
      <c r="A21" s="320" t="s">
        <v>1044</v>
      </c>
      <c r="B21" s="309" t="s">
        <v>1045</v>
      </c>
      <c r="C21" s="427"/>
      <c r="D21" s="427"/>
      <c r="E21" s="427"/>
      <c r="F21" s="427"/>
      <c r="G21" s="427"/>
      <c r="H21" s="427"/>
      <c r="I21" s="579">
        <v>0</v>
      </c>
      <c r="J21" s="406"/>
      <c r="K21" s="406"/>
      <c r="L21" s="403"/>
      <c r="M21" s="415"/>
      <c r="N21" s="414"/>
      <c r="O21" s="415"/>
      <c r="P21" s="415"/>
      <c r="Q21" s="415"/>
      <c r="R21" s="414"/>
      <c r="S21" s="414"/>
      <c r="T21" s="41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row>
    <row r="22" spans="1:64" s="460" customFormat="1" ht="16.5" thickBot="1">
      <c r="A22" s="320" t="s">
        <v>1046</v>
      </c>
      <c r="B22" s="309" t="s">
        <v>1047</v>
      </c>
      <c r="C22" s="427"/>
      <c r="D22" s="427"/>
      <c r="E22" s="427"/>
      <c r="F22" s="427"/>
      <c r="G22" s="427"/>
      <c r="H22" s="427"/>
      <c r="I22" s="580">
        <f>I20+I21</f>
        <v>0</v>
      </c>
      <c r="J22" s="406"/>
      <c r="K22" s="406"/>
      <c r="L22" s="403"/>
      <c r="M22" s="415"/>
      <c r="N22" s="414"/>
      <c r="O22" s="415"/>
      <c r="P22" s="415"/>
      <c r="Q22" s="415"/>
      <c r="R22" s="414"/>
      <c r="S22" s="414"/>
      <c r="T22" s="41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row>
    <row r="23" spans="1:64" ht="13.5" customHeight="1">
      <c r="A23" s="42"/>
      <c r="C23" s="36"/>
      <c r="D23" s="41" t="s">
        <v>364</v>
      </c>
      <c r="E23" s="36"/>
      <c r="F23" s="36"/>
      <c r="G23" s="51"/>
      <c r="H23" s="36"/>
      <c r="J23" s="36"/>
      <c r="K23" s="36"/>
      <c r="L23" s="33"/>
      <c r="M23" s="54"/>
      <c r="N23" s="53"/>
      <c r="O23" s="54"/>
      <c r="P23" s="54"/>
      <c r="Q23" s="54"/>
      <c r="R23" s="53"/>
      <c r="S23" s="53"/>
      <c r="T23" s="53"/>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row>
    <row r="24" spans="1:64" ht="15.75" thickBot="1">
      <c r="A24" s="42">
        <v>7</v>
      </c>
      <c r="B24" s="35" t="s">
        <v>607</v>
      </c>
      <c r="C24" s="36" t="s">
        <v>1048</v>
      </c>
      <c r="D24" s="57" t="s">
        <v>364</v>
      </c>
      <c r="E24" s="41"/>
      <c r="F24" s="41"/>
      <c r="G24" s="41"/>
      <c r="H24" s="41"/>
      <c r="I24" s="59">
        <f>+I11-I18+I22</f>
        <v>298409.07213032665</v>
      </c>
      <c r="J24" s="36"/>
      <c r="K24" s="36"/>
      <c r="L24" s="33"/>
      <c r="M24" s="54"/>
      <c r="N24" s="53"/>
      <c r="O24" s="54"/>
      <c r="P24" s="54"/>
      <c r="Q24" s="54"/>
      <c r="R24" s="53"/>
      <c r="S24" s="53"/>
      <c r="T24" s="53"/>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64" s="402" customFormat="1" ht="15.75" thickTop="1">
      <c r="A25" s="409"/>
      <c r="B25" s="405"/>
      <c r="C25" s="406"/>
      <c r="D25" s="416"/>
      <c r="E25" s="408"/>
      <c r="F25" s="408"/>
      <c r="G25" s="408"/>
      <c r="H25" s="408"/>
      <c r="I25" s="398"/>
      <c r="J25" s="406"/>
      <c r="K25" s="406"/>
      <c r="L25" s="403"/>
      <c r="M25" s="415"/>
      <c r="N25" s="414"/>
      <c r="O25" s="415"/>
      <c r="P25" s="415"/>
      <c r="Q25" s="415"/>
      <c r="R25" s="414"/>
      <c r="S25" s="414"/>
      <c r="T25" s="41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4"/>
      <c r="BL25" s="404"/>
    </row>
    <row r="26" spans="1:64" ht="15">
      <c r="A26" s="42" t="s">
        <v>364</v>
      </c>
      <c r="B26" s="35" t="s">
        <v>608</v>
      </c>
      <c r="C26" s="36"/>
      <c r="D26" s="48"/>
      <c r="E26" s="36"/>
      <c r="F26" s="36"/>
      <c r="G26" s="36"/>
      <c r="H26" s="36"/>
      <c r="I26" s="48"/>
      <c r="J26" s="36"/>
      <c r="K26" s="36"/>
      <c r="L26" s="33"/>
      <c r="M26" s="54"/>
      <c r="N26" s="53"/>
      <c r="O26" s="54"/>
      <c r="P26" s="54"/>
      <c r="Q26" s="54"/>
      <c r="R26" s="53"/>
      <c r="S26" s="53"/>
      <c r="T26" s="53"/>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row r="27" spans="1:64" ht="15">
      <c r="A27" s="42">
        <v>8</v>
      </c>
      <c r="B27" s="35" t="s">
        <v>609</v>
      </c>
      <c r="C27" s="58"/>
      <c r="D27" s="48"/>
      <c r="E27" s="36"/>
      <c r="F27" s="36"/>
      <c r="G27" s="36" t="s">
        <v>610</v>
      </c>
      <c r="H27" s="36"/>
      <c r="I27" s="55">
        <f>'DS4_12 CP Load Data'!T4*1000</f>
        <v>9285.4166666666697</v>
      </c>
      <c r="J27" s="36"/>
      <c r="K27" s="60" t="s">
        <v>364</v>
      </c>
      <c r="L27" s="33"/>
      <c r="M27" s="61"/>
      <c r="N27" s="53"/>
      <c r="O27" s="52"/>
      <c r="P27" s="54"/>
      <c r="Q27" s="54"/>
      <c r="R27" s="53"/>
      <c r="S27" s="53"/>
      <c r="T27" s="53"/>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row>
    <row r="28" spans="1:64" ht="15">
      <c r="A28" s="42">
        <v>9</v>
      </c>
      <c r="B28" s="35" t="s">
        <v>611</v>
      </c>
      <c r="C28" s="41"/>
      <c r="D28" s="41"/>
      <c r="E28" s="41"/>
      <c r="F28" s="41"/>
      <c r="G28" s="41" t="s">
        <v>612</v>
      </c>
      <c r="H28" s="41"/>
      <c r="I28" s="55">
        <v>0</v>
      </c>
      <c r="J28" s="36"/>
      <c r="K28" s="36" t="s">
        <v>364</v>
      </c>
      <c r="L28" s="33"/>
      <c r="M28" s="54"/>
      <c r="N28" s="53"/>
      <c r="O28" s="52"/>
      <c r="P28" s="54"/>
      <c r="Q28" s="54"/>
      <c r="R28" s="53"/>
      <c r="S28" s="53"/>
      <c r="T28" s="53"/>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row>
    <row r="29" spans="1:64" ht="15">
      <c r="A29" s="42">
        <v>10</v>
      </c>
      <c r="B29" s="35" t="s">
        <v>613</v>
      </c>
      <c r="C29" s="36"/>
      <c r="D29" s="36"/>
      <c r="E29" s="36"/>
      <c r="F29" s="36"/>
      <c r="G29" s="36" t="s">
        <v>614</v>
      </c>
      <c r="H29" s="36"/>
      <c r="I29" s="55">
        <v>0</v>
      </c>
      <c r="J29" s="36"/>
      <c r="K29" s="36"/>
      <c r="L29" s="33"/>
      <c r="M29" s="54"/>
      <c r="N29" s="53"/>
      <c r="O29" s="52"/>
      <c r="P29" s="54"/>
      <c r="Q29" s="54"/>
      <c r="R29" s="53"/>
      <c r="S29" s="53"/>
      <c r="T29" s="53"/>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row>
    <row r="30" spans="1:64" ht="15">
      <c r="A30" s="42">
        <v>11</v>
      </c>
      <c r="B30" s="62" t="s">
        <v>615</v>
      </c>
      <c r="C30" s="36"/>
      <c r="D30" s="36"/>
      <c r="E30" s="36"/>
      <c r="F30" s="36"/>
      <c r="G30" s="36" t="s">
        <v>616</v>
      </c>
      <c r="H30" s="36"/>
      <c r="I30" s="55">
        <v>0</v>
      </c>
      <c r="J30" s="36"/>
      <c r="K30" s="36"/>
      <c r="L30" s="33"/>
      <c r="M30" s="54"/>
      <c r="N30" s="53"/>
      <c r="O30" s="52"/>
      <c r="P30" s="54"/>
      <c r="Q30" s="54"/>
      <c r="R30" s="53"/>
      <c r="S30" s="53"/>
      <c r="T30" s="53"/>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ht="15">
      <c r="A31" s="42">
        <v>12</v>
      </c>
      <c r="B31" s="62" t="s">
        <v>617</v>
      </c>
      <c r="C31" s="36"/>
      <c r="D31" s="36"/>
      <c r="E31" s="36"/>
      <c r="F31" s="36"/>
      <c r="G31" s="36"/>
      <c r="H31" s="36"/>
      <c r="I31" s="55">
        <v>0</v>
      </c>
      <c r="J31" s="36"/>
      <c r="K31" s="36"/>
      <c r="L31" s="33"/>
      <c r="M31" s="54"/>
      <c r="N31" s="53"/>
      <c r="O31" s="52"/>
      <c r="P31" s="54"/>
      <c r="Q31" s="54"/>
      <c r="R31" s="53"/>
      <c r="S31" s="53"/>
      <c r="T31" s="53"/>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row>
    <row r="32" spans="1:64" ht="15">
      <c r="A32" s="42">
        <v>13</v>
      </c>
      <c r="B32" s="62" t="s">
        <v>618</v>
      </c>
      <c r="C32" s="36"/>
      <c r="D32" s="36"/>
      <c r="E32" s="36"/>
      <c r="F32" s="36"/>
      <c r="G32" s="36"/>
      <c r="H32" s="36"/>
      <c r="I32" s="63">
        <v>0</v>
      </c>
      <c r="J32" s="36"/>
      <c r="K32" s="36"/>
      <c r="L32" s="33"/>
      <c r="M32" s="54"/>
      <c r="N32" s="53"/>
      <c r="O32" s="52"/>
      <c r="P32" s="54"/>
      <c r="Q32" s="54"/>
      <c r="R32" s="53"/>
      <c r="S32" s="53"/>
      <c r="T32" s="53"/>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64" ht="15.75" thickBot="1">
      <c r="A33" s="42">
        <v>14</v>
      </c>
      <c r="B33" s="35" t="s">
        <v>619</v>
      </c>
      <c r="C33" s="36"/>
      <c r="D33" s="36"/>
      <c r="E33" s="36"/>
      <c r="F33" s="36"/>
      <c r="G33" s="36"/>
      <c r="H33" s="36"/>
      <c r="I33" s="64">
        <v>0</v>
      </c>
      <c r="J33" s="36"/>
      <c r="K33" s="36"/>
      <c r="L33" s="33"/>
      <c r="M33" s="54"/>
      <c r="N33" s="53"/>
      <c r="O33" s="52"/>
      <c r="P33" s="54"/>
      <c r="Q33" s="54"/>
      <c r="R33" s="53"/>
      <c r="S33" s="53"/>
      <c r="T33" s="53"/>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row>
    <row r="34" spans="1:64" ht="15">
      <c r="A34" s="42">
        <v>15</v>
      </c>
      <c r="B34" s="35" t="s">
        <v>620</v>
      </c>
      <c r="C34" s="36"/>
      <c r="D34" s="36"/>
      <c r="E34" s="36"/>
      <c r="F34" s="36"/>
      <c r="G34" s="36"/>
      <c r="H34" s="36"/>
      <c r="I34" s="48">
        <f>SUM(I27:I33)</f>
        <v>9285.4166666666697</v>
      </c>
      <c r="J34" s="36"/>
      <c r="K34" s="36"/>
      <c r="L34" s="33"/>
      <c r="M34" s="54"/>
      <c r="N34" s="53"/>
      <c r="O34" s="52"/>
      <c r="P34" s="54"/>
      <c r="Q34" s="54"/>
      <c r="R34" s="53"/>
      <c r="S34" s="53"/>
      <c r="T34" s="53"/>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row>
    <row r="35" spans="1:64" ht="15">
      <c r="A35" s="42"/>
      <c r="B35" s="35"/>
      <c r="C35" s="36"/>
      <c r="D35" s="36"/>
      <c r="E35" s="36"/>
      <c r="F35" s="36"/>
      <c r="G35" s="36"/>
      <c r="H35" s="36"/>
      <c r="I35" s="48"/>
      <c r="J35" s="36"/>
      <c r="K35" s="36"/>
      <c r="L35" s="33"/>
      <c r="M35" s="54"/>
      <c r="N35" s="53"/>
      <c r="O35" s="54"/>
      <c r="P35" s="54"/>
      <c r="Q35" s="54"/>
      <c r="R35" s="53"/>
      <c r="S35" s="53"/>
      <c r="T35" s="53"/>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row>
    <row r="36" spans="1:64" ht="15">
      <c r="A36" s="42">
        <v>16</v>
      </c>
      <c r="B36" s="35" t="s">
        <v>621</v>
      </c>
      <c r="C36" s="36" t="s">
        <v>622</v>
      </c>
      <c r="D36" s="65">
        <f>IF(I34&gt;0,I24/I34,0)</f>
        <v>32.137391658639608</v>
      </c>
      <c r="E36" s="36"/>
      <c r="F36" s="36"/>
      <c r="G36" s="36"/>
      <c r="H36" s="36"/>
      <c r="I36" s="58"/>
      <c r="J36" s="36"/>
      <c r="K36" s="36"/>
      <c r="L36" s="33"/>
      <c r="M36" s="54"/>
      <c r="N36" s="53"/>
      <c r="O36" s="54"/>
      <c r="P36" s="54"/>
      <c r="Q36" s="54"/>
      <c r="R36" s="53"/>
      <c r="S36" s="53"/>
      <c r="T36" s="53"/>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row>
    <row r="37" spans="1:64" ht="15">
      <c r="A37" s="42">
        <v>17</v>
      </c>
      <c r="B37" s="35" t="s">
        <v>623</v>
      </c>
      <c r="C37" s="36"/>
      <c r="D37" s="65">
        <f>+D36/12</f>
        <v>2.6781159715533005</v>
      </c>
      <c r="E37" s="36"/>
      <c r="F37" s="36"/>
      <c r="G37" s="36"/>
      <c r="H37" s="36"/>
      <c r="I37" s="58"/>
      <c r="J37" s="36"/>
      <c r="K37" s="36"/>
      <c r="L37" s="33"/>
      <c r="M37" s="54"/>
      <c r="N37" s="53"/>
      <c r="O37" s="54"/>
      <c r="P37" s="54"/>
      <c r="Q37" s="54"/>
      <c r="R37" s="53"/>
      <c r="S37" s="53"/>
      <c r="T37" s="53"/>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row>
    <row r="38" spans="1:64" ht="15">
      <c r="A38" s="42"/>
      <c r="B38" s="35"/>
      <c r="C38" s="36"/>
      <c r="D38" s="65"/>
      <c r="E38" s="36"/>
      <c r="F38" s="36"/>
      <c r="G38" s="36"/>
      <c r="H38" s="36"/>
      <c r="I38" s="58"/>
      <c r="J38" s="36"/>
      <c r="K38" s="36"/>
      <c r="L38" s="33"/>
      <c r="M38" s="54"/>
      <c r="N38" s="53"/>
      <c r="O38" s="54"/>
      <c r="P38" s="54"/>
      <c r="Q38" s="54"/>
      <c r="R38" s="53"/>
      <c r="S38" s="53"/>
      <c r="T38" s="53"/>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row>
    <row r="39" spans="1:64" ht="15">
      <c r="A39" s="42"/>
      <c r="B39" s="35"/>
      <c r="C39" s="36"/>
      <c r="D39" s="66" t="s">
        <v>624</v>
      </c>
      <c r="E39" s="36"/>
      <c r="F39" s="36"/>
      <c r="G39" s="36"/>
      <c r="H39" s="36"/>
      <c r="I39" s="67" t="s">
        <v>625</v>
      </c>
      <c r="J39" s="36"/>
      <c r="K39" s="36"/>
      <c r="L39" s="33"/>
      <c r="M39" s="54"/>
      <c r="N39" s="53"/>
      <c r="O39" s="54"/>
      <c r="P39" s="54"/>
      <c r="Q39" s="54"/>
      <c r="R39" s="53"/>
      <c r="S39" s="53"/>
      <c r="T39" s="53"/>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64" ht="15">
      <c r="A40" s="42">
        <v>18</v>
      </c>
      <c r="B40" s="35" t="s">
        <v>626</v>
      </c>
      <c r="C40" s="36" t="s">
        <v>627</v>
      </c>
      <c r="D40" s="65">
        <f>+D36/52</f>
        <v>0.61802676266614631</v>
      </c>
      <c r="E40" s="36"/>
      <c r="F40" s="36"/>
      <c r="G40" s="36"/>
      <c r="H40" s="36"/>
      <c r="I40" s="68">
        <f>+D36/52</f>
        <v>0.61802676266614631</v>
      </c>
      <c r="J40" s="36"/>
      <c r="K40" s="36"/>
      <c r="L40" s="33"/>
      <c r="M40" s="54"/>
      <c r="N40" s="53"/>
      <c r="O40" s="54"/>
      <c r="P40" s="54"/>
      <c r="Q40" s="54"/>
      <c r="R40" s="53"/>
      <c r="S40" s="53"/>
      <c r="T40" s="53"/>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row>
    <row r="41" spans="1:64" ht="15">
      <c r="A41" s="42">
        <v>19</v>
      </c>
      <c r="B41" s="35" t="s">
        <v>628</v>
      </c>
      <c r="C41" s="36" t="s">
        <v>297</v>
      </c>
      <c r="D41" s="65">
        <f>D36/260</f>
        <v>0.12360535253322925</v>
      </c>
      <c r="E41" s="36" t="s">
        <v>629</v>
      </c>
      <c r="F41" s="58"/>
      <c r="G41" s="36"/>
      <c r="H41" s="36"/>
      <c r="I41" s="68">
        <f>D36/365</f>
        <v>8.8047648379834545E-2</v>
      </c>
      <c r="J41" s="36"/>
      <c r="K41" s="36"/>
      <c r="L41" s="33"/>
      <c r="M41" s="54"/>
      <c r="N41" s="53"/>
      <c r="O41" s="54"/>
      <c r="P41" s="54"/>
      <c r="Q41" s="54"/>
      <c r="R41" s="53"/>
      <c r="S41" s="53"/>
      <c r="T41" s="53"/>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row>
    <row r="42" spans="1:64" ht="15">
      <c r="A42" s="42">
        <v>20</v>
      </c>
      <c r="B42" s="35" t="s">
        <v>630</v>
      </c>
      <c r="C42" s="36" t="s">
        <v>298</v>
      </c>
      <c r="D42" s="65">
        <f>D36/4160</f>
        <v>7.7253345333268284E-3</v>
      </c>
      <c r="E42" s="36" t="s">
        <v>631</v>
      </c>
      <c r="F42" s="58"/>
      <c r="G42" s="36"/>
      <c r="H42" s="36"/>
      <c r="I42" s="68">
        <f>D36/8760*1000</f>
        <v>3.6686520158264391</v>
      </c>
      <c r="J42" s="36"/>
      <c r="K42" s="36" t="s">
        <v>364</v>
      </c>
      <c r="L42" s="33"/>
      <c r="M42" s="54"/>
      <c r="N42" s="53"/>
      <c r="O42" s="54"/>
      <c r="P42" s="54"/>
      <c r="Q42" s="54"/>
      <c r="R42" s="53"/>
      <c r="S42" s="53"/>
      <c r="T42" s="53"/>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row>
    <row r="43" spans="1:64" ht="15">
      <c r="A43" s="42"/>
      <c r="B43" s="35"/>
      <c r="C43" s="36" t="s">
        <v>632</v>
      </c>
      <c r="D43" s="36"/>
      <c r="E43" s="36" t="s">
        <v>633</v>
      </c>
      <c r="F43" s="58"/>
      <c r="G43" s="36"/>
      <c r="H43" s="36"/>
      <c r="I43" s="58"/>
      <c r="J43" s="36"/>
      <c r="K43" s="36" t="s">
        <v>364</v>
      </c>
      <c r="L43" s="33"/>
      <c r="M43" s="54"/>
      <c r="N43" s="53"/>
      <c r="O43" s="54"/>
      <c r="P43" s="54"/>
      <c r="Q43" s="54"/>
      <c r="R43" s="53"/>
      <c r="S43" s="53"/>
      <c r="T43" s="53"/>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row>
    <row r="44" spans="1:64" ht="15">
      <c r="A44" s="42"/>
      <c r="B44" s="35"/>
      <c r="C44" s="36"/>
      <c r="D44" s="36"/>
      <c r="E44" s="36"/>
      <c r="F44" s="58"/>
      <c r="G44" s="36"/>
      <c r="H44" s="36"/>
      <c r="I44" s="58"/>
      <c r="J44" s="36"/>
      <c r="K44" s="36" t="s">
        <v>364</v>
      </c>
      <c r="L44" s="33"/>
      <c r="M44" s="54"/>
      <c r="N44" s="53"/>
      <c r="O44" s="54"/>
      <c r="P44" s="54"/>
      <c r="Q44" s="54"/>
      <c r="R44" s="53"/>
      <c r="S44" s="53"/>
      <c r="T44" s="53"/>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row>
    <row r="45" spans="1:64" ht="15">
      <c r="A45" s="42">
        <v>21</v>
      </c>
      <c r="B45" s="35" t="s">
        <v>634</v>
      </c>
      <c r="C45" s="36" t="s">
        <v>635</v>
      </c>
      <c r="D45" s="69">
        <v>0</v>
      </c>
      <c r="E45" s="70" t="s">
        <v>636</v>
      </c>
      <c r="F45" s="70"/>
      <c r="G45" s="70"/>
      <c r="H45" s="70"/>
      <c r="I45" s="70">
        <f>D45</f>
        <v>0</v>
      </c>
      <c r="J45" s="70" t="s">
        <v>636</v>
      </c>
      <c r="K45" s="36"/>
      <c r="L45" s="33"/>
      <c r="M45" s="54"/>
      <c r="N45" s="53"/>
      <c r="O45" s="54"/>
      <c r="P45" s="54"/>
      <c r="Q45" s="54"/>
      <c r="R45" s="53"/>
      <c r="S45" s="53"/>
      <c r="T45" s="53"/>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row>
    <row r="46" spans="1:64" ht="15">
      <c r="A46" s="42">
        <v>22</v>
      </c>
      <c r="B46" s="35"/>
      <c r="C46" s="36"/>
      <c r="D46" s="69">
        <v>0</v>
      </c>
      <c r="E46" s="70" t="s">
        <v>637</v>
      </c>
      <c r="F46" s="70"/>
      <c r="G46" s="70"/>
      <c r="H46" s="70"/>
      <c r="I46" s="70">
        <f>D46</f>
        <v>0</v>
      </c>
      <c r="J46" s="70" t="s">
        <v>637</v>
      </c>
      <c r="K46" s="36"/>
      <c r="L46" s="33"/>
      <c r="M46" s="54"/>
      <c r="N46" s="53"/>
      <c r="O46" s="54"/>
      <c r="P46" s="54"/>
      <c r="Q46" s="54"/>
      <c r="R46" s="53"/>
      <c r="S46" s="53"/>
      <c r="T46" s="53"/>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row>
    <row r="47" spans="1:64" ht="15">
      <c r="J47" s="71"/>
      <c r="K47" s="36"/>
      <c r="L47" s="33"/>
      <c r="M47" s="54"/>
      <c r="N47" s="53"/>
      <c r="O47" s="54"/>
      <c r="P47" s="54"/>
      <c r="Q47" s="54"/>
      <c r="R47" s="53"/>
      <c r="S47" s="53"/>
      <c r="T47" s="53"/>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4" ht="15.75">
      <c r="A48"/>
      <c r="B48"/>
      <c r="C48" s="310"/>
      <c r="D48" s="310"/>
      <c r="E48" s="310"/>
      <c r="F48" s="310"/>
      <c r="G48" s="310"/>
      <c r="H48" s="311"/>
      <c r="I48" s="310"/>
      <c r="J48"/>
      <c r="K48" s="36"/>
      <c r="L48" s="33"/>
      <c r="M48" s="54"/>
      <c r="N48" s="53"/>
      <c r="O48" s="54"/>
      <c r="P48" s="54"/>
      <c r="Q48" s="54"/>
      <c r="R48" s="53"/>
      <c r="S48" s="53"/>
      <c r="T48" s="53"/>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row>
    <row r="49" spans="1:64" ht="15.75">
      <c r="A49"/>
      <c r="B49"/>
      <c r="C49" s="310"/>
      <c r="D49" s="310"/>
      <c r="E49" s="310"/>
      <c r="F49" s="310"/>
      <c r="G49" s="310"/>
      <c r="H49" s="311"/>
      <c r="I49" s="310"/>
      <c r="J49"/>
      <c r="K49" s="36"/>
      <c r="L49" s="33"/>
      <c r="M49" s="54"/>
      <c r="N49" s="53"/>
      <c r="O49" s="54"/>
      <c r="P49" s="54"/>
      <c r="Q49" s="54"/>
      <c r="R49" s="53"/>
      <c r="S49" s="53"/>
      <c r="T49" s="53"/>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row>
    <row r="50" spans="1:64" ht="15.75">
      <c r="A50"/>
      <c r="B50"/>
      <c r="C50" s="310"/>
      <c r="D50" s="310"/>
      <c r="E50" s="310"/>
      <c r="F50" s="310"/>
      <c r="G50" s="310"/>
      <c r="H50" s="311"/>
      <c r="I50" s="310"/>
      <c r="J50"/>
      <c r="K50" s="36"/>
      <c r="L50" s="33"/>
      <c r="M50" s="54"/>
      <c r="N50" s="53"/>
      <c r="O50" s="54"/>
      <c r="P50" s="54"/>
      <c r="Q50" s="54"/>
      <c r="R50" s="53"/>
      <c r="S50" s="53"/>
      <c r="T50" s="53"/>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s="460" customFormat="1" ht="15.75">
      <c r="A51" s="399"/>
      <c r="B51" s="399"/>
      <c r="C51" s="429"/>
      <c r="D51" s="429"/>
      <c r="E51" s="429"/>
      <c r="F51" s="429"/>
      <c r="G51" s="429"/>
      <c r="H51" s="311"/>
      <c r="I51" s="429"/>
      <c r="J51" s="399"/>
      <c r="K51" s="406"/>
      <c r="L51" s="403"/>
      <c r="M51" s="415"/>
      <c r="N51" s="414"/>
      <c r="O51" s="415"/>
      <c r="P51" s="415"/>
      <c r="Q51" s="415"/>
      <c r="R51" s="414"/>
      <c r="S51" s="414"/>
      <c r="T51" s="41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row>
    <row r="52" spans="1:64" s="460" customFormat="1" ht="15.75">
      <c r="A52" s="399"/>
      <c r="B52" s="399"/>
      <c r="C52" s="429"/>
      <c r="D52" s="429"/>
      <c r="E52" s="429"/>
      <c r="F52" s="429"/>
      <c r="G52" s="429"/>
      <c r="H52" s="311"/>
      <c r="I52" s="429"/>
      <c r="J52" s="399"/>
      <c r="K52" s="406"/>
      <c r="L52" s="403"/>
      <c r="M52" s="415"/>
      <c r="N52" s="414"/>
      <c r="O52" s="415"/>
      <c r="P52" s="415"/>
      <c r="Q52" s="415"/>
      <c r="R52" s="414"/>
      <c r="S52" s="414"/>
      <c r="T52" s="41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row>
    <row r="53" spans="1:64" s="460" customFormat="1" ht="15.75">
      <c r="A53" s="399"/>
      <c r="B53" s="399"/>
      <c r="C53" s="429"/>
      <c r="D53" s="429"/>
      <c r="E53" s="429"/>
      <c r="F53" s="429"/>
      <c r="G53" s="429"/>
      <c r="H53" s="311"/>
      <c r="I53" s="429"/>
      <c r="J53" s="399"/>
      <c r="K53" s="406"/>
      <c r="L53" s="403"/>
      <c r="M53" s="415"/>
      <c r="N53" s="414"/>
      <c r="O53" s="415"/>
      <c r="P53" s="415"/>
      <c r="Q53" s="415"/>
      <c r="R53" s="414"/>
      <c r="S53" s="414"/>
      <c r="T53" s="41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row>
    <row r="54" spans="1:64" s="460" customFormat="1" ht="15.75">
      <c r="A54" s="399"/>
      <c r="B54" s="399"/>
      <c r="C54" s="429"/>
      <c r="D54" s="429"/>
      <c r="E54" s="429"/>
      <c r="F54" s="429"/>
      <c r="G54" s="429"/>
      <c r="H54" s="311"/>
      <c r="I54" s="429"/>
      <c r="J54" s="399"/>
      <c r="K54" s="406"/>
      <c r="L54" s="403"/>
      <c r="M54" s="415"/>
      <c r="N54" s="414"/>
      <c r="O54" s="415"/>
      <c r="P54" s="415"/>
      <c r="Q54" s="415"/>
      <c r="R54" s="414"/>
      <c r="S54" s="414"/>
      <c r="T54" s="41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4"/>
      <c r="BD54" s="404"/>
      <c r="BE54" s="404"/>
      <c r="BF54" s="404"/>
      <c r="BG54" s="404"/>
      <c r="BH54" s="404"/>
      <c r="BI54" s="404"/>
      <c r="BJ54" s="404"/>
      <c r="BK54" s="404"/>
      <c r="BL54" s="404"/>
    </row>
    <row r="55" spans="1:64" s="460" customFormat="1" ht="15.75">
      <c r="A55" s="399"/>
      <c r="B55" s="399"/>
      <c r="C55" s="429"/>
      <c r="D55" s="429"/>
      <c r="E55" s="429"/>
      <c r="F55" s="429"/>
      <c r="G55" s="429"/>
      <c r="H55" s="311"/>
      <c r="I55" s="429"/>
      <c r="J55" s="399"/>
      <c r="K55" s="406"/>
      <c r="L55" s="403"/>
      <c r="M55" s="415"/>
      <c r="N55" s="414"/>
      <c r="O55" s="415"/>
      <c r="P55" s="415"/>
      <c r="Q55" s="415"/>
      <c r="R55" s="414"/>
      <c r="S55" s="414"/>
      <c r="T55" s="41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row>
    <row r="56" spans="1:64" s="460" customFormat="1" ht="15.75">
      <c r="A56" s="399"/>
      <c r="B56" s="399"/>
      <c r="C56" s="429"/>
      <c r="D56" s="429"/>
      <c r="E56" s="429"/>
      <c r="F56" s="429"/>
      <c r="G56" s="429"/>
      <c r="H56" s="311"/>
      <c r="I56" s="429"/>
      <c r="J56" s="399"/>
      <c r="K56" s="406"/>
      <c r="L56" s="403"/>
      <c r="M56" s="415"/>
      <c r="N56" s="414"/>
      <c r="O56" s="415"/>
      <c r="P56" s="415"/>
      <c r="Q56" s="415"/>
      <c r="R56" s="414"/>
      <c r="S56" s="414"/>
      <c r="T56" s="41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row>
    <row r="57" spans="1:64" s="460" customFormat="1" ht="15.75">
      <c r="A57" s="399"/>
      <c r="B57" s="399"/>
      <c r="C57" s="429"/>
      <c r="D57" s="429"/>
      <c r="E57" s="429"/>
      <c r="F57" s="429"/>
      <c r="G57" s="429"/>
      <c r="H57" s="311"/>
      <c r="I57" s="429"/>
      <c r="J57" s="399"/>
      <c r="K57" s="406"/>
      <c r="L57" s="403"/>
      <c r="M57" s="415"/>
      <c r="N57" s="414"/>
      <c r="O57" s="415"/>
      <c r="P57" s="415"/>
      <c r="Q57" s="415"/>
      <c r="R57" s="414"/>
      <c r="S57" s="414"/>
      <c r="T57" s="41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4"/>
      <c r="AY57" s="404"/>
      <c r="AZ57" s="404"/>
      <c r="BA57" s="404"/>
      <c r="BB57" s="404"/>
      <c r="BC57" s="404"/>
      <c r="BD57" s="404"/>
      <c r="BE57" s="404"/>
      <c r="BF57" s="404"/>
      <c r="BG57" s="404"/>
      <c r="BH57" s="404"/>
      <c r="BI57" s="404"/>
      <c r="BJ57" s="404"/>
      <c r="BK57" s="404"/>
      <c r="BL57" s="404"/>
    </row>
    <row r="58" spans="1:64" s="460" customFormat="1" ht="15.75">
      <c r="A58" s="399"/>
      <c r="B58" s="399"/>
      <c r="C58" s="429"/>
      <c r="D58" s="429"/>
      <c r="E58" s="429"/>
      <c r="F58" s="429"/>
      <c r="G58" s="429"/>
      <c r="H58" s="311"/>
      <c r="I58" s="429"/>
      <c r="J58" s="399"/>
      <c r="K58" s="406"/>
      <c r="L58" s="403"/>
      <c r="M58" s="415"/>
      <c r="N58" s="414"/>
      <c r="O58" s="415"/>
      <c r="P58" s="415"/>
      <c r="Q58" s="415"/>
      <c r="R58" s="414"/>
      <c r="S58" s="414"/>
      <c r="T58" s="41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4"/>
      <c r="AY58" s="404"/>
      <c r="AZ58" s="404"/>
      <c r="BA58" s="404"/>
      <c r="BB58" s="404"/>
      <c r="BC58" s="404"/>
      <c r="BD58" s="404"/>
      <c r="BE58" s="404"/>
      <c r="BF58" s="404"/>
      <c r="BG58" s="404"/>
      <c r="BH58" s="404"/>
      <c r="BI58" s="404"/>
      <c r="BJ58" s="404"/>
      <c r="BK58" s="404"/>
      <c r="BL58" s="404"/>
    </row>
    <row r="59" spans="1:64" s="460" customFormat="1" ht="15.75">
      <c r="A59" s="399"/>
      <c r="B59" s="399"/>
      <c r="C59" s="429"/>
      <c r="D59" s="429"/>
      <c r="E59" s="429"/>
      <c r="F59" s="429"/>
      <c r="G59" s="429"/>
      <c r="H59" s="311"/>
      <c r="I59" s="429"/>
      <c r="J59" s="399"/>
      <c r="K59" s="406"/>
      <c r="L59" s="403"/>
      <c r="M59" s="415"/>
      <c r="N59" s="414"/>
      <c r="O59" s="415"/>
      <c r="P59" s="415"/>
      <c r="Q59" s="415"/>
      <c r="R59" s="414"/>
      <c r="S59" s="414"/>
      <c r="T59" s="414"/>
      <c r="U59" s="404"/>
      <c r="V59" s="404"/>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c r="AS59" s="404"/>
      <c r="AT59" s="404"/>
      <c r="AU59" s="404"/>
      <c r="AV59" s="404"/>
      <c r="AW59" s="404"/>
      <c r="AX59" s="404"/>
      <c r="AY59" s="404"/>
      <c r="AZ59" s="404"/>
      <c r="BA59" s="404"/>
      <c r="BB59" s="404"/>
      <c r="BC59" s="404"/>
      <c r="BD59" s="404"/>
      <c r="BE59" s="404"/>
      <c r="BF59" s="404"/>
      <c r="BG59" s="404"/>
      <c r="BH59" s="404"/>
      <c r="BI59" s="404"/>
      <c r="BJ59" s="404"/>
      <c r="BK59" s="404"/>
      <c r="BL59" s="404"/>
    </row>
    <row r="60" spans="1:64" s="460" customFormat="1" ht="15.75">
      <c r="A60" s="399"/>
      <c r="B60" s="399"/>
      <c r="C60" s="429"/>
      <c r="D60" s="429"/>
      <c r="E60" s="429"/>
      <c r="F60" s="429"/>
      <c r="G60" s="429"/>
      <c r="H60" s="311"/>
      <c r="I60" s="429"/>
      <c r="J60" s="399"/>
      <c r="K60" s="406"/>
      <c r="L60" s="403"/>
      <c r="M60" s="415"/>
      <c r="N60" s="414"/>
      <c r="O60" s="415"/>
      <c r="P60" s="415"/>
      <c r="Q60" s="415"/>
      <c r="R60" s="414"/>
      <c r="S60" s="414"/>
      <c r="T60" s="41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4"/>
      <c r="AY60" s="404"/>
      <c r="AZ60" s="404"/>
      <c r="BA60" s="404"/>
      <c r="BB60" s="404"/>
      <c r="BC60" s="404"/>
      <c r="BD60" s="404"/>
      <c r="BE60" s="404"/>
      <c r="BF60" s="404"/>
      <c r="BG60" s="404"/>
      <c r="BH60" s="404"/>
      <c r="BI60" s="404"/>
      <c r="BJ60" s="404"/>
      <c r="BK60" s="404"/>
      <c r="BL60" s="404"/>
    </row>
    <row r="61" spans="1:64" s="460" customFormat="1" ht="15.75">
      <c r="A61" s="399"/>
      <c r="B61" s="399"/>
      <c r="C61" s="429"/>
      <c r="D61" s="429"/>
      <c r="E61" s="429"/>
      <c r="F61" s="429"/>
      <c r="G61" s="429"/>
      <c r="H61" s="311"/>
      <c r="I61" s="429"/>
      <c r="J61" s="399"/>
      <c r="K61" s="406"/>
      <c r="L61" s="403"/>
      <c r="M61" s="415"/>
      <c r="N61" s="414"/>
      <c r="O61" s="415"/>
      <c r="P61" s="415"/>
      <c r="Q61" s="415"/>
      <c r="R61" s="414"/>
      <c r="S61" s="414"/>
      <c r="T61" s="41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c r="AZ61" s="404"/>
      <c r="BA61" s="404"/>
      <c r="BB61" s="404"/>
      <c r="BC61" s="404"/>
      <c r="BD61" s="404"/>
      <c r="BE61" s="404"/>
      <c r="BF61" s="404"/>
      <c r="BG61" s="404"/>
      <c r="BH61" s="404"/>
      <c r="BI61" s="404"/>
      <c r="BJ61" s="404"/>
      <c r="BK61" s="404"/>
      <c r="BL61" s="404"/>
    </row>
    <row r="62" spans="1:64" s="460" customFormat="1" ht="15.75">
      <c r="A62" s="399"/>
      <c r="B62" s="399"/>
      <c r="C62" s="429"/>
      <c r="D62" s="429"/>
      <c r="E62" s="429"/>
      <c r="F62" s="429"/>
      <c r="G62" s="429"/>
      <c r="H62" s="311"/>
      <c r="I62" s="429"/>
      <c r="J62" s="399"/>
      <c r="K62" s="406"/>
      <c r="L62" s="403"/>
      <c r="M62" s="415"/>
      <c r="N62" s="414"/>
      <c r="O62" s="415"/>
      <c r="P62" s="415"/>
      <c r="Q62" s="415"/>
      <c r="R62" s="414"/>
      <c r="S62" s="414"/>
      <c r="T62" s="41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row>
    <row r="63" spans="1:64" s="460" customFormat="1" ht="15.75">
      <c r="A63" s="399"/>
      <c r="B63" s="399"/>
      <c r="C63" s="429"/>
      <c r="D63" s="429"/>
      <c r="E63" s="429"/>
      <c r="F63" s="429"/>
      <c r="G63" s="429"/>
      <c r="H63" s="311"/>
      <c r="I63" s="429"/>
      <c r="J63" s="399"/>
      <c r="K63" s="406"/>
      <c r="L63" s="403"/>
      <c r="M63" s="415"/>
      <c r="N63" s="414"/>
      <c r="O63" s="415"/>
      <c r="P63" s="415"/>
      <c r="Q63" s="415"/>
      <c r="R63" s="414"/>
      <c r="S63" s="414"/>
      <c r="T63" s="41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c r="BI63" s="404"/>
      <c r="BJ63" s="404"/>
      <c r="BK63" s="404"/>
      <c r="BL63" s="404"/>
    </row>
    <row r="64" spans="1:64" s="460" customFormat="1" ht="15.75">
      <c r="A64" s="399"/>
      <c r="B64" s="399"/>
      <c r="C64" s="429"/>
      <c r="D64" s="429"/>
      <c r="E64" s="429"/>
      <c r="F64" s="429"/>
      <c r="G64" s="429"/>
      <c r="H64" s="311"/>
      <c r="I64" s="429"/>
      <c r="J64" s="399"/>
      <c r="K64" s="406"/>
      <c r="L64" s="403"/>
      <c r="M64" s="415"/>
      <c r="N64" s="414"/>
      <c r="O64" s="415"/>
      <c r="P64" s="415"/>
      <c r="Q64" s="415"/>
      <c r="R64" s="414"/>
      <c r="S64" s="414"/>
      <c r="T64" s="41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c r="BC64" s="404"/>
      <c r="BD64" s="404"/>
      <c r="BE64" s="404"/>
      <c r="BF64" s="404"/>
      <c r="BG64" s="404"/>
      <c r="BH64" s="404"/>
      <c r="BI64" s="404"/>
      <c r="BJ64" s="404"/>
      <c r="BK64" s="404"/>
      <c r="BL64" s="404"/>
    </row>
    <row r="65" spans="1:64" s="460" customFormat="1" ht="15.75">
      <c r="A65" s="399"/>
      <c r="B65" s="399"/>
      <c r="C65" s="429"/>
      <c r="D65" s="429"/>
      <c r="E65" s="429"/>
      <c r="F65" s="429"/>
      <c r="G65" s="429"/>
      <c r="H65" s="311"/>
      <c r="I65" s="429"/>
      <c r="J65" s="399"/>
      <c r="K65" s="406"/>
      <c r="L65" s="403"/>
      <c r="M65" s="415"/>
      <c r="N65" s="414"/>
      <c r="O65" s="415"/>
      <c r="P65" s="415"/>
      <c r="Q65" s="415"/>
      <c r="R65" s="414"/>
      <c r="S65" s="414"/>
      <c r="T65" s="41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c r="BC65" s="404"/>
      <c r="BD65" s="404"/>
      <c r="BE65" s="404"/>
      <c r="BF65" s="404"/>
      <c r="BG65" s="404"/>
      <c r="BH65" s="404"/>
      <c r="BI65" s="404"/>
      <c r="BJ65" s="404"/>
      <c r="BK65" s="404"/>
      <c r="BL65" s="404"/>
    </row>
    <row r="66" spans="1:64" s="460" customFormat="1" ht="15.75">
      <c r="A66" s="399"/>
      <c r="B66" s="399"/>
      <c r="C66" s="429"/>
      <c r="D66" s="429"/>
      <c r="E66" s="429"/>
      <c r="F66" s="429"/>
      <c r="G66" s="429"/>
      <c r="H66" s="311"/>
      <c r="I66" s="429"/>
      <c r="J66" s="399"/>
      <c r="K66" s="406"/>
      <c r="L66" s="403"/>
      <c r="M66" s="415"/>
      <c r="N66" s="414"/>
      <c r="O66" s="415"/>
      <c r="P66" s="415"/>
      <c r="Q66" s="415"/>
      <c r="R66" s="414"/>
      <c r="S66" s="414"/>
      <c r="T66" s="41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c r="BC66" s="404"/>
      <c r="BD66" s="404"/>
      <c r="BE66" s="404"/>
      <c r="BF66" s="404"/>
      <c r="BG66" s="404"/>
      <c r="BH66" s="404"/>
      <c r="BI66" s="404"/>
      <c r="BJ66" s="404"/>
      <c r="BK66" s="404"/>
      <c r="BL66" s="404"/>
    </row>
    <row r="67" spans="1:64" s="460" customFormat="1" ht="15.75">
      <c r="A67" s="399"/>
      <c r="B67" s="399"/>
      <c r="C67" s="429"/>
      <c r="D67" s="429"/>
      <c r="E67" s="429"/>
      <c r="F67" s="429"/>
      <c r="G67" s="429"/>
      <c r="H67" s="311"/>
      <c r="I67" s="429"/>
      <c r="J67" s="399"/>
      <c r="K67" s="406"/>
      <c r="L67" s="403"/>
      <c r="M67" s="415"/>
      <c r="N67" s="414"/>
      <c r="O67" s="415"/>
      <c r="P67" s="415"/>
      <c r="Q67" s="415"/>
      <c r="R67" s="414"/>
      <c r="S67" s="414"/>
      <c r="T67" s="41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4"/>
      <c r="AZ67" s="404"/>
      <c r="BA67" s="404"/>
      <c r="BB67" s="404"/>
      <c r="BC67" s="404"/>
      <c r="BD67" s="404"/>
      <c r="BE67" s="404"/>
      <c r="BF67" s="404"/>
      <c r="BG67" s="404"/>
      <c r="BH67" s="404"/>
      <c r="BI67" s="404"/>
      <c r="BJ67" s="404"/>
      <c r="BK67" s="404"/>
      <c r="BL67" s="404"/>
    </row>
    <row r="68" spans="1:64" s="460" customFormat="1" ht="15.75">
      <c r="A68" s="399"/>
      <c r="B68" s="399"/>
      <c r="C68" s="429"/>
      <c r="D68" s="429"/>
      <c r="E68" s="429"/>
      <c r="F68" s="429"/>
      <c r="G68" s="429"/>
      <c r="H68" s="311"/>
      <c r="I68" s="429"/>
      <c r="J68" s="399"/>
      <c r="K68" s="406"/>
      <c r="L68" s="403"/>
      <c r="M68" s="415"/>
      <c r="N68" s="414"/>
      <c r="O68" s="415"/>
      <c r="P68" s="415"/>
      <c r="Q68" s="415"/>
      <c r="R68" s="414"/>
      <c r="S68" s="414"/>
      <c r="T68" s="41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c r="AY68" s="404"/>
      <c r="AZ68" s="404"/>
      <c r="BA68" s="404"/>
      <c r="BB68" s="404"/>
      <c r="BC68" s="404"/>
      <c r="BD68" s="404"/>
      <c r="BE68" s="404"/>
      <c r="BF68" s="404"/>
      <c r="BG68" s="404"/>
      <c r="BH68" s="404"/>
      <c r="BI68" s="404"/>
      <c r="BJ68" s="404"/>
      <c r="BK68" s="404"/>
      <c r="BL68" s="404"/>
    </row>
    <row r="69" spans="1:64" ht="15.75">
      <c r="A69"/>
      <c r="B69"/>
      <c r="C69" s="310"/>
      <c r="D69" s="310"/>
      <c r="E69" s="310"/>
      <c r="F69" s="310"/>
      <c r="G69" s="310"/>
      <c r="H69" s="311"/>
      <c r="I69" s="310"/>
      <c r="J69"/>
      <c r="K69" s="36"/>
      <c r="L69" s="33"/>
      <c r="M69" s="54"/>
      <c r="N69" s="53"/>
      <c r="O69" s="54"/>
      <c r="P69" s="54"/>
      <c r="Q69" s="54"/>
      <c r="R69" s="53"/>
      <c r="S69" s="53"/>
      <c r="T69" s="53"/>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row>
    <row r="70" spans="1:64" ht="15.75">
      <c r="A70"/>
      <c r="B70"/>
      <c r="C70" s="310"/>
      <c r="D70" s="310"/>
      <c r="E70" s="310"/>
      <c r="F70" s="310"/>
      <c r="G70" s="310"/>
      <c r="H70" s="311"/>
      <c r="I70" s="310"/>
      <c r="J70"/>
      <c r="K70" s="36"/>
      <c r="L70" s="33"/>
      <c r="M70" s="54"/>
      <c r="N70" s="53"/>
      <c r="O70" s="54"/>
      <c r="P70" s="54"/>
      <c r="Q70" s="54"/>
      <c r="R70" s="53"/>
      <c r="S70" s="53"/>
      <c r="T70" s="53"/>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row>
    <row r="71" spans="1:64" ht="15.75">
      <c r="A71"/>
      <c r="B71"/>
      <c r="C71" s="310"/>
      <c r="D71" s="310"/>
      <c r="E71" s="310"/>
      <c r="F71" s="310"/>
      <c r="G71" s="310"/>
      <c r="H71" s="311"/>
      <c r="I71" s="310"/>
      <c r="J71"/>
      <c r="K71" s="36"/>
      <c r="L71" s="33"/>
      <c r="M71" s="54"/>
      <c r="N71" s="53"/>
      <c r="O71" s="54"/>
      <c r="P71" s="54"/>
      <c r="Q71" s="54"/>
      <c r="R71" s="53"/>
      <c r="S71" s="53"/>
      <c r="T71" s="53"/>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2" spans="1:64" ht="15.75">
      <c r="A72"/>
      <c r="B72"/>
      <c r="C72" s="310"/>
      <c r="D72" s="310"/>
      <c r="E72" s="310"/>
      <c r="F72" s="310"/>
      <c r="G72" s="310"/>
      <c r="H72" s="311" t="str">
        <f>H1</f>
        <v>Attachment O-EIA Non-Levelized Generic</v>
      </c>
      <c r="I72" s="429"/>
      <c r="J72" s="395"/>
      <c r="K72" s="406"/>
      <c r="L72" s="33"/>
      <c r="M72" s="54"/>
      <c r="N72" s="53"/>
      <c r="O72" s="54"/>
      <c r="P72" s="54"/>
      <c r="Q72" s="54"/>
      <c r="R72" s="53"/>
      <c r="S72" s="53"/>
      <c r="T72" s="53"/>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64" ht="15">
      <c r="B73" s="35"/>
      <c r="C73" s="35"/>
      <c r="D73" s="38"/>
      <c r="E73" s="35"/>
      <c r="F73" s="35"/>
      <c r="G73" s="35"/>
      <c r="H73" s="36"/>
      <c r="I73" s="36"/>
      <c r="J73" s="36"/>
      <c r="K73" s="37" t="s">
        <v>638</v>
      </c>
      <c r="L73" s="37"/>
      <c r="M73" s="54"/>
      <c r="N73" s="53"/>
      <c r="O73" s="54"/>
      <c r="P73" s="54"/>
      <c r="Q73" s="54"/>
      <c r="R73" s="53"/>
      <c r="S73" s="53"/>
      <c r="T73" s="53"/>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row>
    <row r="74" spans="1:64" ht="15">
      <c r="B74" s="36"/>
      <c r="C74" s="36"/>
      <c r="D74" s="36"/>
      <c r="E74" s="36"/>
      <c r="F74" s="36"/>
      <c r="G74" s="36"/>
      <c r="H74" s="36"/>
      <c r="I74" s="36"/>
      <c r="J74" s="36"/>
      <c r="K74" s="36"/>
      <c r="L74" s="33"/>
      <c r="M74" s="54"/>
      <c r="N74" s="53"/>
      <c r="O74" s="54"/>
      <c r="P74" s="54"/>
      <c r="Q74" s="54"/>
      <c r="R74" s="53"/>
      <c r="S74" s="53"/>
      <c r="T74" s="53"/>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row>
    <row r="75" spans="1:64" ht="15">
      <c r="B75" s="35" t="str">
        <f>B4</f>
        <v xml:space="preserve">Formula Rate - Non-Levelized </v>
      </c>
      <c r="C75" s="35"/>
      <c r="D75" s="38" t="str">
        <f>D4</f>
        <v xml:space="preserve">   Rate Formula Template</v>
      </c>
      <c r="E75" s="35"/>
      <c r="F75" s="35"/>
      <c r="G75" s="35"/>
      <c r="H75" s="35"/>
      <c r="I75" s="35" t="str">
        <f>I4</f>
        <v>For the 12 months ended 12/31/14</v>
      </c>
      <c r="J75" s="35"/>
      <c r="K75" s="35"/>
      <c r="L75" s="72"/>
      <c r="M75" s="54"/>
      <c r="N75" s="53"/>
      <c r="O75" s="73"/>
      <c r="P75" s="73"/>
      <c r="Q75" s="73"/>
      <c r="R75" s="53"/>
      <c r="S75" s="53"/>
      <c r="T75" s="53"/>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row>
    <row r="76" spans="1:64" ht="15">
      <c r="B76" s="35"/>
      <c r="C76" s="41" t="s">
        <v>364</v>
      </c>
      <c r="D76" s="41" t="str">
        <f>D5</f>
        <v>Utilizing EIA Form 412 Data</v>
      </c>
      <c r="E76" s="41"/>
      <c r="F76" s="41"/>
      <c r="G76" s="41"/>
      <c r="H76" s="41"/>
      <c r="I76" s="41"/>
      <c r="J76" s="41"/>
      <c r="K76" s="41"/>
      <c r="L76" s="74"/>
      <c r="M76" s="54"/>
      <c r="N76" s="53"/>
      <c r="O76" s="54"/>
      <c r="P76" s="75"/>
      <c r="Q76" s="73"/>
      <c r="R76" s="53"/>
      <c r="S76" s="53"/>
      <c r="T76" s="53"/>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row>
    <row r="77" spans="1:64" ht="15">
      <c r="B77" s="35"/>
      <c r="C77" s="41" t="s">
        <v>364</v>
      </c>
      <c r="D77" s="41" t="s">
        <v>364</v>
      </c>
      <c r="E77" s="41"/>
      <c r="F77" s="41"/>
      <c r="G77" s="41" t="s">
        <v>364</v>
      </c>
      <c r="H77" s="41"/>
      <c r="I77" s="41"/>
      <c r="J77" s="41"/>
      <c r="K77" s="41"/>
      <c r="L77" s="74"/>
      <c r="M77" s="73"/>
      <c r="N77" s="53"/>
      <c r="O77" s="75"/>
      <c r="P77" s="75"/>
      <c r="Q77" s="73"/>
      <c r="R77" s="53"/>
      <c r="S77" s="53"/>
      <c r="T77" s="53"/>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row>
    <row r="78" spans="1:64" ht="15">
      <c r="B78" s="35"/>
      <c r="C78" s="36"/>
      <c r="D78" s="41" t="str">
        <f>D7</f>
        <v>Delano</v>
      </c>
      <c r="E78" s="41"/>
      <c r="F78" s="41"/>
      <c r="G78" s="41"/>
      <c r="H78" s="41"/>
      <c r="I78" s="41"/>
      <c r="J78" s="41"/>
      <c r="K78" s="41"/>
      <c r="L78" s="74"/>
      <c r="M78" s="73"/>
      <c r="N78" s="53"/>
      <c r="O78" s="75"/>
      <c r="P78" s="75"/>
      <c r="Q78" s="73"/>
      <c r="R78" s="53"/>
      <c r="S78" s="53"/>
      <c r="T78" s="53"/>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row>
    <row r="79" spans="1:64" ht="15">
      <c r="B79" s="39" t="s">
        <v>639</v>
      </c>
      <c r="C79" s="39" t="s">
        <v>640</v>
      </c>
      <c r="D79" s="39" t="s">
        <v>641</v>
      </c>
      <c r="E79" s="41" t="s">
        <v>364</v>
      </c>
      <c r="F79" s="41"/>
      <c r="G79" s="76" t="s">
        <v>642</v>
      </c>
      <c r="H79" s="41"/>
      <c r="I79" s="77" t="s">
        <v>643</v>
      </c>
      <c r="J79" s="41"/>
      <c r="K79" s="39"/>
      <c r="L79" s="74"/>
      <c r="M79" s="73"/>
      <c r="N79" s="53"/>
      <c r="O79" s="78"/>
      <c r="P79" s="75"/>
      <c r="Q79" s="73"/>
      <c r="R79" s="53"/>
      <c r="S79" s="53"/>
      <c r="T79" s="53"/>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row>
    <row r="80" spans="1:64" s="402" customFormat="1" ht="15.75">
      <c r="A80" s="42" t="s">
        <v>593</v>
      </c>
      <c r="B80" s="35"/>
      <c r="C80" s="79" t="s">
        <v>302</v>
      </c>
      <c r="D80" s="407"/>
      <c r="E80" s="408"/>
      <c r="F80" s="408"/>
      <c r="G80" s="421"/>
      <c r="H80" s="408"/>
      <c r="I80" s="80" t="s">
        <v>322</v>
      </c>
      <c r="J80" s="408"/>
      <c r="K80" s="407"/>
      <c r="L80" s="419"/>
      <c r="M80" s="418"/>
      <c r="N80" s="414"/>
      <c r="O80" s="422"/>
      <c r="P80" s="420"/>
      <c r="Q80" s="418"/>
      <c r="R80" s="414"/>
      <c r="S80" s="414"/>
      <c r="T80" s="41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4"/>
      <c r="AZ80" s="404"/>
      <c r="BA80" s="404"/>
      <c r="BB80" s="404"/>
      <c r="BC80" s="404"/>
      <c r="BD80" s="404"/>
      <c r="BE80" s="404"/>
      <c r="BF80" s="404"/>
      <c r="BG80" s="404"/>
      <c r="BH80" s="404"/>
      <c r="BI80" s="404"/>
      <c r="BJ80" s="404"/>
      <c r="BK80" s="404"/>
      <c r="BL80" s="404"/>
    </row>
    <row r="81" spans="1:64" ht="16.5" thickBot="1">
      <c r="A81" s="46" t="s">
        <v>595</v>
      </c>
      <c r="B81" s="84" t="s">
        <v>647</v>
      </c>
      <c r="C81" s="81" t="s">
        <v>303</v>
      </c>
      <c r="D81" s="80" t="s">
        <v>644</v>
      </c>
      <c r="E81" s="41"/>
      <c r="F81" s="80" t="s">
        <v>645</v>
      </c>
      <c r="G81" s="39"/>
      <c r="H81" s="41"/>
      <c r="I81" s="83" t="s">
        <v>646</v>
      </c>
      <c r="J81" s="41"/>
      <c r="K81" s="39"/>
      <c r="L81" s="74"/>
      <c r="M81" s="73"/>
      <c r="N81" s="53"/>
      <c r="O81" s="78"/>
      <c r="P81" s="78"/>
      <c r="Q81" s="73"/>
      <c r="R81" s="53"/>
      <c r="S81" s="53"/>
      <c r="T81" s="53"/>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row>
    <row r="82" spans="1:64" ht="15">
      <c r="A82" s="42"/>
      <c r="B82" s="35" t="s">
        <v>857</v>
      </c>
      <c r="C82" s="41"/>
      <c r="D82" s="41"/>
      <c r="E82" s="41"/>
      <c r="F82" s="41"/>
      <c r="G82" s="41"/>
      <c r="H82" s="41"/>
      <c r="I82" s="41"/>
      <c r="J82" s="41"/>
      <c r="K82" s="41"/>
      <c r="L82" s="33"/>
      <c r="M82" s="73"/>
      <c r="N82" s="53"/>
      <c r="O82" s="75"/>
      <c r="P82" s="75"/>
      <c r="Q82" s="73"/>
      <c r="R82" s="53"/>
      <c r="S82" s="53"/>
      <c r="T82" s="53"/>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row>
    <row r="83" spans="1:64" ht="15">
      <c r="A83" s="42">
        <v>1</v>
      </c>
      <c r="B83" s="35" t="s">
        <v>648</v>
      </c>
      <c r="C83" s="41" t="s">
        <v>299</v>
      </c>
      <c r="D83" s="85">
        <f>'EIA412 ELECTRIC PLANT'!G15</f>
        <v>8607735.0099999998</v>
      </c>
      <c r="E83" s="41"/>
      <c r="F83" s="41" t="s">
        <v>649</v>
      </c>
      <c r="G83" s="86" t="s">
        <v>364</v>
      </c>
      <c r="H83" s="41"/>
      <c r="I83" s="41" t="s">
        <v>364</v>
      </c>
      <c r="J83" s="41"/>
      <c r="K83" s="41"/>
      <c r="L83" s="33"/>
      <c r="M83" s="73"/>
      <c r="N83" s="53"/>
      <c r="O83" s="52"/>
      <c r="P83" s="75"/>
      <c r="Q83" s="73"/>
      <c r="R83" s="53"/>
      <c r="S83" s="53"/>
      <c r="T83" s="53"/>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row>
    <row r="84" spans="1:64" ht="15">
      <c r="A84" s="42">
        <v>2</v>
      </c>
      <c r="B84" s="35" t="s">
        <v>650</v>
      </c>
      <c r="C84" s="41" t="s">
        <v>300</v>
      </c>
      <c r="D84" s="85">
        <f>'EIA412 ELECTRIC PLANT'!G17</f>
        <v>2738706</v>
      </c>
      <c r="E84" s="41"/>
      <c r="F84" s="41" t="s">
        <v>602</v>
      </c>
      <c r="G84" s="86">
        <f>I220</f>
        <v>1</v>
      </c>
      <c r="H84" s="41"/>
      <c r="I84" s="41">
        <f>+G84*D84</f>
        <v>2738706</v>
      </c>
      <c r="J84" s="41"/>
      <c r="K84" s="41"/>
      <c r="L84" s="33"/>
      <c r="M84" s="73"/>
      <c r="N84" s="53"/>
      <c r="O84" s="52"/>
      <c r="P84" s="75"/>
      <c r="Q84" s="73"/>
      <c r="R84" s="53"/>
      <c r="S84" s="53"/>
      <c r="T84" s="53"/>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row>
    <row r="85" spans="1:64" ht="15">
      <c r="A85" s="42">
        <v>3</v>
      </c>
      <c r="B85" s="35" t="s">
        <v>651</v>
      </c>
      <c r="C85" s="41" t="s">
        <v>301</v>
      </c>
      <c r="D85" s="85">
        <f>'EIA412 ELECTRIC PLANT'!G18</f>
        <v>5864492.8300000001</v>
      </c>
      <c r="E85" s="41"/>
      <c r="F85" s="41" t="s">
        <v>649</v>
      </c>
      <c r="G85" s="86" t="s">
        <v>364</v>
      </c>
      <c r="H85" s="41"/>
      <c r="I85" s="41" t="s">
        <v>364</v>
      </c>
      <c r="J85" s="41"/>
      <c r="K85" s="41"/>
      <c r="L85" s="33"/>
      <c r="M85" s="73"/>
      <c r="N85" s="53"/>
      <c r="O85" s="52"/>
      <c r="P85" s="75"/>
      <c r="Q85" s="73"/>
      <c r="R85" s="53"/>
      <c r="S85" s="53"/>
      <c r="T85" s="53"/>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row>
    <row r="86" spans="1:64" ht="15">
      <c r="A86" s="42">
        <v>4</v>
      </c>
      <c r="B86" s="35" t="s">
        <v>652</v>
      </c>
      <c r="C86" s="41" t="s">
        <v>858</v>
      </c>
      <c r="D86" s="85">
        <f>'EIA412 ELECTRIC PLANT'!G19</f>
        <v>1854762.11</v>
      </c>
      <c r="E86" s="41"/>
      <c r="F86" s="41" t="s">
        <v>653</v>
      </c>
      <c r="G86" s="86">
        <f>I236</f>
        <v>4.616793167125207E-2</v>
      </c>
      <c r="H86" s="41"/>
      <c r="I86" s="41">
        <f>+G86*D86</f>
        <v>85630.530360907316</v>
      </c>
      <c r="J86" s="41"/>
      <c r="K86" s="41"/>
      <c r="L86" s="74"/>
      <c r="M86" s="73"/>
      <c r="N86" s="53"/>
      <c r="O86" s="52"/>
      <c r="P86" s="78"/>
      <c r="Q86" s="73"/>
      <c r="R86" s="53"/>
      <c r="S86" s="53"/>
      <c r="T86" s="53"/>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row>
    <row r="87" spans="1:64" ht="15.75" thickBot="1">
      <c r="A87" s="42">
        <v>5</v>
      </c>
      <c r="B87" s="35" t="s">
        <v>654</v>
      </c>
      <c r="C87" s="41"/>
      <c r="D87" s="87">
        <v>0</v>
      </c>
      <c r="E87" s="41"/>
      <c r="F87" s="41" t="s">
        <v>655</v>
      </c>
      <c r="G87" s="86">
        <f>K240</f>
        <v>4.616793167125207E-2</v>
      </c>
      <c r="H87" s="41"/>
      <c r="I87" s="56">
        <f>+G87*D87</f>
        <v>0</v>
      </c>
      <c r="J87" s="41"/>
      <c r="K87" s="41"/>
      <c r="L87" s="74"/>
      <c r="M87" s="73"/>
      <c r="N87" s="53"/>
      <c r="O87" s="52"/>
      <c r="P87" s="78"/>
      <c r="Q87" s="73"/>
      <c r="R87" s="53"/>
      <c r="S87" s="53"/>
      <c r="T87" s="53"/>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row>
    <row r="88" spans="1:64" ht="15">
      <c r="A88" s="42">
        <v>6</v>
      </c>
      <c r="B88" s="35" t="s">
        <v>656</v>
      </c>
      <c r="C88" s="41"/>
      <c r="D88" s="41">
        <f>SUM(D83:D87)</f>
        <v>19065695.949999999</v>
      </c>
      <c r="E88" s="41"/>
      <c r="F88" s="41" t="s">
        <v>657</v>
      </c>
      <c r="G88" s="88">
        <f>IF(I88&gt;0,I88/D88,0)</f>
        <v>0.14813708021819719</v>
      </c>
      <c r="H88" s="41"/>
      <c r="I88" s="41">
        <f>SUM(I83:I87)</f>
        <v>2824336.5303609073</v>
      </c>
      <c r="J88" s="41"/>
      <c r="K88" s="88"/>
      <c r="L88" s="33"/>
      <c r="M88" s="73"/>
      <c r="N88" s="53"/>
      <c r="O88" s="75"/>
      <c r="P88" s="75"/>
      <c r="Q88" s="73"/>
      <c r="R88" s="53"/>
      <c r="S88" s="53"/>
      <c r="T88" s="53"/>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row>
    <row r="89" spans="1:64" ht="15">
      <c r="B89" s="35"/>
      <c r="C89" s="41"/>
      <c r="D89" s="41"/>
      <c r="E89" s="41"/>
      <c r="F89" s="41"/>
      <c r="G89" s="88"/>
      <c r="H89" s="41"/>
      <c r="I89" s="41"/>
      <c r="J89" s="41"/>
      <c r="K89" s="88"/>
      <c r="L89" s="33"/>
      <c r="M89" s="73"/>
      <c r="N89" s="53"/>
      <c r="O89" s="75"/>
      <c r="P89" s="75"/>
      <c r="Q89" s="73"/>
      <c r="R89" s="53"/>
      <c r="S89" s="53"/>
      <c r="T89" s="53"/>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row>
    <row r="90" spans="1:64" ht="15">
      <c r="B90" s="35" t="s">
        <v>859</v>
      </c>
      <c r="C90" s="41"/>
      <c r="D90" s="41"/>
      <c r="E90" s="41"/>
      <c r="F90" s="41"/>
      <c r="G90" s="41"/>
      <c r="H90" s="41"/>
      <c r="I90" s="41"/>
      <c r="J90" s="41"/>
      <c r="K90" s="41"/>
      <c r="L90" s="33"/>
      <c r="M90" s="73"/>
      <c r="N90" s="53"/>
      <c r="O90" s="75"/>
      <c r="P90" s="75"/>
      <c r="Q90" s="73"/>
      <c r="R90" s="53"/>
      <c r="S90" s="53"/>
      <c r="T90" s="53"/>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row>
    <row r="91" spans="1:64" ht="15">
      <c r="A91" s="42">
        <v>7</v>
      </c>
      <c r="B91" s="35" t="str">
        <f>+B83</f>
        <v xml:space="preserve">  Production</v>
      </c>
      <c r="C91" s="58"/>
      <c r="D91" s="89">
        <f>'EIA412 ELECTRIC PLANT'!I14</f>
        <v>4235944.5357142854</v>
      </c>
      <c r="E91" s="41"/>
      <c r="F91" s="41" t="str">
        <f t="shared" ref="F91:G95" si="0">+F83</f>
        <v>NA</v>
      </c>
      <c r="G91" s="86" t="str">
        <f t="shared" si="0"/>
        <v xml:space="preserve"> </v>
      </c>
      <c r="H91" s="41"/>
      <c r="I91" s="41" t="s">
        <v>364</v>
      </c>
      <c r="J91" s="41"/>
      <c r="K91" s="41"/>
      <c r="L91" s="33"/>
      <c r="M91" s="73"/>
      <c r="N91" s="53"/>
      <c r="O91" s="75"/>
      <c r="P91" s="75"/>
      <c r="Q91" s="73"/>
      <c r="R91" s="53"/>
      <c r="S91" s="53"/>
      <c r="T91" s="53"/>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row>
    <row r="92" spans="1:64" ht="15">
      <c r="A92" s="42">
        <v>8</v>
      </c>
      <c r="B92" s="35" t="str">
        <f>+B84</f>
        <v xml:space="preserve">  Transmission</v>
      </c>
      <c r="C92" s="58"/>
      <c r="D92" s="89">
        <f>'EIA412 ELECTRIC PLANT'!I15</f>
        <v>1687057.1</v>
      </c>
      <c r="E92" s="41"/>
      <c r="F92" s="41" t="str">
        <f t="shared" si="0"/>
        <v>TP</v>
      </c>
      <c r="G92" s="86">
        <f t="shared" si="0"/>
        <v>1</v>
      </c>
      <c r="H92" s="41"/>
      <c r="I92" s="41">
        <f>+G92*D92</f>
        <v>1687057.1</v>
      </c>
      <c r="J92" s="41"/>
      <c r="K92" s="41"/>
      <c r="L92" s="33"/>
      <c r="M92" s="73"/>
      <c r="N92" s="53"/>
      <c r="O92" s="75"/>
      <c r="P92" s="75"/>
      <c r="Q92" s="73"/>
      <c r="R92" s="53"/>
      <c r="S92" s="53"/>
      <c r="T92" s="53"/>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row>
    <row r="93" spans="1:64" ht="15">
      <c r="A93" s="42">
        <v>9</v>
      </c>
      <c r="B93" s="35" t="str">
        <f>+B85</f>
        <v xml:space="preserve">  Distribution</v>
      </c>
      <c r="C93" s="58"/>
      <c r="D93" s="89">
        <f>'EIA412 ELECTRIC PLANT'!I17</f>
        <v>1629188.7640000002</v>
      </c>
      <c r="E93" s="41"/>
      <c r="F93" s="41" t="str">
        <f t="shared" si="0"/>
        <v>NA</v>
      </c>
      <c r="G93" s="86" t="str">
        <f t="shared" si="0"/>
        <v xml:space="preserve"> </v>
      </c>
      <c r="H93" s="41"/>
      <c r="I93" s="41" t="s">
        <v>364</v>
      </c>
      <c r="J93" s="41"/>
      <c r="K93" s="41"/>
      <c r="L93" s="33"/>
      <c r="M93" s="73"/>
      <c r="N93" s="53"/>
      <c r="O93" s="75"/>
      <c r="P93" s="75"/>
      <c r="Q93" s="73"/>
      <c r="R93" s="53"/>
      <c r="S93" s="53"/>
      <c r="T93" s="53"/>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row>
    <row r="94" spans="1:64" ht="15">
      <c r="A94" s="42">
        <v>10</v>
      </c>
      <c r="B94" s="35" t="str">
        <f>+B86</f>
        <v xml:space="preserve">  General &amp; Intangible</v>
      </c>
      <c r="C94" s="58"/>
      <c r="D94" s="89">
        <f>'EIA412 ELECTRIC PLANT'!I18</f>
        <v>1113775.2962432767</v>
      </c>
      <c r="E94" s="41"/>
      <c r="F94" s="41" t="str">
        <f t="shared" si="0"/>
        <v>W/S</v>
      </c>
      <c r="G94" s="86">
        <f t="shared" si="0"/>
        <v>4.616793167125207E-2</v>
      </c>
      <c r="H94" s="41"/>
      <c r="I94" s="41">
        <f>+G94*D94</f>
        <v>51420.701774088127</v>
      </c>
      <c r="J94" s="41"/>
      <c r="K94" s="41"/>
      <c r="L94" s="33"/>
      <c r="M94" s="73"/>
      <c r="N94" s="53"/>
      <c r="O94" s="75"/>
      <c r="P94" s="78"/>
      <c r="Q94" s="73"/>
      <c r="R94" s="53"/>
      <c r="S94" s="53"/>
      <c r="T94" s="53"/>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row>
    <row r="95" spans="1:64" ht="15.75" thickBot="1">
      <c r="A95" s="42">
        <v>11</v>
      </c>
      <c r="B95" s="35" t="str">
        <f>+B87</f>
        <v xml:space="preserve">  Common</v>
      </c>
      <c r="C95" s="41"/>
      <c r="D95" s="87">
        <v>0</v>
      </c>
      <c r="E95" s="41"/>
      <c r="F95" s="41" t="str">
        <f t="shared" si="0"/>
        <v>CE</v>
      </c>
      <c r="G95" s="86">
        <f t="shared" si="0"/>
        <v>4.616793167125207E-2</v>
      </c>
      <c r="H95" s="41"/>
      <c r="I95" s="56">
        <f>+G95*D95</f>
        <v>0</v>
      </c>
      <c r="J95" s="41"/>
      <c r="K95" s="41"/>
      <c r="L95" s="33"/>
      <c r="M95" s="73"/>
      <c r="N95" s="53"/>
      <c r="O95" s="75"/>
      <c r="P95" s="78"/>
      <c r="Q95" s="73"/>
      <c r="R95" s="53"/>
      <c r="S95" s="53"/>
      <c r="T95" s="53"/>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row>
    <row r="96" spans="1:64" ht="15">
      <c r="A96" s="42">
        <v>12</v>
      </c>
      <c r="B96" s="35" t="s">
        <v>658</v>
      </c>
      <c r="C96" s="41"/>
      <c r="D96" s="41">
        <f>SUM(D91:D95)</f>
        <v>8665965.695957562</v>
      </c>
      <c r="E96" s="41"/>
      <c r="F96" s="41"/>
      <c r="G96" s="41"/>
      <c r="H96" s="41"/>
      <c r="I96" s="41">
        <f>SUM(I91:I95)</f>
        <v>1738477.8017740883</v>
      </c>
      <c r="J96" s="41"/>
      <c r="K96" s="41"/>
      <c r="L96" s="33"/>
      <c r="M96" s="73"/>
      <c r="N96" s="53"/>
      <c r="O96" s="90"/>
      <c r="P96" s="75"/>
      <c r="Q96" s="73"/>
      <c r="R96" s="53"/>
      <c r="S96" s="53"/>
      <c r="T96" s="53"/>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row>
    <row r="97" spans="1:64" ht="15">
      <c r="A97" s="42"/>
      <c r="C97" s="41" t="s">
        <v>364</v>
      </c>
      <c r="E97" s="41"/>
      <c r="F97" s="41"/>
      <c r="G97" s="88"/>
      <c r="H97" s="41"/>
      <c r="J97" s="41"/>
      <c r="K97" s="88"/>
      <c r="L97" s="33"/>
      <c r="M97" s="73"/>
      <c r="N97" s="53"/>
      <c r="O97" s="75"/>
      <c r="P97" s="75"/>
      <c r="Q97" s="73"/>
      <c r="R97" s="53"/>
      <c r="S97" s="53"/>
      <c r="T97" s="53"/>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row>
    <row r="98" spans="1:64" ht="15">
      <c r="A98" s="42"/>
      <c r="B98" s="35" t="s">
        <v>659</v>
      </c>
      <c r="C98" s="41"/>
      <c r="D98" s="41"/>
      <c r="E98" s="41"/>
      <c r="F98" s="41"/>
      <c r="G98" s="41"/>
      <c r="H98" s="41"/>
      <c r="I98" s="41"/>
      <c r="J98" s="41"/>
      <c r="K98" s="41"/>
      <c r="L98" s="33"/>
      <c r="M98" s="73"/>
      <c r="N98" s="53"/>
      <c r="O98" s="75"/>
      <c r="P98" s="75"/>
      <c r="Q98" s="73"/>
      <c r="R98" s="53"/>
      <c r="S98" s="53"/>
      <c r="T98" s="53"/>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row>
    <row r="99" spans="1:64" ht="15">
      <c r="A99" s="42">
        <v>13</v>
      </c>
      <c r="B99" s="35" t="str">
        <f>+B91</f>
        <v xml:space="preserve">  Production</v>
      </c>
      <c r="C99" s="41" t="s">
        <v>660</v>
      </c>
      <c r="D99" s="41">
        <f>D83-D91</f>
        <v>4371790.4742857143</v>
      </c>
      <c r="E99" s="41"/>
      <c r="F99" s="41"/>
      <c r="G99" s="88"/>
      <c r="H99" s="41"/>
      <c r="I99" s="41" t="s">
        <v>364</v>
      </c>
      <c r="J99" s="41"/>
      <c r="K99" s="88"/>
      <c r="L99" s="33"/>
      <c r="M99" s="73"/>
      <c r="N99" s="53"/>
      <c r="O99" s="75"/>
      <c r="P99" s="75"/>
      <c r="Q99" s="73"/>
      <c r="R99" s="53"/>
      <c r="S99" s="53"/>
      <c r="T99" s="53"/>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row>
    <row r="100" spans="1:64" ht="15">
      <c r="A100" s="42">
        <v>14</v>
      </c>
      <c r="B100" s="35" t="str">
        <f>+B92</f>
        <v xml:space="preserve">  Transmission</v>
      </c>
      <c r="C100" s="41" t="s">
        <v>661</v>
      </c>
      <c r="D100" s="41">
        <f>D84-D92</f>
        <v>1051648.8999999999</v>
      </c>
      <c r="E100" s="41"/>
      <c r="F100" s="41"/>
      <c r="G100" s="86"/>
      <c r="H100" s="41"/>
      <c r="I100" s="41">
        <f>I84-I92</f>
        <v>1051648.8999999999</v>
      </c>
      <c r="J100" s="41"/>
      <c r="K100" s="88"/>
      <c r="L100" s="33"/>
      <c r="M100" s="73"/>
      <c r="N100" s="53"/>
      <c r="O100" s="75"/>
      <c r="P100" s="75"/>
      <c r="Q100" s="73"/>
      <c r="R100" s="53"/>
      <c r="S100" s="53"/>
      <c r="T100" s="53"/>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row>
    <row r="101" spans="1:64" ht="15">
      <c r="A101" s="42">
        <v>15</v>
      </c>
      <c r="B101" s="35" t="str">
        <f>+B93</f>
        <v xml:space="preserve">  Distribution</v>
      </c>
      <c r="C101" s="41" t="s">
        <v>662</v>
      </c>
      <c r="D101" s="41">
        <f>D85-D93</f>
        <v>4235304.0659999996</v>
      </c>
      <c r="E101" s="41"/>
      <c r="F101" s="41"/>
      <c r="G101" s="88"/>
      <c r="H101" s="41"/>
      <c r="I101" s="41" t="s">
        <v>364</v>
      </c>
      <c r="J101" s="41"/>
      <c r="K101" s="88"/>
      <c r="L101" s="33"/>
      <c r="M101" s="73"/>
      <c r="N101" s="53"/>
      <c r="O101" s="75"/>
      <c r="P101" s="75"/>
      <c r="Q101" s="73"/>
      <c r="R101" s="53"/>
      <c r="S101" s="53"/>
      <c r="T101" s="53"/>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row>
    <row r="102" spans="1:64" ht="15">
      <c r="A102" s="42">
        <v>16</v>
      </c>
      <c r="B102" s="35" t="str">
        <f>+B94</f>
        <v xml:space="preserve">  General &amp; Intangible</v>
      </c>
      <c r="C102" s="41" t="s">
        <v>663</v>
      </c>
      <c r="D102" s="41">
        <f>D86-D94</f>
        <v>740986.81375672342</v>
      </c>
      <c r="E102" s="41"/>
      <c r="F102" s="41"/>
      <c r="G102" s="88"/>
      <c r="H102" s="41"/>
      <c r="I102" s="41">
        <f>I86-I94</f>
        <v>34209.828586819189</v>
      </c>
      <c r="J102" s="41"/>
      <c r="K102" s="88"/>
      <c r="L102" s="33"/>
      <c r="M102" s="73"/>
      <c r="N102" s="53"/>
      <c r="O102" s="75"/>
      <c r="P102" s="78"/>
      <c r="Q102" s="73"/>
      <c r="R102" s="53"/>
      <c r="S102" s="53"/>
      <c r="T102" s="53"/>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row>
    <row r="103" spans="1:64" ht="15.75" thickBot="1">
      <c r="A103" s="42">
        <v>17</v>
      </c>
      <c r="B103" s="35" t="str">
        <f>+B95</f>
        <v xml:space="preserve">  Common</v>
      </c>
      <c r="C103" s="41" t="s">
        <v>664</v>
      </c>
      <c r="D103" s="56">
        <f>D87-D95</f>
        <v>0</v>
      </c>
      <c r="E103" s="41"/>
      <c r="F103" s="41"/>
      <c r="G103" s="88"/>
      <c r="H103" s="41"/>
      <c r="I103" s="56">
        <f>I87-I95</f>
        <v>0</v>
      </c>
      <c r="J103" s="41"/>
      <c r="K103" s="88"/>
      <c r="L103" s="33"/>
      <c r="M103" s="73"/>
      <c r="N103" s="53"/>
      <c r="O103" s="75"/>
      <c r="P103" s="78"/>
      <c r="Q103" s="73"/>
      <c r="R103" s="53"/>
      <c r="S103" s="53"/>
      <c r="T103" s="53"/>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row>
    <row r="104" spans="1:64" ht="15">
      <c r="A104" s="42">
        <v>18</v>
      </c>
      <c r="B104" s="35" t="s">
        <v>665</v>
      </c>
      <c r="C104" s="41"/>
      <c r="D104" s="41">
        <f>SUM(D99:D103)</f>
        <v>10399730.254042437</v>
      </c>
      <c r="E104" s="41"/>
      <c r="F104" s="41" t="s">
        <v>666</v>
      </c>
      <c r="G104" s="88">
        <f>IF(I104&gt;0,I104/D104,0)</f>
        <v>0.1044122012842342</v>
      </c>
      <c r="H104" s="41"/>
      <c r="I104" s="41">
        <f>SUM(I99:I103)</f>
        <v>1085858.728586819</v>
      </c>
      <c r="J104" s="41"/>
      <c r="K104" s="41"/>
      <c r="L104" s="33"/>
      <c r="M104" s="73"/>
      <c r="N104" s="53"/>
      <c r="O104" s="91"/>
      <c r="P104" s="75"/>
      <c r="Q104" s="73"/>
      <c r="R104" s="53"/>
      <c r="S104" s="53"/>
      <c r="T104" s="53"/>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row>
    <row r="105" spans="1:64" ht="15">
      <c r="A105" s="42"/>
      <c r="C105" s="41"/>
      <c r="E105" s="41"/>
      <c r="H105" s="41"/>
      <c r="J105" s="41"/>
      <c r="K105" s="88"/>
      <c r="L105" s="33"/>
      <c r="M105" s="73"/>
      <c r="N105" s="53"/>
      <c r="O105" s="75"/>
      <c r="P105" s="75"/>
      <c r="Q105" s="73"/>
      <c r="R105" s="53"/>
      <c r="S105" s="53"/>
      <c r="T105" s="53"/>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row>
    <row r="106" spans="1:64" ht="15">
      <c r="A106" s="42"/>
      <c r="B106" s="35" t="s">
        <v>667</v>
      </c>
      <c r="C106" s="41"/>
      <c r="D106" s="41"/>
      <c r="E106" s="41"/>
      <c r="F106" s="41"/>
      <c r="G106" s="41"/>
      <c r="H106" s="41"/>
      <c r="I106" s="41"/>
      <c r="J106" s="41"/>
      <c r="K106" s="41"/>
      <c r="L106" s="33"/>
      <c r="M106" s="73"/>
      <c r="N106" s="53"/>
      <c r="O106" s="75"/>
      <c r="P106" s="75"/>
      <c r="Q106" s="73"/>
      <c r="R106" s="53"/>
      <c r="S106" s="53"/>
      <c r="T106" s="53"/>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row>
    <row r="107" spans="1:64" ht="15">
      <c r="A107" s="42">
        <v>19</v>
      </c>
      <c r="B107" s="35" t="s">
        <v>668</v>
      </c>
      <c r="C107" s="41"/>
      <c r="D107" s="89">
        <v>0</v>
      </c>
      <c r="E107" s="41"/>
      <c r="F107" s="41"/>
      <c r="G107" s="92" t="s">
        <v>669</v>
      </c>
      <c r="H107" s="41"/>
      <c r="I107" s="41">
        <v>0</v>
      </c>
      <c r="J107" s="41"/>
      <c r="K107" s="88"/>
      <c r="L107" s="33"/>
      <c r="M107" s="73"/>
      <c r="N107" s="53"/>
      <c r="O107" s="93"/>
      <c r="P107" s="78"/>
      <c r="Q107" s="73"/>
      <c r="R107" s="53"/>
      <c r="S107" s="53"/>
      <c r="T107" s="53"/>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row>
    <row r="108" spans="1:64" ht="15">
      <c r="A108" s="42">
        <v>20</v>
      </c>
      <c r="B108" s="35" t="s">
        <v>670</v>
      </c>
      <c r="C108" s="41"/>
      <c r="D108" s="89">
        <v>0</v>
      </c>
      <c r="E108" s="41"/>
      <c r="F108" s="41" t="s">
        <v>671</v>
      </c>
      <c r="G108" s="86">
        <f>+G104</f>
        <v>0.1044122012842342</v>
      </c>
      <c r="H108" s="41"/>
      <c r="I108" s="41">
        <f>D108*G108</f>
        <v>0</v>
      </c>
      <c r="J108" s="41"/>
      <c r="K108" s="88"/>
      <c r="L108" s="33"/>
      <c r="M108" s="73"/>
      <c r="N108" s="53"/>
      <c r="O108" s="93"/>
      <c r="P108" s="78"/>
      <c r="Q108" s="73"/>
      <c r="R108" s="53"/>
      <c r="S108" s="53"/>
      <c r="T108" s="53"/>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row>
    <row r="109" spans="1:64" ht="15">
      <c r="A109" s="42">
        <v>21</v>
      </c>
      <c r="B109" s="35" t="s">
        <v>672</v>
      </c>
      <c r="C109" s="41"/>
      <c r="D109" s="85">
        <v>0</v>
      </c>
      <c r="E109" s="41"/>
      <c r="F109" s="41" t="s">
        <v>671</v>
      </c>
      <c r="G109" s="86">
        <f>+G108</f>
        <v>0.1044122012842342</v>
      </c>
      <c r="H109" s="41"/>
      <c r="I109" s="41">
        <f>D109*G109</f>
        <v>0</v>
      </c>
      <c r="J109" s="41"/>
      <c r="K109" s="88"/>
      <c r="L109" s="33"/>
      <c r="M109" s="73"/>
      <c r="N109" s="53"/>
      <c r="O109" s="93"/>
      <c r="P109" s="78"/>
      <c r="Q109" s="73"/>
      <c r="R109" s="53"/>
      <c r="S109" s="53"/>
      <c r="T109" s="53"/>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row>
    <row r="110" spans="1:64" ht="15">
      <c r="A110" s="42">
        <v>22</v>
      </c>
      <c r="B110" s="35" t="s">
        <v>673</v>
      </c>
      <c r="C110" s="41"/>
      <c r="D110" s="85">
        <v>0</v>
      </c>
      <c r="E110" s="41"/>
      <c r="F110" s="41" t="str">
        <f>+F109</f>
        <v>NP</v>
      </c>
      <c r="G110" s="86">
        <f>+G109</f>
        <v>0.1044122012842342</v>
      </c>
      <c r="H110" s="41"/>
      <c r="I110" s="41">
        <f>D110*G110</f>
        <v>0</v>
      </c>
      <c r="J110" s="41"/>
      <c r="K110" s="88"/>
      <c r="L110" s="33"/>
      <c r="M110" s="73"/>
      <c r="N110" s="53"/>
      <c r="O110" s="93"/>
      <c r="P110" s="78"/>
      <c r="Q110" s="73"/>
      <c r="R110" s="53"/>
      <c r="S110" s="53"/>
      <c r="T110" s="53"/>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row>
    <row r="111" spans="1:64" ht="15.75" thickBot="1">
      <c r="A111" s="42">
        <v>23</v>
      </c>
      <c r="B111" s="312" t="s">
        <v>674</v>
      </c>
      <c r="D111" s="87">
        <v>0</v>
      </c>
      <c r="E111" s="41"/>
      <c r="F111" s="41" t="s">
        <v>671</v>
      </c>
      <c r="G111" s="86">
        <f>+G109</f>
        <v>0.1044122012842342</v>
      </c>
      <c r="H111" s="41"/>
      <c r="I111" s="56">
        <f>D111*G111</f>
        <v>0</v>
      </c>
      <c r="J111" s="41"/>
      <c r="K111" s="41"/>
      <c r="L111" s="33"/>
      <c r="M111" s="73"/>
      <c r="N111" s="53"/>
      <c r="O111" s="90"/>
      <c r="P111" s="75"/>
      <c r="Q111" s="73"/>
      <c r="R111" s="53"/>
      <c r="S111" s="53"/>
      <c r="T111" s="53"/>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row>
    <row r="112" spans="1:64" ht="15">
      <c r="A112" s="42">
        <v>24</v>
      </c>
      <c r="B112" s="35" t="s">
        <v>675</v>
      </c>
      <c r="C112" s="41"/>
      <c r="D112" s="41">
        <f>SUM(D107:D111)</f>
        <v>0</v>
      </c>
      <c r="E112" s="41"/>
      <c r="F112" s="41"/>
      <c r="G112" s="41"/>
      <c r="H112" s="41"/>
      <c r="I112" s="41">
        <f>SUM(I107:I111)</f>
        <v>0</v>
      </c>
      <c r="J112" s="41"/>
      <c r="K112" s="88"/>
      <c r="L112" s="33"/>
      <c r="M112" s="73"/>
      <c r="N112" s="53"/>
      <c r="O112" s="75"/>
      <c r="P112" s="75"/>
      <c r="Q112" s="73"/>
      <c r="R112" s="53"/>
      <c r="S112" s="53"/>
      <c r="T112" s="53"/>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row>
    <row r="113" spans="1:64" ht="15">
      <c r="A113" s="42"/>
      <c r="B113" s="35"/>
      <c r="C113" s="41"/>
      <c r="D113" s="41"/>
      <c r="E113" s="41"/>
      <c r="F113" s="41"/>
      <c r="G113" s="41"/>
      <c r="H113" s="41"/>
      <c r="I113" s="41"/>
      <c r="J113" s="41"/>
      <c r="K113" s="88"/>
      <c r="L113" s="33"/>
      <c r="M113" s="73"/>
      <c r="N113" s="53"/>
      <c r="O113" s="75"/>
      <c r="P113" s="75"/>
      <c r="Q113" s="73"/>
      <c r="R113" s="53"/>
      <c r="S113" s="53"/>
      <c r="T113" s="53"/>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row>
    <row r="114" spans="1:64" ht="15">
      <c r="A114" s="42">
        <v>25</v>
      </c>
      <c r="B114" s="35" t="s">
        <v>676</v>
      </c>
      <c r="C114" s="41" t="s">
        <v>304</v>
      </c>
      <c r="D114" s="89">
        <v>0</v>
      </c>
      <c r="E114" s="41"/>
      <c r="F114" s="41" t="str">
        <f>+F92</f>
        <v>TP</v>
      </c>
      <c r="G114" s="86">
        <f>+G92</f>
        <v>1</v>
      </c>
      <c r="H114" s="41"/>
      <c r="I114" s="41">
        <f>+G114*D114</f>
        <v>0</v>
      </c>
      <c r="J114" s="41"/>
      <c r="K114" s="41"/>
      <c r="L114" s="33"/>
      <c r="M114" s="73"/>
      <c r="N114" s="53"/>
      <c r="O114" s="75"/>
      <c r="P114" s="75"/>
      <c r="Q114" s="73"/>
      <c r="R114" s="53"/>
      <c r="S114" s="53"/>
      <c r="T114" s="53"/>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row>
    <row r="115" spans="1:64" ht="15">
      <c r="A115" s="42"/>
      <c r="B115" s="35"/>
      <c r="C115" s="41"/>
      <c r="D115" s="41"/>
      <c r="E115" s="41"/>
      <c r="F115" s="41"/>
      <c r="G115" s="41"/>
      <c r="H115" s="41"/>
      <c r="I115" s="41"/>
      <c r="J115" s="41"/>
      <c r="K115" s="41"/>
      <c r="L115" s="33"/>
      <c r="M115" s="73"/>
      <c r="N115" s="53"/>
      <c r="O115" s="75"/>
      <c r="P115" s="75"/>
      <c r="Q115" s="73"/>
      <c r="R115" s="53"/>
      <c r="S115" s="53"/>
      <c r="T115" s="53"/>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row>
    <row r="116" spans="1:64" ht="15">
      <c r="A116" s="42"/>
      <c r="B116" s="35" t="s">
        <v>677</v>
      </c>
      <c r="C116" s="41" t="s">
        <v>678</v>
      </c>
      <c r="D116" s="41"/>
      <c r="E116" s="41"/>
      <c r="F116" s="41"/>
      <c r="G116" s="41"/>
      <c r="H116" s="41"/>
      <c r="I116" s="41"/>
      <c r="J116" s="41"/>
      <c r="K116" s="41"/>
      <c r="L116" s="33"/>
      <c r="M116" s="73"/>
      <c r="N116" s="53"/>
      <c r="O116" s="75"/>
      <c r="P116" s="75"/>
      <c r="Q116" s="73"/>
      <c r="R116" s="53"/>
      <c r="S116" s="53"/>
      <c r="T116" s="53"/>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row>
    <row r="117" spans="1:64" ht="15">
      <c r="A117" s="42">
        <v>26</v>
      </c>
      <c r="B117" s="35" t="s">
        <v>679</v>
      </c>
      <c r="D117" s="41">
        <f>D158/8</f>
        <v>129740.71</v>
      </c>
      <c r="E117" s="41"/>
      <c r="F117" s="41"/>
      <c r="G117" s="88"/>
      <c r="H117" s="41"/>
      <c r="I117" s="41">
        <f>I158/8</f>
        <v>10208.859777212132</v>
      </c>
      <c r="J117" s="36"/>
      <c r="K117" s="88"/>
      <c r="L117" s="33"/>
      <c r="M117" s="73"/>
      <c r="N117" s="53"/>
      <c r="O117" s="94"/>
      <c r="P117" s="95"/>
      <c r="Q117" s="73"/>
      <c r="R117" s="53"/>
      <c r="S117" s="53"/>
      <c r="T117" s="53"/>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row>
    <row r="118" spans="1:64" ht="15">
      <c r="A118" s="42">
        <v>27</v>
      </c>
      <c r="B118" s="35" t="s">
        <v>680</v>
      </c>
      <c r="C118" s="58" t="s">
        <v>681</v>
      </c>
      <c r="D118" s="89">
        <v>0</v>
      </c>
      <c r="E118" s="41"/>
      <c r="F118" s="41" t="s">
        <v>682</v>
      </c>
      <c r="G118" s="86">
        <f>I229</f>
        <v>1</v>
      </c>
      <c r="H118" s="41"/>
      <c r="I118" s="41">
        <f>G118*D118</f>
        <v>0</v>
      </c>
      <c r="J118" s="41" t="s">
        <v>364</v>
      </c>
      <c r="K118" s="88"/>
      <c r="L118" s="33"/>
      <c r="M118" s="73"/>
      <c r="N118" s="53"/>
      <c r="O118" s="94"/>
      <c r="P118" s="78"/>
      <c r="Q118" s="73"/>
      <c r="R118" s="53"/>
      <c r="S118" s="53"/>
      <c r="T118" s="53"/>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row>
    <row r="119" spans="1:64" ht="15.75" thickBot="1">
      <c r="A119" s="42">
        <v>28</v>
      </c>
      <c r="B119" s="35" t="s">
        <v>683</v>
      </c>
      <c r="C119" s="96" t="s">
        <v>17</v>
      </c>
      <c r="D119" s="87">
        <f>'EIA412 BALANCE SHEET'!C46</f>
        <v>7051</v>
      </c>
      <c r="E119" s="41"/>
      <c r="F119" s="41" t="s">
        <v>684</v>
      </c>
      <c r="G119" s="86">
        <f>+G88</f>
        <v>0.14813708021819719</v>
      </c>
      <c r="H119" s="41"/>
      <c r="I119" s="56">
        <f>+G119*D119</f>
        <v>1044.5145526185083</v>
      </c>
      <c r="J119" s="41"/>
      <c r="K119" s="88"/>
      <c r="L119" s="33"/>
      <c r="M119" s="73"/>
      <c r="N119" s="53"/>
      <c r="O119" s="94"/>
      <c r="P119" s="78"/>
      <c r="Q119" s="73"/>
      <c r="R119" s="53"/>
      <c r="S119" s="53"/>
      <c r="T119" s="53"/>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row>
    <row r="120" spans="1:64" ht="15">
      <c r="A120" s="42">
        <v>29</v>
      </c>
      <c r="B120" s="35" t="s">
        <v>685</v>
      </c>
      <c r="C120" s="36"/>
      <c r="D120" s="41">
        <f>D117+D118+D119</f>
        <v>136791.71000000002</v>
      </c>
      <c r="E120" s="36"/>
      <c r="F120" s="36"/>
      <c r="G120" s="36"/>
      <c r="H120" s="36"/>
      <c r="I120" s="41">
        <f>I117+I118+I119</f>
        <v>11253.37432983064</v>
      </c>
      <c r="J120" s="36"/>
      <c r="K120" s="36"/>
      <c r="L120" s="33"/>
      <c r="M120" s="73"/>
      <c r="N120" s="53"/>
      <c r="O120" s="90"/>
      <c r="P120" s="75"/>
      <c r="Q120" s="73"/>
      <c r="R120" s="53"/>
      <c r="S120" s="53"/>
      <c r="T120" s="53"/>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row>
    <row r="121" spans="1:64" ht="15.75" thickBot="1">
      <c r="C121" s="41"/>
      <c r="D121" s="97"/>
      <c r="E121" s="41"/>
      <c r="F121" s="41"/>
      <c r="G121" s="41"/>
      <c r="H121" s="41"/>
      <c r="I121" s="97"/>
      <c r="J121" s="41"/>
      <c r="K121" s="41"/>
      <c r="L121" s="33"/>
      <c r="M121" s="73"/>
      <c r="N121" s="53"/>
      <c r="O121" s="75"/>
      <c r="P121" s="75"/>
      <c r="Q121" s="73"/>
      <c r="R121" s="53"/>
      <c r="S121" s="53"/>
      <c r="T121" s="53"/>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row>
    <row r="122" spans="1:64" ht="15.75" thickBot="1">
      <c r="A122" s="42">
        <v>30</v>
      </c>
      <c r="B122" s="35" t="s">
        <v>686</v>
      </c>
      <c r="C122" s="41"/>
      <c r="D122" s="98">
        <f>+D120+D114+D112+D104</f>
        <v>10536521.964042438</v>
      </c>
      <c r="E122" s="41"/>
      <c r="F122" s="41"/>
      <c r="G122" s="88"/>
      <c r="H122" s="41"/>
      <c r="I122" s="98">
        <f>+I120+I114+I112+I104</f>
        <v>1097112.1029166498</v>
      </c>
      <c r="J122" s="41"/>
      <c r="K122" s="88"/>
      <c r="L122" s="74"/>
      <c r="M122" s="73"/>
      <c r="N122" s="53"/>
      <c r="O122" s="75"/>
      <c r="P122" s="75"/>
      <c r="Q122" s="73"/>
      <c r="R122" s="53"/>
      <c r="S122" s="53"/>
      <c r="T122" s="53"/>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row>
    <row r="123" spans="1:64" ht="15.75" thickTop="1">
      <c r="A123" s="42"/>
      <c r="B123" s="35"/>
      <c r="C123" s="41"/>
      <c r="D123" s="41"/>
      <c r="E123" s="41"/>
      <c r="F123" s="41"/>
      <c r="G123" s="41"/>
      <c r="H123" s="41"/>
      <c r="I123" s="41"/>
      <c r="J123" s="41"/>
      <c r="K123" s="41"/>
      <c r="L123" s="74"/>
      <c r="M123" s="54"/>
      <c r="N123" s="53"/>
      <c r="O123" s="75"/>
      <c r="P123" s="75"/>
      <c r="Q123" s="73"/>
      <c r="R123" s="53"/>
      <c r="S123" s="53"/>
      <c r="T123" s="53"/>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row>
    <row r="124" spans="1:64" ht="15.75">
      <c r="A124"/>
      <c r="B124"/>
      <c r="C124" s="310"/>
      <c r="D124" s="310"/>
      <c r="E124" s="310"/>
      <c r="F124" s="310"/>
      <c r="G124" s="310"/>
      <c r="H124" s="311"/>
      <c r="I124" s="310"/>
      <c r="J124"/>
      <c r="K124" s="41"/>
      <c r="L124" s="74"/>
      <c r="M124" s="54"/>
      <c r="N124" s="53"/>
      <c r="O124" s="75"/>
      <c r="P124" s="75"/>
      <c r="Q124" s="73"/>
      <c r="R124" s="53"/>
      <c r="S124" s="53"/>
      <c r="T124" s="53"/>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row>
    <row r="125" spans="1:64" ht="15.75">
      <c r="A125"/>
      <c r="B125"/>
      <c r="C125" s="310"/>
      <c r="D125" s="310"/>
      <c r="E125" s="310"/>
      <c r="F125" s="310"/>
      <c r="G125" s="310"/>
      <c r="H125" s="311"/>
      <c r="I125" s="310"/>
      <c r="J125" s="310"/>
      <c r="K125" s="41"/>
      <c r="L125" s="74"/>
      <c r="M125" s="54"/>
      <c r="N125" s="53"/>
      <c r="O125" s="75"/>
      <c r="P125" s="75"/>
      <c r="Q125" s="73"/>
      <c r="R125" s="53"/>
      <c r="S125" s="53"/>
      <c r="T125" s="53"/>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row>
    <row r="126" spans="1:64" ht="15.75">
      <c r="A126"/>
      <c r="B126"/>
      <c r="C126" s="310"/>
      <c r="D126" s="310"/>
      <c r="E126" s="310"/>
      <c r="F126" s="310"/>
      <c r="G126" s="310"/>
      <c r="H126" s="311"/>
      <c r="I126" s="310"/>
      <c r="J126" s="310"/>
      <c r="K126" s="41"/>
      <c r="L126" s="74"/>
      <c r="M126" s="54"/>
      <c r="N126" s="53"/>
      <c r="O126" s="75"/>
      <c r="P126" s="75"/>
      <c r="Q126" s="73"/>
      <c r="R126" s="53"/>
      <c r="S126" s="53"/>
      <c r="T126" s="53"/>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row>
    <row r="127" spans="1:64" ht="15.75">
      <c r="A127"/>
      <c r="B127"/>
      <c r="C127" s="310"/>
      <c r="D127" s="310"/>
      <c r="E127" s="310"/>
      <c r="F127" s="310"/>
      <c r="G127" s="310"/>
      <c r="H127" s="311"/>
      <c r="I127" s="310"/>
      <c r="J127" s="310"/>
      <c r="K127" s="41"/>
      <c r="L127" s="74"/>
      <c r="M127" s="54"/>
      <c r="N127" s="53"/>
      <c r="O127" s="75"/>
      <c r="P127" s="75"/>
      <c r="Q127" s="73"/>
      <c r="R127" s="53"/>
      <c r="S127" s="53"/>
      <c r="T127" s="53"/>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row>
    <row r="128" spans="1:64" ht="15.75">
      <c r="A128"/>
      <c r="B128"/>
      <c r="C128" s="310"/>
      <c r="D128" s="310"/>
      <c r="E128" s="310"/>
      <c r="F128" s="310"/>
      <c r="G128" s="310"/>
      <c r="H128" s="311"/>
      <c r="I128" s="310"/>
      <c r="J128" s="310"/>
      <c r="K128" s="41"/>
      <c r="L128" s="74"/>
      <c r="M128" s="54"/>
      <c r="N128" s="53"/>
      <c r="O128" s="75"/>
      <c r="P128" s="75"/>
      <c r="Q128" s="73"/>
      <c r="R128" s="53"/>
      <c r="S128" s="53"/>
      <c r="T128" s="53"/>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row>
    <row r="129" spans="1:64" ht="15.75">
      <c r="A129"/>
      <c r="B129"/>
      <c r="C129" s="310"/>
      <c r="D129" s="310"/>
      <c r="E129" s="310"/>
      <c r="F129" s="310"/>
      <c r="G129" s="310"/>
      <c r="H129" s="311"/>
      <c r="I129" s="310"/>
      <c r="J129" s="310"/>
      <c r="K129" s="41"/>
      <c r="L129" s="74"/>
      <c r="M129" s="54"/>
      <c r="N129" s="53"/>
      <c r="O129" s="75"/>
      <c r="P129" s="75"/>
      <c r="Q129" s="73"/>
      <c r="R129" s="53"/>
      <c r="S129" s="53"/>
      <c r="T129" s="53"/>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row>
    <row r="130" spans="1:64" s="460" customFormat="1" ht="15.75">
      <c r="A130" s="399"/>
      <c r="B130" s="399"/>
      <c r="C130" s="429"/>
      <c r="D130" s="429"/>
      <c r="E130" s="429"/>
      <c r="F130" s="429"/>
      <c r="G130" s="429"/>
      <c r="H130" s="311"/>
      <c r="I130" s="429"/>
      <c r="J130" s="429"/>
      <c r="K130" s="408"/>
      <c r="L130" s="419"/>
      <c r="M130" s="415"/>
      <c r="N130" s="414"/>
      <c r="O130" s="420"/>
      <c r="P130" s="420"/>
      <c r="Q130" s="418"/>
      <c r="R130" s="414"/>
      <c r="S130" s="414"/>
      <c r="T130" s="41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4"/>
      <c r="AY130" s="404"/>
      <c r="AZ130" s="404"/>
      <c r="BA130" s="404"/>
      <c r="BB130" s="404"/>
      <c r="BC130" s="404"/>
      <c r="BD130" s="404"/>
      <c r="BE130" s="404"/>
      <c r="BF130" s="404"/>
      <c r="BG130" s="404"/>
      <c r="BH130" s="404"/>
      <c r="BI130" s="404"/>
      <c r="BJ130" s="404"/>
      <c r="BK130" s="404"/>
      <c r="BL130" s="404"/>
    </row>
    <row r="131" spans="1:64" s="460" customFormat="1" ht="15.75">
      <c r="A131" s="399"/>
      <c r="B131" s="399"/>
      <c r="C131" s="429"/>
      <c r="D131" s="429"/>
      <c r="E131" s="429"/>
      <c r="F131" s="429"/>
      <c r="G131" s="429"/>
      <c r="H131" s="311"/>
      <c r="I131" s="429"/>
      <c r="J131" s="429"/>
      <c r="K131" s="408"/>
      <c r="L131" s="419"/>
      <c r="M131" s="415"/>
      <c r="N131" s="414"/>
      <c r="O131" s="420"/>
      <c r="P131" s="420"/>
      <c r="Q131" s="418"/>
      <c r="R131" s="414"/>
      <c r="S131" s="414"/>
      <c r="T131" s="41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4"/>
      <c r="AY131" s="404"/>
      <c r="AZ131" s="404"/>
      <c r="BA131" s="404"/>
      <c r="BB131" s="404"/>
      <c r="BC131" s="404"/>
      <c r="BD131" s="404"/>
      <c r="BE131" s="404"/>
      <c r="BF131" s="404"/>
      <c r="BG131" s="404"/>
      <c r="BH131" s="404"/>
      <c r="BI131" s="404"/>
      <c r="BJ131" s="404"/>
      <c r="BK131" s="404"/>
      <c r="BL131" s="404"/>
    </row>
    <row r="132" spans="1:64" s="460" customFormat="1" ht="15.75">
      <c r="A132" s="399"/>
      <c r="B132" s="399"/>
      <c r="C132" s="429"/>
      <c r="D132" s="429"/>
      <c r="E132" s="429"/>
      <c r="F132" s="429"/>
      <c r="G132" s="429"/>
      <c r="H132" s="311"/>
      <c r="I132" s="429"/>
      <c r="J132" s="429"/>
      <c r="K132" s="408"/>
      <c r="L132" s="419"/>
      <c r="M132" s="415"/>
      <c r="N132" s="414"/>
      <c r="O132" s="420"/>
      <c r="P132" s="420"/>
      <c r="Q132" s="418"/>
      <c r="R132" s="414"/>
      <c r="S132" s="414"/>
      <c r="T132" s="41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4"/>
      <c r="AY132" s="404"/>
      <c r="AZ132" s="404"/>
      <c r="BA132" s="404"/>
      <c r="BB132" s="404"/>
      <c r="BC132" s="404"/>
      <c r="BD132" s="404"/>
      <c r="BE132" s="404"/>
      <c r="BF132" s="404"/>
      <c r="BG132" s="404"/>
      <c r="BH132" s="404"/>
      <c r="BI132" s="404"/>
      <c r="BJ132" s="404"/>
      <c r="BK132" s="404"/>
      <c r="BL132" s="404"/>
    </row>
    <row r="133" spans="1:64" s="460" customFormat="1" ht="15.75">
      <c r="A133" s="399"/>
      <c r="B133" s="399"/>
      <c r="C133" s="429"/>
      <c r="D133" s="429"/>
      <c r="E133" s="429"/>
      <c r="F133" s="429"/>
      <c r="G133" s="429"/>
      <c r="H133" s="311"/>
      <c r="I133" s="429"/>
      <c r="J133" s="429"/>
      <c r="K133" s="408"/>
      <c r="L133" s="419"/>
      <c r="M133" s="415"/>
      <c r="N133" s="414"/>
      <c r="O133" s="420"/>
      <c r="P133" s="420"/>
      <c r="Q133" s="418"/>
      <c r="R133" s="414"/>
      <c r="S133" s="414"/>
      <c r="T133" s="41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4"/>
      <c r="AY133" s="404"/>
      <c r="AZ133" s="404"/>
      <c r="BA133" s="404"/>
      <c r="BB133" s="404"/>
      <c r="BC133" s="404"/>
      <c r="BD133" s="404"/>
      <c r="BE133" s="404"/>
      <c r="BF133" s="404"/>
      <c r="BG133" s="404"/>
      <c r="BH133" s="404"/>
      <c r="BI133" s="404"/>
      <c r="BJ133" s="404"/>
      <c r="BK133" s="404"/>
      <c r="BL133" s="404"/>
    </row>
    <row r="134" spans="1:64" s="460" customFormat="1" ht="15.75">
      <c r="A134" s="399"/>
      <c r="B134" s="399"/>
      <c r="C134" s="429"/>
      <c r="D134" s="429"/>
      <c r="E134" s="429"/>
      <c r="F134" s="429"/>
      <c r="G134" s="429"/>
      <c r="H134" s="311"/>
      <c r="I134" s="429"/>
      <c r="J134" s="429"/>
      <c r="K134" s="408"/>
      <c r="L134" s="419"/>
      <c r="M134" s="415"/>
      <c r="N134" s="414"/>
      <c r="O134" s="420"/>
      <c r="P134" s="420"/>
      <c r="Q134" s="418"/>
      <c r="R134" s="414"/>
      <c r="S134" s="414"/>
      <c r="T134" s="41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4"/>
      <c r="AY134" s="404"/>
      <c r="AZ134" s="404"/>
      <c r="BA134" s="404"/>
      <c r="BB134" s="404"/>
      <c r="BC134" s="404"/>
      <c r="BD134" s="404"/>
      <c r="BE134" s="404"/>
      <c r="BF134" s="404"/>
      <c r="BG134" s="404"/>
      <c r="BH134" s="404"/>
      <c r="BI134" s="404"/>
      <c r="BJ134" s="404"/>
      <c r="BK134" s="404"/>
      <c r="BL134" s="404"/>
    </row>
    <row r="135" spans="1:64" ht="15.75">
      <c r="A135"/>
      <c r="B135"/>
      <c r="C135" s="310"/>
      <c r="D135" s="310"/>
      <c r="E135" s="310"/>
      <c r="F135" s="310"/>
      <c r="G135" s="310"/>
      <c r="H135" s="311"/>
      <c r="I135" s="310"/>
      <c r="J135" s="310"/>
      <c r="K135" s="41"/>
      <c r="L135" s="74"/>
      <c r="M135" s="54"/>
      <c r="N135" s="53"/>
      <c r="O135" s="75"/>
      <c r="P135" s="75"/>
      <c r="Q135" s="73"/>
      <c r="R135" s="53"/>
      <c r="S135" s="53"/>
      <c r="T135" s="53"/>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row>
    <row r="136" spans="1:64" ht="15">
      <c r="A136" s="42"/>
      <c r="B136" s="35"/>
      <c r="C136" s="41"/>
      <c r="D136" s="41"/>
      <c r="E136" s="41"/>
      <c r="F136" s="41"/>
      <c r="G136" s="41"/>
      <c r="H136" s="41"/>
      <c r="I136" s="41"/>
      <c r="J136" s="41"/>
      <c r="K136" s="41"/>
      <c r="L136" s="74"/>
      <c r="M136" s="54"/>
      <c r="N136" s="53"/>
      <c r="O136" s="75"/>
      <c r="P136" s="75"/>
      <c r="Q136" s="73"/>
      <c r="R136" s="53"/>
      <c r="S136" s="53"/>
      <c r="T136" s="53"/>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row>
    <row r="137" spans="1:64" ht="15">
      <c r="A137" s="42"/>
      <c r="B137" s="35"/>
      <c r="C137" s="41"/>
      <c r="D137" s="41"/>
      <c r="E137" s="41"/>
      <c r="F137" s="41"/>
      <c r="G137" s="41"/>
      <c r="H137" s="41"/>
      <c r="I137" s="41"/>
      <c r="J137" s="41"/>
      <c r="K137" s="41"/>
      <c r="L137" s="74"/>
      <c r="M137" s="54"/>
      <c r="N137" s="53"/>
      <c r="O137" s="75"/>
      <c r="P137" s="75"/>
      <c r="Q137" s="73"/>
      <c r="R137" s="53"/>
      <c r="S137" s="53"/>
      <c r="T137" s="53"/>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row>
    <row r="138" spans="1:64" ht="15">
      <c r="A138" s="42"/>
      <c r="B138" s="35"/>
      <c r="C138" s="41"/>
      <c r="D138" s="41"/>
      <c r="E138" s="41"/>
      <c r="F138" s="41"/>
      <c r="G138" s="41"/>
      <c r="H138" s="41" t="str">
        <f>H72</f>
        <v>Attachment O-EIA Non-Levelized Generic</v>
      </c>
      <c r="I138" s="41"/>
      <c r="J138" s="41"/>
      <c r="K138" s="41"/>
      <c r="L138" s="74"/>
      <c r="M138" s="54"/>
      <c r="N138" s="53"/>
      <c r="O138" s="75"/>
      <c r="P138" s="75"/>
      <c r="Q138" s="73"/>
      <c r="R138" s="53"/>
      <c r="S138" s="53"/>
      <c r="T138" s="53"/>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row>
    <row r="139" spans="1:64" ht="15">
      <c r="B139" s="35"/>
      <c r="C139" s="35"/>
      <c r="D139" s="38"/>
      <c r="E139" s="35"/>
      <c r="F139" s="35"/>
      <c r="G139" s="35"/>
      <c r="H139" s="36"/>
      <c r="I139" s="36"/>
      <c r="J139" s="36"/>
      <c r="K139" s="37" t="s">
        <v>687</v>
      </c>
      <c r="L139" s="37"/>
      <c r="M139" s="54"/>
      <c r="N139" s="53"/>
      <c r="O139" s="54"/>
      <c r="P139" s="54"/>
      <c r="Q139" s="54"/>
      <c r="R139" s="53"/>
      <c r="S139" s="53"/>
      <c r="T139" s="53"/>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row>
    <row r="140" spans="1:64" ht="15">
      <c r="A140" s="42"/>
      <c r="B140" s="35"/>
      <c r="C140" s="41"/>
      <c r="D140" s="41"/>
      <c r="E140" s="41"/>
      <c r="F140" s="41"/>
      <c r="G140" s="41"/>
      <c r="H140" s="41"/>
      <c r="I140" s="41"/>
      <c r="J140" s="41"/>
      <c r="K140" s="41"/>
      <c r="L140" s="74"/>
      <c r="M140" s="54"/>
      <c r="N140" s="53"/>
      <c r="O140" s="75"/>
      <c r="P140" s="75"/>
      <c r="Q140" s="73"/>
      <c r="R140" s="53"/>
      <c r="S140" s="53"/>
      <c r="T140" s="53"/>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row>
    <row r="141" spans="1:64" ht="15">
      <c r="A141" s="42"/>
      <c r="B141" s="35" t="str">
        <f>B4</f>
        <v xml:space="preserve">Formula Rate - Non-Levelized </v>
      </c>
      <c r="C141" s="41"/>
      <c r="D141" s="41" t="str">
        <f>D4</f>
        <v xml:space="preserve">   Rate Formula Template</v>
      </c>
      <c r="E141" s="41"/>
      <c r="F141" s="41"/>
      <c r="G141" s="41"/>
      <c r="H141" s="41"/>
      <c r="I141" s="41" t="str">
        <f>I4</f>
        <v>For the 12 months ended 12/31/14</v>
      </c>
      <c r="J141" s="41"/>
      <c r="K141" s="41"/>
      <c r="L141" s="74"/>
      <c r="M141" s="73"/>
      <c r="N141" s="53"/>
      <c r="O141" s="75"/>
      <c r="P141" s="75"/>
      <c r="Q141" s="73"/>
      <c r="R141" s="53"/>
      <c r="S141" s="53"/>
      <c r="T141" s="53"/>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row>
    <row r="142" spans="1:64" ht="15">
      <c r="A142" s="42"/>
      <c r="B142" s="35"/>
      <c r="C142" s="41"/>
      <c r="D142" s="41" t="str">
        <f>D5</f>
        <v>Utilizing EIA Form 412 Data</v>
      </c>
      <c r="E142" s="41"/>
      <c r="F142" s="41"/>
      <c r="G142" s="41"/>
      <c r="H142" s="41"/>
      <c r="I142" s="41"/>
      <c r="J142" s="41"/>
      <c r="K142" s="41"/>
      <c r="L142" s="74"/>
      <c r="M142" s="73"/>
      <c r="N142" s="53"/>
      <c r="O142" s="75"/>
      <c r="P142" s="75"/>
      <c r="Q142" s="73"/>
      <c r="R142" s="53"/>
      <c r="S142" s="53"/>
      <c r="T142" s="53"/>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row>
    <row r="143" spans="1:64" ht="15">
      <c r="A143" s="42"/>
      <c r="C143" s="41"/>
      <c r="D143" s="41"/>
      <c r="E143" s="41"/>
      <c r="F143" s="41"/>
      <c r="G143" s="41"/>
      <c r="H143" s="41"/>
      <c r="I143" s="41"/>
      <c r="J143" s="41"/>
      <c r="K143" s="41"/>
      <c r="L143" s="74"/>
      <c r="M143" s="73"/>
      <c r="N143" s="53"/>
      <c r="O143" s="75"/>
      <c r="P143" s="75"/>
      <c r="Q143" s="73"/>
      <c r="R143" s="53"/>
      <c r="S143" s="53"/>
      <c r="T143" s="53"/>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row>
    <row r="144" spans="1:64" ht="15">
      <c r="A144" s="42"/>
      <c r="C144" s="58"/>
      <c r="D144" s="58" t="str">
        <f>D7</f>
        <v>Delano</v>
      </c>
      <c r="E144" s="58"/>
      <c r="F144" s="58"/>
      <c r="G144" s="58"/>
      <c r="H144" s="58"/>
      <c r="I144" s="58"/>
      <c r="J144" s="41"/>
      <c r="K144" s="41"/>
      <c r="L144" s="74"/>
      <c r="M144" s="73"/>
      <c r="N144" s="53"/>
      <c r="O144" s="75"/>
      <c r="P144" s="75"/>
      <c r="Q144" s="73"/>
      <c r="R144" s="53"/>
      <c r="S144" s="53"/>
      <c r="T144" s="53"/>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row>
    <row r="145" spans="1:64" ht="15">
      <c r="A145" s="42"/>
      <c r="B145" s="39" t="s">
        <v>639</v>
      </c>
      <c r="C145" s="39" t="s">
        <v>640</v>
      </c>
      <c r="D145" s="39" t="s">
        <v>641</v>
      </c>
      <c r="E145" s="41" t="s">
        <v>364</v>
      </c>
      <c r="F145" s="41"/>
      <c r="G145" s="76" t="s">
        <v>642</v>
      </c>
      <c r="H145" s="41"/>
      <c r="I145" s="77" t="s">
        <v>643</v>
      </c>
      <c r="J145" s="41"/>
      <c r="K145" s="41"/>
      <c r="L145" s="74"/>
      <c r="M145" s="73"/>
      <c r="N145" s="53"/>
      <c r="O145" s="54"/>
      <c r="P145" s="75"/>
      <c r="Q145" s="73"/>
      <c r="R145" s="53"/>
      <c r="S145" s="53"/>
      <c r="T145" s="53"/>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row>
    <row r="146" spans="1:64" ht="15.75">
      <c r="A146" s="42" t="s">
        <v>593</v>
      </c>
      <c r="B146" s="39"/>
      <c r="C146" s="79" t="s">
        <v>302</v>
      </c>
      <c r="D146" s="41"/>
      <c r="E146" s="41"/>
      <c r="F146" s="41"/>
      <c r="G146" s="39"/>
      <c r="H146" s="41"/>
      <c r="I146" s="80" t="s">
        <v>322</v>
      </c>
      <c r="J146" s="99"/>
      <c r="K146" s="80"/>
      <c r="L146" s="99"/>
      <c r="M146" s="73"/>
      <c r="N146" s="53"/>
      <c r="O146" s="100"/>
      <c r="P146" s="75"/>
      <c r="Q146" s="73"/>
      <c r="R146" s="53"/>
      <c r="S146" s="53"/>
      <c r="T146" s="53"/>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row>
    <row r="147" spans="1:64" ht="16.5" thickBot="1">
      <c r="A147" s="46" t="s">
        <v>595</v>
      </c>
      <c r="B147" s="35"/>
      <c r="C147" s="81" t="s">
        <v>303</v>
      </c>
      <c r="D147" s="80" t="s">
        <v>644</v>
      </c>
      <c r="E147" s="82"/>
      <c r="F147" s="80" t="s">
        <v>645</v>
      </c>
      <c r="G147" s="58"/>
      <c r="H147" s="82"/>
      <c r="I147" s="83" t="s">
        <v>646</v>
      </c>
      <c r="J147" s="41"/>
      <c r="K147" s="80"/>
      <c r="L147" s="41"/>
      <c r="M147" s="73"/>
      <c r="N147" s="53"/>
      <c r="O147" s="101"/>
      <c r="P147" s="75"/>
      <c r="Q147" s="73"/>
      <c r="R147" s="53"/>
      <c r="S147" s="53"/>
      <c r="T147" s="53"/>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row>
    <row r="148" spans="1:64" ht="15">
      <c r="A148" s="42"/>
      <c r="B148" s="35" t="s">
        <v>860</v>
      </c>
      <c r="C148" s="41"/>
      <c r="D148" s="41"/>
      <c r="E148" s="41"/>
      <c r="F148" s="41"/>
      <c r="G148" s="41"/>
      <c r="H148" s="41"/>
      <c r="I148" s="41"/>
      <c r="J148" s="41"/>
      <c r="K148" s="41"/>
      <c r="L148" s="74"/>
      <c r="M148" s="73"/>
      <c r="N148" s="53"/>
      <c r="O148" s="75"/>
      <c r="P148" s="75"/>
      <c r="Q148" s="73"/>
      <c r="R148" s="53"/>
      <c r="S148" s="53"/>
      <c r="T148" s="53"/>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row>
    <row r="149" spans="1:64" ht="15">
      <c r="A149" s="42">
        <v>1</v>
      </c>
      <c r="B149" s="35" t="s">
        <v>688</v>
      </c>
      <c r="C149" s="58" t="s">
        <v>305</v>
      </c>
      <c r="D149" s="89">
        <f>'EIA412 OP &amp; MAINT'!F21</f>
        <v>35385.68</v>
      </c>
      <c r="E149" s="41"/>
      <c r="F149" s="41" t="s">
        <v>682</v>
      </c>
      <c r="G149" s="86">
        <f>I229</f>
        <v>1</v>
      </c>
      <c r="H149" s="41"/>
      <c r="I149" s="41">
        <f t="shared" ref="I149:I157" si="1">+G149*D149</f>
        <v>35385.68</v>
      </c>
      <c r="J149" s="36"/>
      <c r="K149" s="41"/>
      <c r="L149" s="74"/>
      <c r="M149" s="73"/>
      <c r="N149" s="53"/>
      <c r="O149" s="75"/>
      <c r="P149" s="78"/>
      <c r="Q149" s="75"/>
      <c r="R149" s="53"/>
      <c r="S149" s="53"/>
      <c r="T149" s="53"/>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row>
    <row r="150" spans="1:64" ht="15">
      <c r="A150" s="157" t="s">
        <v>48</v>
      </c>
      <c r="B150" s="158" t="s">
        <v>49</v>
      </c>
      <c r="C150" s="159"/>
      <c r="D150" s="89">
        <v>0</v>
      </c>
      <c r="E150" s="160"/>
      <c r="F150" s="160"/>
      <c r="G150" s="161">
        <v>1</v>
      </c>
      <c r="H150" s="160"/>
      <c r="I150" s="160">
        <f t="shared" si="1"/>
        <v>0</v>
      </c>
      <c r="J150" s="36"/>
      <c r="K150" s="41"/>
      <c r="L150" s="74"/>
      <c r="M150" s="73"/>
      <c r="N150" s="53"/>
      <c r="O150" s="75"/>
      <c r="P150" s="78"/>
      <c r="Q150" s="75"/>
      <c r="R150" s="53"/>
      <c r="S150" s="53"/>
      <c r="T150" s="53"/>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row>
    <row r="151" spans="1:64" ht="15">
      <c r="A151" s="42">
        <v>2</v>
      </c>
      <c r="B151" s="35" t="s">
        <v>689</v>
      </c>
      <c r="C151" s="58"/>
      <c r="D151" s="89">
        <v>0</v>
      </c>
      <c r="E151" s="41"/>
      <c r="F151" s="41" t="s">
        <v>649</v>
      </c>
      <c r="G151" s="86">
        <v>1</v>
      </c>
      <c r="H151" s="41"/>
      <c r="I151" s="41">
        <f t="shared" si="1"/>
        <v>0</v>
      </c>
      <c r="J151" s="36"/>
      <c r="K151" s="41"/>
      <c r="L151" s="74"/>
      <c r="M151" s="73"/>
      <c r="N151" s="53"/>
      <c r="O151" s="75"/>
      <c r="P151" s="78"/>
      <c r="Q151" s="75"/>
      <c r="R151" s="53"/>
      <c r="S151" s="53"/>
      <c r="T151" s="53"/>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row>
    <row r="152" spans="1:64" ht="15">
      <c r="A152" s="42">
        <v>3</v>
      </c>
      <c r="B152" s="35" t="s">
        <v>690</v>
      </c>
      <c r="C152" s="58" t="s">
        <v>306</v>
      </c>
      <c r="D152" s="89">
        <f>'EIA412 OP &amp; MAINT'!F29</f>
        <v>1002540</v>
      </c>
      <c r="E152" s="41"/>
      <c r="F152" s="41" t="s">
        <v>653</v>
      </c>
      <c r="G152" s="86">
        <f>I236</f>
        <v>4.616793167125207E-2</v>
      </c>
      <c r="H152" s="41"/>
      <c r="I152" s="41">
        <f t="shared" si="1"/>
        <v>46285.198217697049</v>
      </c>
      <c r="J152" s="41"/>
      <c r="K152" s="41" t="s">
        <v>364</v>
      </c>
      <c r="L152" s="74"/>
      <c r="M152" s="73"/>
      <c r="N152" s="53"/>
      <c r="O152" s="75"/>
      <c r="P152" s="78"/>
      <c r="Q152" s="73"/>
      <c r="R152" s="53"/>
      <c r="S152" s="53"/>
      <c r="T152" s="53"/>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row>
    <row r="153" spans="1:64" ht="15">
      <c r="A153" s="42">
        <v>4</v>
      </c>
      <c r="B153" s="35" t="s">
        <v>691</v>
      </c>
      <c r="C153" s="41"/>
      <c r="D153" s="89">
        <v>0</v>
      </c>
      <c r="E153" s="41"/>
      <c r="F153" s="41" t="str">
        <f>+F152</f>
        <v>W/S</v>
      </c>
      <c r="G153" s="86">
        <f>I236</f>
        <v>4.616793167125207E-2</v>
      </c>
      <c r="H153" s="41"/>
      <c r="I153" s="41">
        <f t="shared" si="1"/>
        <v>0</v>
      </c>
      <c r="J153" s="41"/>
      <c r="K153" s="41"/>
      <c r="L153" s="74"/>
      <c r="M153" s="73"/>
      <c r="N153" s="53"/>
      <c r="O153" s="75"/>
      <c r="P153" s="78"/>
      <c r="Q153" s="73"/>
      <c r="R153" s="53"/>
      <c r="S153" s="53"/>
      <c r="T153" s="53"/>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row>
    <row r="154" spans="1:64" ht="15">
      <c r="A154" s="42">
        <v>5</v>
      </c>
      <c r="B154" s="35" t="s">
        <v>307</v>
      </c>
      <c r="C154" s="41"/>
      <c r="D154" s="89">
        <v>0</v>
      </c>
      <c r="E154" s="41"/>
      <c r="F154" s="41" t="str">
        <f>+F153</f>
        <v>W/S</v>
      </c>
      <c r="G154" s="86">
        <f>I236</f>
        <v>4.616793167125207E-2</v>
      </c>
      <c r="H154" s="41"/>
      <c r="I154" s="41">
        <f t="shared" si="1"/>
        <v>0</v>
      </c>
      <c r="J154" s="41"/>
      <c r="K154" s="41"/>
      <c r="L154" s="74"/>
      <c r="M154" s="73"/>
      <c r="N154" s="53"/>
      <c r="O154" s="75"/>
      <c r="P154" s="78"/>
      <c r="Q154" s="73"/>
      <c r="R154" s="53"/>
      <c r="S154" s="53"/>
      <c r="T154" s="53"/>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row>
    <row r="155" spans="1:64" ht="15">
      <c r="A155" s="42" t="s">
        <v>692</v>
      </c>
      <c r="B155" s="35" t="s">
        <v>693</v>
      </c>
      <c r="C155" s="41"/>
      <c r="D155" s="89">
        <v>0</v>
      </c>
      <c r="E155" s="41"/>
      <c r="F155" s="41" t="str">
        <f>+F149</f>
        <v>TE</v>
      </c>
      <c r="G155" s="86">
        <f>+G149</f>
        <v>1</v>
      </c>
      <c r="H155" s="41"/>
      <c r="I155" s="41">
        <f t="shared" si="1"/>
        <v>0</v>
      </c>
      <c r="J155" s="41"/>
      <c r="K155" s="41"/>
      <c r="L155" s="74"/>
      <c r="M155" s="73"/>
      <c r="N155" s="53"/>
      <c r="O155" s="75"/>
      <c r="P155" s="78"/>
      <c r="Q155" s="73"/>
      <c r="R155" s="53"/>
      <c r="S155" s="53"/>
      <c r="T155" s="53"/>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row>
    <row r="156" spans="1:64" ht="15">
      <c r="A156" s="42">
        <v>6</v>
      </c>
      <c r="B156" s="35" t="s">
        <v>654</v>
      </c>
      <c r="C156" s="41"/>
      <c r="D156" s="89">
        <v>0</v>
      </c>
      <c r="E156" s="41"/>
      <c r="F156" s="41" t="s">
        <v>655</v>
      </c>
      <c r="G156" s="86">
        <f>K240</f>
        <v>4.616793167125207E-2</v>
      </c>
      <c r="H156" s="41"/>
      <c r="I156" s="41">
        <f t="shared" si="1"/>
        <v>0</v>
      </c>
      <c r="J156" s="41"/>
      <c r="K156" s="41"/>
      <c r="L156" s="74"/>
      <c r="M156" s="73"/>
      <c r="N156" s="53"/>
      <c r="O156" s="75"/>
      <c r="P156" s="78"/>
      <c r="Q156" s="73"/>
      <c r="R156" s="53"/>
      <c r="S156" s="53"/>
      <c r="T156" s="53"/>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row>
    <row r="157" spans="1:64" ht="15.75" thickBot="1">
      <c r="A157" s="42">
        <v>7</v>
      </c>
      <c r="B157" s="35" t="s">
        <v>694</v>
      </c>
      <c r="C157" s="41"/>
      <c r="D157" s="87">
        <v>0</v>
      </c>
      <c r="E157" s="41"/>
      <c r="F157" s="41" t="s">
        <v>649</v>
      </c>
      <c r="G157" s="86">
        <v>1</v>
      </c>
      <c r="H157" s="41"/>
      <c r="I157" s="56">
        <f t="shared" si="1"/>
        <v>0</v>
      </c>
      <c r="J157" s="41"/>
      <c r="K157" s="41"/>
      <c r="L157" s="74"/>
      <c r="M157" s="73"/>
      <c r="N157" s="53"/>
      <c r="O157" s="75"/>
      <c r="P157" s="95"/>
      <c r="Q157" s="73"/>
      <c r="R157" s="53"/>
      <c r="S157" s="53"/>
      <c r="T157" s="53"/>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row>
    <row r="158" spans="1:64" ht="15">
      <c r="A158" s="42">
        <v>8</v>
      </c>
      <c r="B158" s="35" t="s">
        <v>50</v>
      </c>
      <c r="C158" s="41"/>
      <c r="D158" s="41">
        <f>+D149-D150-D151+D152-D153-D154+D155+D156+D157</f>
        <v>1037925.68</v>
      </c>
      <c r="E158" s="41"/>
      <c r="F158" s="41"/>
      <c r="G158" s="41"/>
      <c r="H158" s="41"/>
      <c r="I158" s="41">
        <f>+I149-I150-I151+I152-I153-I154+I155+I156+I157</f>
        <v>81670.878217697056</v>
      </c>
      <c r="J158" s="41"/>
      <c r="K158" s="41"/>
      <c r="L158" s="74"/>
      <c r="M158" s="75"/>
      <c r="N158" s="53"/>
      <c r="O158" s="90"/>
      <c r="P158" s="102"/>
      <c r="Q158" s="73"/>
      <c r="R158" s="53"/>
      <c r="S158" s="53"/>
      <c r="T158" s="53"/>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row>
    <row r="159" spans="1:64" ht="15">
      <c r="A159" s="42"/>
      <c r="C159" s="41"/>
      <c r="E159" s="41"/>
      <c r="F159" s="41"/>
      <c r="G159" s="41"/>
      <c r="H159" s="41"/>
      <c r="J159" s="41"/>
      <c r="K159" s="41"/>
      <c r="L159" s="74"/>
      <c r="M159" s="75"/>
      <c r="N159" s="53"/>
      <c r="O159" s="75"/>
      <c r="P159" s="75"/>
      <c r="Q159" s="73"/>
      <c r="R159" s="53"/>
      <c r="S159" s="53"/>
      <c r="T159" s="53"/>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row>
    <row r="160" spans="1:64" ht="15">
      <c r="A160" s="42"/>
      <c r="B160" s="35" t="s">
        <v>861</v>
      </c>
      <c r="C160" s="41"/>
      <c r="D160" s="41"/>
      <c r="E160" s="41"/>
      <c r="F160" s="41"/>
      <c r="G160" s="41"/>
      <c r="H160" s="41"/>
      <c r="I160" s="41"/>
      <c r="J160" s="41"/>
      <c r="K160" s="41"/>
      <c r="L160" s="74"/>
      <c r="M160" s="75"/>
      <c r="N160" s="53"/>
      <c r="O160" s="75"/>
      <c r="P160" s="75"/>
      <c r="Q160" s="73"/>
      <c r="R160" s="53"/>
      <c r="S160" s="53"/>
      <c r="T160" s="53"/>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row>
    <row r="161" spans="1:64" ht="15">
      <c r="A161" s="42">
        <v>9</v>
      </c>
      <c r="B161" s="35" t="str">
        <f>+B149</f>
        <v xml:space="preserve">  Transmission </v>
      </c>
      <c r="C161" s="58" t="s">
        <v>364</v>
      </c>
      <c r="D161" s="89">
        <f>DS3_Depreciation!G11</f>
        <v>89470.199999999983</v>
      </c>
      <c r="E161" s="41"/>
      <c r="F161" s="41" t="s">
        <v>602</v>
      </c>
      <c r="G161" s="86">
        <f>+G114</f>
        <v>1</v>
      </c>
      <c r="H161" s="41"/>
      <c r="I161" s="41">
        <f>+G161*D161</f>
        <v>89470.199999999983</v>
      </c>
      <c r="J161" s="41"/>
      <c r="K161" s="88"/>
      <c r="L161" s="74"/>
      <c r="M161" s="73"/>
      <c r="N161" s="53"/>
      <c r="O161" s="75"/>
      <c r="P161" s="78"/>
      <c r="Q161" s="75"/>
      <c r="R161" s="53"/>
      <c r="S161" s="53"/>
      <c r="T161" s="53"/>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row>
    <row r="162" spans="1:64" ht="15">
      <c r="A162" s="42">
        <v>10</v>
      </c>
      <c r="B162" s="35" t="s">
        <v>652</v>
      </c>
      <c r="C162" s="58" t="s">
        <v>364</v>
      </c>
      <c r="D162" s="89">
        <f>DS3_Depreciation!G13</f>
        <v>113447.58999999998</v>
      </c>
      <c r="E162" s="41"/>
      <c r="F162" s="41" t="s">
        <v>653</v>
      </c>
      <c r="G162" s="86">
        <f>+G152</f>
        <v>4.616793167125207E-2</v>
      </c>
      <c r="H162" s="41"/>
      <c r="I162" s="41">
        <f>+G162*D162</f>
        <v>5237.6405833882191</v>
      </c>
      <c r="J162" s="41"/>
      <c r="K162" s="88"/>
      <c r="L162" s="74"/>
      <c r="M162" s="73"/>
      <c r="N162" s="53"/>
      <c r="O162" s="75"/>
      <c r="P162" s="78"/>
      <c r="Q162" s="75"/>
      <c r="R162" s="53"/>
      <c r="S162" s="53"/>
      <c r="T162" s="53"/>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row>
    <row r="163" spans="1:64" ht="15.75" thickBot="1">
      <c r="A163" s="42">
        <v>11</v>
      </c>
      <c r="B163" s="35" t="str">
        <f>+B156</f>
        <v xml:space="preserve">  Common</v>
      </c>
      <c r="C163" s="41"/>
      <c r="D163" s="87">
        <v>0</v>
      </c>
      <c r="E163" s="41"/>
      <c r="F163" s="41" t="s">
        <v>655</v>
      </c>
      <c r="G163" s="86">
        <f>+G156</f>
        <v>4.616793167125207E-2</v>
      </c>
      <c r="H163" s="41"/>
      <c r="I163" s="56">
        <f>+G163*D163</f>
        <v>0</v>
      </c>
      <c r="J163" s="41"/>
      <c r="K163" s="88"/>
      <c r="L163" s="74"/>
      <c r="M163" s="73"/>
      <c r="N163" s="53"/>
      <c r="O163" s="75"/>
      <c r="P163" s="78"/>
      <c r="Q163" s="75"/>
      <c r="R163" s="53"/>
      <c r="S163" s="53"/>
      <c r="T163" s="53"/>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row>
    <row r="164" spans="1:64" ht="15">
      <c r="A164" s="42">
        <v>12</v>
      </c>
      <c r="B164" s="35" t="s">
        <v>695</v>
      </c>
      <c r="C164" s="41"/>
      <c r="D164" s="41">
        <f>SUM(D161:D163)</f>
        <v>202917.78999999998</v>
      </c>
      <c r="E164" s="41"/>
      <c r="F164" s="41"/>
      <c r="G164" s="41"/>
      <c r="H164" s="41"/>
      <c r="I164" s="41">
        <f>SUM(I161:I163)</f>
        <v>94707.840583388199</v>
      </c>
      <c r="J164" s="41"/>
      <c r="K164" s="41"/>
      <c r="L164" s="74"/>
      <c r="M164" s="73"/>
      <c r="N164" s="53"/>
      <c r="O164" s="90"/>
      <c r="P164" s="75"/>
      <c r="Q164" s="73"/>
      <c r="R164" s="53"/>
      <c r="S164" s="53"/>
      <c r="T164" s="53"/>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row>
    <row r="165" spans="1:64" ht="15">
      <c r="A165" s="42"/>
      <c r="B165" s="35"/>
      <c r="C165" s="41"/>
      <c r="D165" s="41"/>
      <c r="E165" s="41"/>
      <c r="F165" s="41"/>
      <c r="G165" s="41"/>
      <c r="H165" s="41"/>
      <c r="I165" s="41"/>
      <c r="J165" s="41"/>
      <c r="K165" s="41"/>
      <c r="L165" s="74"/>
      <c r="M165" s="73"/>
      <c r="N165" s="53"/>
      <c r="O165" s="75"/>
      <c r="P165" s="75"/>
      <c r="Q165" s="73"/>
      <c r="R165" s="53"/>
      <c r="S165" s="53"/>
      <c r="T165" s="53"/>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row>
    <row r="166" spans="1:64" ht="15">
      <c r="A166" s="42" t="s">
        <v>364</v>
      </c>
      <c r="B166" s="35" t="s">
        <v>696</v>
      </c>
      <c r="C166" s="58"/>
      <c r="D166" s="41"/>
      <c r="E166" s="41"/>
      <c r="F166" s="41"/>
      <c r="G166" s="41"/>
      <c r="H166" s="41"/>
      <c r="I166" s="41"/>
      <c r="J166" s="41"/>
      <c r="K166" s="41"/>
      <c r="L166" s="74"/>
      <c r="M166" s="73"/>
      <c r="N166" s="53"/>
      <c r="O166" s="75"/>
      <c r="P166" s="75"/>
      <c r="Q166" s="73"/>
      <c r="R166" s="53"/>
      <c r="S166" s="53"/>
      <c r="T166" s="53"/>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row>
    <row r="167" spans="1:64" ht="15">
      <c r="A167" s="42"/>
      <c r="B167" s="35" t="s">
        <v>697</v>
      </c>
      <c r="C167" s="58"/>
      <c r="D167" s="58"/>
      <c r="E167" s="41"/>
      <c r="F167" s="41"/>
      <c r="G167" s="58"/>
      <c r="H167" s="41"/>
      <c r="I167" s="58"/>
      <c r="J167" s="41"/>
      <c r="K167" s="88"/>
      <c r="L167" s="74"/>
      <c r="M167" s="73"/>
      <c r="N167" s="53"/>
      <c r="O167" s="94"/>
      <c r="P167" s="78"/>
      <c r="Q167" s="73"/>
      <c r="R167" s="53"/>
      <c r="S167" s="53"/>
      <c r="T167" s="53"/>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row>
    <row r="168" spans="1:64" ht="15">
      <c r="A168" s="42">
        <v>13</v>
      </c>
      <c r="B168" s="35" t="s">
        <v>698</v>
      </c>
      <c r="C168" s="41"/>
      <c r="D168" s="89">
        <v>0</v>
      </c>
      <c r="E168" s="41"/>
      <c r="F168" s="41" t="s">
        <v>653</v>
      </c>
      <c r="G168" s="51">
        <f>+G162</f>
        <v>4.616793167125207E-2</v>
      </c>
      <c r="H168" s="41"/>
      <c r="I168" s="41">
        <f>+G168*D168</f>
        <v>0</v>
      </c>
      <c r="J168" s="41"/>
      <c r="K168" s="88"/>
      <c r="L168" s="74"/>
      <c r="M168" s="73"/>
      <c r="N168" s="53"/>
      <c r="O168" s="94"/>
      <c r="P168" s="78"/>
      <c r="Q168" s="73"/>
      <c r="R168" s="53"/>
      <c r="S168" s="53"/>
      <c r="T168" s="53"/>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row>
    <row r="169" spans="1:64" ht="15">
      <c r="A169" s="42">
        <v>14</v>
      </c>
      <c r="B169" s="35" t="s">
        <v>699</v>
      </c>
      <c r="C169" s="41"/>
      <c r="D169" s="89">
        <v>0</v>
      </c>
      <c r="E169" s="41"/>
      <c r="F169" s="41" t="str">
        <f>+F168</f>
        <v>W/S</v>
      </c>
      <c r="G169" s="51">
        <f>+G168</f>
        <v>4.616793167125207E-2</v>
      </c>
      <c r="H169" s="41"/>
      <c r="I169" s="41">
        <f>+G169*D169</f>
        <v>0</v>
      </c>
      <c r="J169" s="41"/>
      <c r="K169" s="88"/>
      <c r="L169" s="74"/>
      <c r="M169" s="73"/>
      <c r="N169" s="53"/>
      <c r="O169" s="94"/>
      <c r="P169" s="78"/>
      <c r="Q169" s="73"/>
      <c r="R169" s="53"/>
      <c r="S169" s="53"/>
      <c r="T169" s="53"/>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row>
    <row r="170" spans="1:64" ht="15">
      <c r="A170" s="42">
        <v>15</v>
      </c>
      <c r="B170" s="35" t="s">
        <v>700</v>
      </c>
      <c r="C170" s="41"/>
      <c r="D170" s="58"/>
      <c r="E170" s="41"/>
      <c r="F170" s="41"/>
      <c r="G170" s="58"/>
      <c r="H170" s="41"/>
      <c r="I170" s="58"/>
      <c r="J170" s="41"/>
      <c r="K170" s="88"/>
      <c r="L170" s="74"/>
      <c r="M170" s="73"/>
      <c r="N170" s="53"/>
      <c r="O170" s="94"/>
      <c r="P170" s="78"/>
      <c r="Q170" s="73"/>
      <c r="R170" s="53"/>
      <c r="S170" s="53"/>
      <c r="T170" s="53"/>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row>
    <row r="171" spans="1:64" ht="15">
      <c r="A171" s="42">
        <v>16</v>
      </c>
      <c r="B171" s="35" t="s">
        <v>701</v>
      </c>
      <c r="C171" s="41"/>
      <c r="D171" s="89">
        <v>0</v>
      </c>
      <c r="E171" s="41"/>
      <c r="F171" s="41" t="s">
        <v>684</v>
      </c>
      <c r="G171" s="51">
        <f>+G88</f>
        <v>0.14813708021819719</v>
      </c>
      <c r="H171" s="41"/>
      <c r="I171" s="41">
        <f>+G171*D171</f>
        <v>0</v>
      </c>
      <c r="J171" s="41"/>
      <c r="K171" s="88"/>
      <c r="L171" s="74"/>
      <c r="M171" s="73"/>
      <c r="N171" s="53"/>
      <c r="O171" s="94"/>
      <c r="P171" s="78"/>
      <c r="Q171" s="73"/>
      <c r="R171" s="53"/>
      <c r="S171" s="53"/>
      <c r="T171" s="53"/>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row>
    <row r="172" spans="1:64" ht="15">
      <c r="A172" s="42">
        <v>17</v>
      </c>
      <c r="B172" s="35" t="s">
        <v>702</v>
      </c>
      <c r="C172" s="41"/>
      <c r="D172" s="89">
        <v>0</v>
      </c>
      <c r="E172" s="41"/>
      <c r="F172" s="41" t="s">
        <v>649</v>
      </c>
      <c r="G172" s="103" t="s">
        <v>669</v>
      </c>
      <c r="H172" s="41"/>
      <c r="I172" s="41">
        <v>0</v>
      </c>
      <c r="J172" s="41"/>
      <c r="K172" s="88"/>
      <c r="L172" s="74"/>
      <c r="M172" s="73"/>
      <c r="N172" s="53"/>
      <c r="O172" s="94"/>
      <c r="P172" s="78"/>
      <c r="Q172" s="73"/>
      <c r="R172" s="53"/>
      <c r="S172" s="53"/>
      <c r="T172" s="53"/>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row>
    <row r="173" spans="1:64" ht="15">
      <c r="A173" s="42">
        <v>18</v>
      </c>
      <c r="B173" s="35" t="s">
        <v>703</v>
      </c>
      <c r="C173" s="41"/>
      <c r="D173" s="89">
        <v>0</v>
      </c>
      <c r="E173" s="41"/>
      <c r="F173" s="41" t="str">
        <f>+F171</f>
        <v>GP</v>
      </c>
      <c r="G173" s="51">
        <f>+G171</f>
        <v>0.14813708021819719</v>
      </c>
      <c r="H173" s="41"/>
      <c r="I173" s="41">
        <f>+G173*D173</f>
        <v>0</v>
      </c>
      <c r="J173" s="41"/>
      <c r="K173" s="88"/>
      <c r="L173" s="74"/>
      <c r="M173" s="73"/>
      <c r="N173" s="53"/>
      <c r="O173" s="94"/>
      <c r="P173" s="78"/>
      <c r="Q173" s="73"/>
      <c r="R173" s="53"/>
      <c r="S173" s="53"/>
      <c r="T173" s="53"/>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row>
    <row r="174" spans="1:64" ht="15.75" thickBot="1">
      <c r="A174" s="42">
        <v>19</v>
      </c>
      <c r="B174" s="35" t="s">
        <v>704</v>
      </c>
      <c r="C174" s="41"/>
      <c r="D174" s="87">
        <f>'EIA412 TAXES'!C18</f>
        <v>106000</v>
      </c>
      <c r="E174" s="41"/>
      <c r="F174" s="41" t="s">
        <v>684</v>
      </c>
      <c r="G174" s="51">
        <f>+G173</f>
        <v>0.14813708021819719</v>
      </c>
      <c r="H174" s="41"/>
      <c r="I174" s="56">
        <f>+G174*D174</f>
        <v>15702.530503128903</v>
      </c>
      <c r="J174" s="41"/>
      <c r="K174" s="88"/>
      <c r="L174" s="74"/>
      <c r="M174" s="73"/>
      <c r="N174" s="53"/>
      <c r="O174" s="94"/>
      <c r="P174" s="78"/>
      <c r="Q174" s="73"/>
      <c r="R174" s="53"/>
      <c r="S174" s="53"/>
      <c r="T174" s="53"/>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row>
    <row r="175" spans="1:64" ht="15">
      <c r="A175" s="42">
        <v>20</v>
      </c>
      <c r="B175" s="35" t="s">
        <v>705</v>
      </c>
      <c r="C175" s="41"/>
      <c r="D175" s="41">
        <f>SUM(D168:D174)</f>
        <v>106000</v>
      </c>
      <c r="E175" s="41"/>
      <c r="F175" s="41"/>
      <c r="G175" s="51"/>
      <c r="H175" s="41"/>
      <c r="I175" s="41">
        <f>SUM(I168:I174)</f>
        <v>15702.530503128903</v>
      </c>
      <c r="J175" s="41"/>
      <c r="K175" s="41"/>
      <c r="L175" s="74"/>
      <c r="M175" s="75"/>
      <c r="N175" s="53"/>
      <c r="O175" s="90"/>
      <c r="P175" s="75"/>
      <c r="Q175" s="73"/>
      <c r="R175" s="53"/>
      <c r="S175" s="53"/>
      <c r="T175" s="53"/>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row>
    <row r="176" spans="1:64" ht="15">
      <c r="A176" s="42" t="s">
        <v>706</v>
      </c>
      <c r="B176" s="35"/>
      <c r="C176" s="41"/>
      <c r="D176" s="41"/>
      <c r="E176" s="41"/>
      <c r="F176" s="41"/>
      <c r="G176" s="51"/>
      <c r="H176" s="41"/>
      <c r="I176" s="41"/>
      <c r="J176" s="41"/>
      <c r="K176" s="41"/>
      <c r="L176" s="74"/>
      <c r="M176" s="75"/>
      <c r="N176" s="53"/>
      <c r="O176" s="75"/>
      <c r="P176" s="75"/>
      <c r="Q176" s="73"/>
      <c r="R176" s="53"/>
      <c r="S176" s="53"/>
      <c r="T176" s="53"/>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row>
    <row r="177" spans="1:64" ht="15">
      <c r="A177" s="42" t="s">
        <v>364</v>
      </c>
      <c r="B177" s="35" t="s">
        <v>707</v>
      </c>
      <c r="C177" s="104" t="s">
        <v>708</v>
      </c>
      <c r="D177" s="41"/>
      <c r="E177" s="41"/>
      <c r="F177" s="41" t="s">
        <v>649</v>
      </c>
      <c r="G177" s="105"/>
      <c r="H177" s="41"/>
      <c r="I177" s="41"/>
      <c r="J177" s="41"/>
      <c r="K177" s="58"/>
      <c r="L177" s="74"/>
      <c r="M177" s="75"/>
      <c r="N177" s="53"/>
      <c r="O177" s="75"/>
      <c r="P177" s="95"/>
      <c r="Q177" s="75"/>
      <c r="R177" s="53"/>
      <c r="S177" s="53"/>
      <c r="T177" s="53"/>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row>
    <row r="178" spans="1:64" ht="15">
      <c r="A178" s="42">
        <v>21</v>
      </c>
      <c r="B178" s="106" t="s">
        <v>709</v>
      </c>
      <c r="C178" s="41"/>
      <c r="D178" s="107">
        <f>IF(D308&gt;0,1-(((1-D309)*(1-D308))/(1-D309*D308*D310)),0)</f>
        <v>0</v>
      </c>
      <c r="E178" s="41"/>
      <c r="G178" s="105"/>
      <c r="H178" s="41"/>
      <c r="J178" s="41"/>
      <c r="K178" s="58"/>
      <c r="L178" s="74"/>
      <c r="M178" s="75"/>
      <c r="N178" s="53"/>
      <c r="O178" s="75"/>
      <c r="P178" s="95"/>
      <c r="Q178" s="75"/>
      <c r="R178" s="53"/>
      <c r="S178" s="53"/>
      <c r="T178" s="53"/>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row>
    <row r="179" spans="1:64" ht="15">
      <c r="A179" s="42">
        <v>22</v>
      </c>
      <c r="B179" s="32" t="s">
        <v>710</v>
      </c>
      <c r="C179" s="41"/>
      <c r="D179" s="107">
        <f>IF(I250&gt;0,(D178/(1-D178))*(1-I248/I250),0)</f>
        <v>0</v>
      </c>
      <c r="E179" s="41"/>
      <c r="G179" s="105"/>
      <c r="H179" s="41"/>
      <c r="J179" s="41"/>
      <c r="K179" s="58"/>
      <c r="L179" s="74"/>
      <c r="M179" s="75"/>
      <c r="N179" s="53"/>
      <c r="O179" s="75"/>
      <c r="P179" s="78"/>
      <c r="Q179" s="75"/>
      <c r="R179" s="53"/>
      <c r="S179" s="53"/>
      <c r="T179" s="53"/>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row>
    <row r="180" spans="1:64" ht="15">
      <c r="A180" s="42"/>
      <c r="B180" s="35" t="s">
        <v>862</v>
      </c>
      <c r="C180" s="41"/>
      <c r="D180" s="41"/>
      <c r="E180" s="41"/>
      <c r="G180" s="105"/>
      <c r="H180" s="41"/>
      <c r="J180" s="41"/>
      <c r="K180" s="58"/>
      <c r="L180" s="74"/>
      <c r="M180" s="75"/>
      <c r="N180" s="53"/>
      <c r="O180" s="75"/>
      <c r="P180" s="78"/>
      <c r="Q180" s="75"/>
      <c r="R180" s="53"/>
      <c r="S180" s="53"/>
      <c r="T180" s="53"/>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row>
    <row r="181" spans="1:64" ht="15">
      <c r="A181" s="42"/>
      <c r="B181" s="35" t="s">
        <v>711</v>
      </c>
      <c r="C181" s="41"/>
      <c r="D181" s="41"/>
      <c r="E181" s="41"/>
      <c r="G181" s="105"/>
      <c r="H181" s="41"/>
      <c r="J181" s="41"/>
      <c r="K181" s="58"/>
      <c r="L181" s="74"/>
      <c r="M181" s="75"/>
      <c r="N181" s="53"/>
      <c r="O181" s="75"/>
      <c r="P181" s="78"/>
      <c r="Q181" s="75"/>
      <c r="R181" s="53"/>
      <c r="S181" s="53"/>
      <c r="T181" s="53"/>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row>
    <row r="182" spans="1:64" ht="15">
      <c r="A182" s="42">
        <v>23</v>
      </c>
      <c r="B182" s="106" t="s">
        <v>712</v>
      </c>
      <c r="C182" s="41"/>
      <c r="D182" s="108">
        <f>IF(D178&gt;0,1/(1-D178),0)</f>
        <v>0</v>
      </c>
      <c r="E182" s="41"/>
      <c r="G182" s="105"/>
      <c r="H182" s="41"/>
      <c r="J182" s="41"/>
      <c r="K182" s="58"/>
      <c r="L182" s="74"/>
      <c r="M182" s="73"/>
      <c r="N182" s="53"/>
      <c r="O182" s="75"/>
      <c r="P182" s="78"/>
      <c r="Q182" s="75"/>
      <c r="R182" s="53"/>
      <c r="S182" s="53"/>
      <c r="T182" s="53"/>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row>
    <row r="183" spans="1:64" ht="15">
      <c r="A183" s="42">
        <v>24</v>
      </c>
      <c r="B183" s="35" t="s">
        <v>713</v>
      </c>
      <c r="C183" s="41"/>
      <c r="D183" s="89">
        <v>0</v>
      </c>
      <c r="E183" s="41"/>
      <c r="G183" s="105"/>
      <c r="H183" s="41"/>
      <c r="J183" s="41"/>
      <c r="K183" s="58"/>
      <c r="L183" s="74"/>
      <c r="M183" s="73"/>
      <c r="N183" s="53"/>
      <c r="O183" s="75"/>
      <c r="P183" s="78"/>
      <c r="Q183" s="75"/>
      <c r="R183" s="53"/>
      <c r="S183" s="53"/>
      <c r="T183" s="53"/>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row>
    <row r="184" spans="1:64" ht="15">
      <c r="A184" s="42"/>
      <c r="B184" s="35"/>
      <c r="C184" s="41"/>
      <c r="D184" s="41"/>
      <c r="E184" s="41"/>
      <c r="G184" s="105"/>
      <c r="H184" s="41"/>
      <c r="J184" s="41"/>
      <c r="K184" s="58"/>
      <c r="L184" s="74"/>
      <c r="M184" s="73"/>
      <c r="N184" s="53"/>
      <c r="O184" s="75"/>
      <c r="P184" s="78"/>
      <c r="Q184" s="75"/>
      <c r="R184" s="53"/>
      <c r="S184" s="53"/>
      <c r="T184" s="53"/>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row>
    <row r="185" spans="1:64" ht="15">
      <c r="A185" s="42">
        <v>25</v>
      </c>
      <c r="B185" s="106" t="s">
        <v>714</v>
      </c>
      <c r="C185" s="104"/>
      <c r="D185" s="41">
        <f>D179*D189</f>
        <v>0</v>
      </c>
      <c r="E185" s="41"/>
      <c r="F185" s="41" t="s">
        <v>649</v>
      </c>
      <c r="G185" s="51"/>
      <c r="H185" s="41"/>
      <c r="I185" s="41">
        <f>D179*I189</f>
        <v>0</v>
      </c>
      <c r="J185" s="41"/>
      <c r="K185" s="58"/>
      <c r="L185" s="74"/>
      <c r="M185" s="73"/>
      <c r="N185" s="53"/>
      <c r="O185" s="75"/>
      <c r="P185" s="78"/>
      <c r="Q185" s="75"/>
      <c r="R185" s="53"/>
      <c r="S185" s="53"/>
      <c r="T185" s="53"/>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row>
    <row r="186" spans="1:64" ht="15.75" thickBot="1">
      <c r="A186" s="42">
        <v>26</v>
      </c>
      <c r="B186" s="312" t="s">
        <v>715</v>
      </c>
      <c r="C186" s="104"/>
      <c r="D186" s="56">
        <f>D182*D183</f>
        <v>0</v>
      </c>
      <c r="E186" s="41"/>
      <c r="F186" s="32" t="s">
        <v>671</v>
      </c>
      <c r="G186" s="51">
        <f>G104</f>
        <v>0.1044122012842342</v>
      </c>
      <c r="H186" s="41"/>
      <c r="I186" s="56">
        <f>G186*D186</f>
        <v>0</v>
      </c>
      <c r="J186" s="41"/>
      <c r="K186" s="58"/>
      <c r="L186" s="74"/>
      <c r="M186" s="75"/>
      <c r="N186" s="53"/>
      <c r="O186" s="75"/>
      <c r="P186" s="78"/>
      <c r="Q186" s="75"/>
      <c r="R186" s="53"/>
      <c r="S186" s="53"/>
      <c r="T186" s="53"/>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row>
    <row r="187" spans="1:64" ht="15">
      <c r="A187" s="42">
        <v>27</v>
      </c>
      <c r="B187" s="106" t="s">
        <v>716</v>
      </c>
      <c r="C187" s="32" t="s">
        <v>717</v>
      </c>
      <c r="D187" s="109">
        <f>+D185+D186</f>
        <v>0</v>
      </c>
      <c r="E187" s="41"/>
      <c r="F187" s="41" t="s">
        <v>364</v>
      </c>
      <c r="G187" s="51" t="s">
        <v>364</v>
      </c>
      <c r="H187" s="41"/>
      <c r="I187" s="109">
        <f>+I185+I186</f>
        <v>0</v>
      </c>
      <c r="J187" s="41"/>
      <c r="K187" s="58"/>
      <c r="L187" s="74"/>
      <c r="M187" s="75"/>
      <c r="N187" s="53"/>
      <c r="O187" s="75"/>
      <c r="P187" s="78"/>
      <c r="Q187" s="75"/>
      <c r="R187" s="53"/>
      <c r="S187" s="53"/>
      <c r="T187" s="53"/>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row>
    <row r="188" spans="1:64" ht="15">
      <c r="A188" s="42" t="s">
        <v>364</v>
      </c>
      <c r="C188" s="110"/>
      <c r="D188" s="41"/>
      <c r="E188" s="41"/>
      <c r="F188" s="41"/>
      <c r="G188" s="51"/>
      <c r="H188" s="41"/>
      <c r="I188" s="41"/>
      <c r="J188" s="41"/>
      <c r="K188" s="41"/>
      <c r="L188" s="74"/>
      <c r="M188" s="75"/>
      <c r="N188" s="53"/>
      <c r="O188" s="75"/>
      <c r="P188" s="75"/>
      <c r="Q188" s="73"/>
      <c r="R188" s="53"/>
      <c r="S188" s="53"/>
      <c r="T188" s="53"/>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row>
    <row r="189" spans="1:64" ht="15">
      <c r="A189" s="42">
        <v>28</v>
      </c>
      <c r="B189" s="35" t="s">
        <v>718</v>
      </c>
      <c r="C189" s="88"/>
      <c r="D189" s="41">
        <f>+$I250*D122</f>
        <v>1274818.9736618933</v>
      </c>
      <c r="E189" s="41"/>
      <c r="F189" s="41" t="s">
        <v>649</v>
      </c>
      <c r="G189" s="105"/>
      <c r="H189" s="41"/>
      <c r="I189" s="41">
        <f>+$I250*I122</f>
        <v>132740.1328261125</v>
      </c>
      <c r="J189" s="41"/>
      <c r="K189" s="58"/>
      <c r="L189" s="74"/>
      <c r="M189" s="73"/>
      <c r="N189" s="53"/>
      <c r="O189" s="75"/>
      <c r="P189" s="78"/>
      <c r="Q189" s="75"/>
      <c r="R189" s="53"/>
      <c r="S189" s="53"/>
      <c r="T189" s="53"/>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row>
    <row r="190" spans="1:64" ht="15">
      <c r="A190" s="42"/>
      <c r="B190" s="106" t="s">
        <v>719</v>
      </c>
      <c r="C190" s="58"/>
      <c r="D190" s="41"/>
      <c r="E190" s="41"/>
      <c r="F190" s="41"/>
      <c r="G190" s="105"/>
      <c r="H190" s="41"/>
      <c r="I190" s="41"/>
      <c r="J190" s="41"/>
      <c r="K190" s="88"/>
      <c r="L190" s="74"/>
      <c r="M190" s="54"/>
      <c r="N190" s="53"/>
      <c r="O190" s="75"/>
      <c r="P190" s="78"/>
      <c r="Q190" s="75"/>
      <c r="R190" s="53"/>
      <c r="S190" s="53"/>
      <c r="T190" s="53"/>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row>
    <row r="191" spans="1:64" ht="15">
      <c r="A191" s="42"/>
      <c r="B191" s="35"/>
      <c r="C191" s="58"/>
      <c r="D191" s="162"/>
      <c r="E191" s="41"/>
      <c r="F191" s="41"/>
      <c r="G191" s="105"/>
      <c r="H191" s="41"/>
      <c r="I191" s="162"/>
      <c r="J191" s="41"/>
      <c r="K191" s="88"/>
      <c r="L191" s="74"/>
      <c r="M191" s="54"/>
      <c r="N191" s="53"/>
      <c r="O191" s="75"/>
      <c r="P191" s="78"/>
      <c r="Q191" s="75"/>
      <c r="R191" s="53"/>
      <c r="S191" s="53"/>
      <c r="T191" s="53"/>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row>
    <row r="192" spans="1:64" ht="15">
      <c r="A192" s="42">
        <v>29</v>
      </c>
      <c r="B192" s="35" t="s">
        <v>720</v>
      </c>
      <c r="C192" s="41"/>
      <c r="D192" s="162">
        <f>+D189+D187+D175+D164+D158</f>
        <v>2621662.4436618933</v>
      </c>
      <c r="E192" s="41"/>
      <c r="F192" s="41"/>
      <c r="G192" s="41"/>
      <c r="H192" s="41"/>
      <c r="I192" s="162">
        <f>+I189+I187+I175+I164+I158</f>
        <v>324821.38213032664</v>
      </c>
      <c r="J192" s="36"/>
      <c r="K192" s="36"/>
      <c r="L192" s="33"/>
      <c r="M192" s="54"/>
      <c r="N192" s="53"/>
      <c r="O192" s="54"/>
      <c r="P192" s="95"/>
      <c r="Q192" s="73"/>
      <c r="R192" s="53"/>
      <c r="S192" s="53"/>
      <c r="T192" s="53"/>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row>
    <row r="193" spans="1:64" ht="15">
      <c r="A193" s="42"/>
      <c r="B193" s="35"/>
      <c r="C193" s="41"/>
      <c r="D193" s="162"/>
      <c r="E193" s="41"/>
      <c r="F193" s="41"/>
      <c r="G193" s="41"/>
      <c r="H193" s="41"/>
      <c r="I193" s="162"/>
      <c r="J193" s="36"/>
      <c r="K193" s="36"/>
      <c r="L193" s="33"/>
      <c r="M193" s="54"/>
      <c r="N193" s="53"/>
      <c r="O193" s="54"/>
      <c r="P193" s="95"/>
      <c r="Q193" s="73"/>
      <c r="R193" s="53"/>
      <c r="S193" s="53"/>
      <c r="T193" s="53"/>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row>
    <row r="194" spans="1:64" ht="15">
      <c r="A194" s="157">
        <v>30</v>
      </c>
      <c r="B194" s="158" t="s">
        <v>51</v>
      </c>
      <c r="C194" s="160"/>
      <c r="D194" s="163">
        <v>0</v>
      </c>
      <c r="E194" s="160"/>
      <c r="F194" s="160"/>
      <c r="G194" s="160"/>
      <c r="H194" s="160"/>
      <c r="I194" s="163">
        <f>D194</f>
        <v>0</v>
      </c>
      <c r="J194" s="36"/>
      <c r="K194" s="36"/>
      <c r="L194" s="33"/>
      <c r="M194" s="54"/>
      <c r="N194" s="53"/>
      <c r="O194" s="54"/>
      <c r="P194" s="95"/>
      <c r="Q194" s="73"/>
      <c r="R194" s="53"/>
      <c r="S194" s="53"/>
      <c r="T194" s="53"/>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row>
    <row r="195" spans="1:64" ht="15">
      <c r="A195" s="157"/>
      <c r="B195" s="158" t="s">
        <v>308</v>
      </c>
      <c r="C195" s="160"/>
      <c r="D195" s="163"/>
      <c r="E195" s="160"/>
      <c r="F195" s="160"/>
      <c r="G195" s="160"/>
      <c r="H195" s="160"/>
      <c r="I195" s="163"/>
      <c r="J195" s="36"/>
      <c r="K195" s="36"/>
      <c r="L195" s="33"/>
      <c r="M195" s="54"/>
      <c r="N195" s="53"/>
      <c r="O195" s="54"/>
      <c r="P195" s="95"/>
      <c r="Q195" s="73"/>
      <c r="R195" s="53"/>
      <c r="S195" s="53"/>
      <c r="T195" s="53"/>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row>
    <row r="196" spans="1:64" ht="15">
      <c r="A196" s="157"/>
      <c r="B196" s="164" t="s">
        <v>52</v>
      </c>
      <c r="C196" s="164"/>
      <c r="D196" s="165"/>
      <c r="E196" s="164"/>
      <c r="F196" s="164"/>
      <c r="G196" s="164"/>
      <c r="H196" s="164"/>
      <c r="I196" s="164"/>
      <c r="J196" s="36"/>
      <c r="K196" s="36"/>
      <c r="L196" s="33"/>
      <c r="M196" s="54"/>
      <c r="N196" s="53"/>
      <c r="O196" s="54"/>
      <c r="P196" s="95"/>
      <c r="Q196" s="73"/>
      <c r="R196" s="53"/>
      <c r="S196" s="53"/>
      <c r="T196" s="53"/>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row>
    <row r="197" spans="1:64" ht="15">
      <c r="A197" s="157"/>
      <c r="B197" s="164"/>
      <c r="C197" s="164"/>
      <c r="D197" s="165"/>
      <c r="E197" s="164"/>
      <c r="F197" s="164"/>
      <c r="G197" s="164"/>
      <c r="H197" s="164"/>
      <c r="I197" s="164"/>
      <c r="J197" s="36"/>
      <c r="K197" s="36"/>
      <c r="L197" s="33"/>
      <c r="M197" s="54"/>
      <c r="N197" s="53"/>
      <c r="O197" s="54"/>
      <c r="P197" s="95"/>
      <c r="Q197" s="73"/>
      <c r="R197" s="53"/>
      <c r="S197" s="53"/>
      <c r="T197" s="53"/>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row>
    <row r="198" spans="1:64" ht="15.75">
      <c r="A198" s="391" t="s">
        <v>879</v>
      </c>
      <c r="B198" s="392" t="s">
        <v>880</v>
      </c>
      <c r="C198" s="388"/>
      <c r="D198" s="388"/>
      <c r="E198" s="164"/>
      <c r="F198" s="164"/>
      <c r="G198" s="164"/>
      <c r="H198" s="164"/>
      <c r="I198" s="164"/>
      <c r="J198" s="36"/>
      <c r="K198" s="36"/>
      <c r="L198" s="33"/>
      <c r="M198" s="54"/>
      <c r="N198" s="53"/>
      <c r="O198" s="54"/>
      <c r="P198" s="95"/>
      <c r="Q198" s="73"/>
      <c r="R198" s="53"/>
      <c r="S198" s="53"/>
      <c r="T198" s="53"/>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row>
    <row r="199" spans="1:64" ht="15.75">
      <c r="A199" s="157"/>
      <c r="B199" s="392" t="s">
        <v>881</v>
      </c>
      <c r="C199" s="388"/>
      <c r="D199" s="388"/>
      <c r="E199" s="388"/>
      <c r="F199" s="388"/>
      <c r="G199" s="388"/>
      <c r="H199" s="388"/>
      <c r="I199" s="388"/>
      <c r="J199" s="36"/>
      <c r="K199" s="36"/>
      <c r="L199" s="33"/>
      <c r="M199" s="54"/>
      <c r="N199" s="53"/>
      <c r="O199" s="54"/>
      <c r="P199" s="95"/>
      <c r="Q199" s="73"/>
      <c r="R199" s="53"/>
      <c r="S199" s="53"/>
      <c r="T199" s="53"/>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row>
    <row r="200" spans="1:64" ht="16.5" thickBot="1">
      <c r="A200" s="157"/>
      <c r="B200" s="392" t="s">
        <v>882</v>
      </c>
      <c r="C200" s="388"/>
      <c r="D200" s="394">
        <v>0</v>
      </c>
      <c r="E200" s="393"/>
      <c r="F200" s="393"/>
      <c r="G200" s="393"/>
      <c r="H200" s="393"/>
      <c r="I200" s="394">
        <v>0</v>
      </c>
      <c r="J200" s="36"/>
      <c r="K200" s="36"/>
      <c r="L200" s="33"/>
      <c r="M200" s="54"/>
      <c r="N200" s="53"/>
      <c r="O200" s="54"/>
      <c r="P200" s="95"/>
      <c r="Q200" s="73"/>
      <c r="R200" s="53"/>
      <c r="S200" s="53"/>
      <c r="T200" s="53"/>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row>
    <row r="201" spans="1:64" ht="15.75" thickBot="1">
      <c r="A201" s="157">
        <v>31</v>
      </c>
      <c r="B201" s="164" t="s">
        <v>53</v>
      </c>
      <c r="C201" s="164"/>
      <c r="D201" s="166">
        <f>D192-D194-D200</f>
        <v>2621662.4436618933</v>
      </c>
      <c r="E201" s="164"/>
      <c r="F201" s="164"/>
      <c r="G201" s="164"/>
      <c r="H201" s="164"/>
      <c r="I201" s="166">
        <f>I192-I194-I200</f>
        <v>324821.38213032664</v>
      </c>
      <c r="J201" s="36"/>
      <c r="K201" s="36"/>
      <c r="L201" s="33"/>
      <c r="M201" s="54"/>
      <c r="N201" s="53"/>
      <c r="O201" s="54"/>
      <c r="P201" s="95"/>
      <c r="Q201" s="73"/>
      <c r="R201" s="53"/>
      <c r="S201" s="53"/>
      <c r="T201" s="53"/>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row>
    <row r="202" spans="1:64" ht="15.75" thickTop="1">
      <c r="A202" s="157"/>
      <c r="B202" s="164" t="s">
        <v>883</v>
      </c>
      <c r="C202" s="164"/>
      <c r="D202" s="165"/>
      <c r="E202" s="164"/>
      <c r="F202" s="164"/>
      <c r="G202" s="164"/>
      <c r="H202" s="164"/>
      <c r="I202" s="164"/>
      <c r="J202" s="36"/>
      <c r="K202" s="36"/>
      <c r="L202" s="33"/>
      <c r="M202" s="54"/>
      <c r="N202" s="53"/>
      <c r="O202" s="54"/>
      <c r="P202" s="95"/>
      <c r="Q202" s="73"/>
      <c r="R202" s="53"/>
      <c r="S202" s="53"/>
      <c r="T202" s="53"/>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row>
    <row r="203" spans="1:64" ht="15">
      <c r="A203" s="42"/>
      <c r="B203" s="35"/>
      <c r="C203" s="41"/>
      <c r="D203" s="162"/>
      <c r="E203" s="41"/>
      <c r="F203" s="41"/>
      <c r="G203" s="41"/>
      <c r="H203" s="41"/>
      <c r="I203" s="162"/>
      <c r="J203" s="36"/>
      <c r="K203" s="36"/>
      <c r="L203" s="33"/>
      <c r="M203" s="54"/>
      <c r="N203" s="53"/>
      <c r="O203" s="54"/>
      <c r="P203" s="95"/>
      <c r="Q203" s="73"/>
      <c r="R203" s="53"/>
      <c r="S203" s="53"/>
      <c r="T203" s="53"/>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row>
    <row r="204" spans="1:64" ht="15.75">
      <c r="A204"/>
      <c r="B204"/>
      <c r="C204" s="315"/>
      <c r="D204" s="314"/>
      <c r="E204" s="314"/>
      <c r="F204" s="316"/>
      <c r="G204" s="314"/>
      <c r="H204"/>
      <c r="I204"/>
      <c r="J204"/>
      <c r="K204"/>
      <c r="Q204" s="73"/>
      <c r="R204" s="53"/>
      <c r="S204" s="53"/>
      <c r="T204" s="53"/>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row>
    <row r="205" spans="1:64" s="402" customFormat="1" ht="15.75">
      <c r="A205" s="399"/>
      <c r="B205" s="399"/>
      <c r="C205" s="428"/>
      <c r="D205" s="314"/>
      <c r="E205" s="314"/>
      <c r="F205" s="316"/>
      <c r="G205" s="314"/>
      <c r="H205" s="396" t="str">
        <f>H138</f>
        <v>Attachment O-EIA Non-Levelized Generic</v>
      </c>
      <c r="I205" s="399"/>
      <c r="J205" s="399"/>
      <c r="K205" s="399"/>
      <c r="Q205" s="418"/>
      <c r="R205" s="414"/>
      <c r="S205" s="414"/>
      <c r="T205" s="414"/>
      <c r="U205" s="404"/>
      <c r="V205" s="404"/>
      <c r="W205" s="404"/>
      <c r="X205" s="404"/>
      <c r="Y205" s="404"/>
      <c r="Z205" s="404"/>
      <c r="AA205" s="404"/>
      <c r="AB205" s="404"/>
      <c r="AC205" s="404"/>
      <c r="AD205" s="404"/>
      <c r="AE205" s="404"/>
      <c r="AF205" s="404"/>
      <c r="AG205" s="404"/>
      <c r="AH205" s="404"/>
      <c r="AI205" s="404"/>
      <c r="AJ205" s="404"/>
      <c r="AK205" s="404"/>
      <c r="AL205" s="404"/>
      <c r="AM205" s="404"/>
      <c r="AN205" s="404"/>
      <c r="AO205" s="404"/>
      <c r="AP205" s="404"/>
      <c r="AQ205" s="404"/>
      <c r="AR205" s="404"/>
      <c r="AS205" s="404"/>
      <c r="AT205" s="404"/>
      <c r="AU205" s="404"/>
      <c r="AV205" s="404"/>
      <c r="AW205" s="404"/>
      <c r="AX205" s="404"/>
      <c r="AY205" s="404"/>
      <c r="AZ205" s="404"/>
      <c r="BA205" s="404"/>
      <c r="BB205" s="404"/>
      <c r="BC205" s="404"/>
      <c r="BD205" s="404"/>
      <c r="BE205" s="404"/>
      <c r="BF205" s="404"/>
      <c r="BG205" s="404"/>
      <c r="BH205" s="404"/>
      <c r="BI205" s="404"/>
      <c r="BJ205" s="404"/>
      <c r="BK205" s="404"/>
      <c r="BL205" s="404"/>
    </row>
    <row r="206" spans="1:64" ht="15">
      <c r="B206" s="35"/>
      <c r="C206" s="35"/>
      <c r="D206" s="38"/>
      <c r="E206" s="35"/>
      <c r="F206" s="35"/>
      <c r="G206" s="35"/>
      <c r="H206" s="36"/>
      <c r="I206" s="36"/>
      <c r="J206" s="36"/>
      <c r="K206" s="37" t="s">
        <v>721</v>
      </c>
      <c r="Q206" s="54"/>
      <c r="R206" s="53"/>
      <c r="S206" s="53"/>
      <c r="T206" s="53"/>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row>
    <row r="207" spans="1:64" ht="15">
      <c r="A207" s="42"/>
      <c r="B207" s="58"/>
      <c r="C207" s="58"/>
      <c r="D207" s="58"/>
      <c r="E207" s="58"/>
      <c r="F207" s="58"/>
      <c r="G207" s="58"/>
      <c r="H207" s="58"/>
      <c r="I207" s="58"/>
      <c r="J207" s="41"/>
      <c r="K207" s="41"/>
      <c r="Q207" s="75"/>
      <c r="R207" s="53"/>
      <c r="S207" s="53"/>
      <c r="T207" s="53"/>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row>
    <row r="208" spans="1:64" ht="15">
      <c r="A208" s="42"/>
      <c r="B208" s="35" t="str">
        <f>B4</f>
        <v xml:space="preserve">Formula Rate - Non-Levelized </v>
      </c>
      <c r="C208" s="58"/>
      <c r="D208" s="58" t="str">
        <f>D4</f>
        <v xml:space="preserve">   Rate Formula Template</v>
      </c>
      <c r="E208" s="58"/>
      <c r="F208" s="58"/>
      <c r="G208" s="58"/>
      <c r="H208" s="58"/>
      <c r="I208" s="58" t="str">
        <f>I4</f>
        <v>For the 12 months ended 12/31/14</v>
      </c>
      <c r="J208" s="41"/>
      <c r="K208" s="41"/>
      <c r="Q208" s="73"/>
      <c r="R208" s="53"/>
      <c r="S208" s="53"/>
      <c r="T208" s="53"/>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row>
    <row r="209" spans="1:64" ht="15">
      <c r="A209" s="42"/>
      <c r="B209" s="35"/>
      <c r="C209" s="58"/>
      <c r="D209" s="58" t="str">
        <f>D5</f>
        <v>Utilizing EIA Form 412 Data</v>
      </c>
      <c r="E209" s="58"/>
      <c r="F209" s="58"/>
      <c r="G209" s="58"/>
      <c r="H209" s="58"/>
      <c r="I209" s="58"/>
      <c r="J209" s="41"/>
      <c r="K209" s="41"/>
      <c r="Q209" s="73"/>
      <c r="R209" s="53"/>
      <c r="S209" s="53"/>
      <c r="T209" s="53"/>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row>
    <row r="210" spans="1:64" ht="15">
      <c r="A210" s="42"/>
      <c r="B210" s="58"/>
      <c r="C210" s="58"/>
      <c r="D210" s="58"/>
      <c r="E210" s="58"/>
      <c r="F210" s="58"/>
      <c r="G210" s="58"/>
      <c r="H210" s="58"/>
      <c r="I210" s="58"/>
      <c r="J210" s="41"/>
      <c r="K210" s="41"/>
      <c r="Q210" s="73"/>
      <c r="R210" s="53"/>
      <c r="S210" s="53"/>
      <c r="T210" s="53"/>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row>
    <row r="211" spans="1:64" ht="15">
      <c r="A211" s="42"/>
      <c r="C211" s="58"/>
      <c r="D211" s="58" t="str">
        <f>D7</f>
        <v>Delano</v>
      </c>
      <c r="E211" s="58"/>
      <c r="F211" s="58"/>
      <c r="G211" s="58"/>
      <c r="H211" s="58"/>
      <c r="I211" s="58"/>
      <c r="J211" s="41"/>
      <c r="K211" s="41"/>
      <c r="Q211" s="73"/>
      <c r="R211" s="53"/>
      <c r="S211" s="53"/>
      <c r="T211" s="53"/>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row>
    <row r="212" spans="1:64" ht="15">
      <c r="A212" s="42" t="s">
        <v>593</v>
      </c>
      <c r="C212" s="35" t="s">
        <v>364</v>
      </c>
      <c r="D212" s="35"/>
      <c r="E212" s="35"/>
      <c r="F212" s="35"/>
      <c r="G212" s="35"/>
      <c r="H212" s="35"/>
      <c r="I212" s="35"/>
      <c r="J212" s="35"/>
      <c r="K212" s="35"/>
      <c r="Q212" s="73"/>
      <c r="R212" s="53"/>
      <c r="S212" s="53"/>
      <c r="T212" s="53"/>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row>
    <row r="213" spans="1:64" ht="16.5" thickBot="1">
      <c r="A213" s="46" t="s">
        <v>595</v>
      </c>
      <c r="B213" s="58"/>
      <c r="C213" s="84" t="s">
        <v>722</v>
      </c>
      <c r="E213" s="36"/>
      <c r="F213" s="36"/>
      <c r="G213" s="36"/>
      <c r="H213" s="36"/>
      <c r="I213" s="36"/>
      <c r="J213" s="41"/>
      <c r="K213" s="41"/>
      <c r="Q213" s="73"/>
      <c r="R213" s="53"/>
      <c r="S213" s="53"/>
      <c r="T213" s="53"/>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row>
    <row r="214" spans="1:64" ht="15">
      <c r="A214" s="42"/>
      <c r="B214" s="35" t="s">
        <v>723</v>
      </c>
      <c r="C214" s="36"/>
      <c r="D214" s="36"/>
      <c r="E214" s="36"/>
      <c r="F214" s="36"/>
      <c r="G214" s="36"/>
      <c r="H214" s="36"/>
      <c r="I214" s="36"/>
      <c r="J214" s="41"/>
      <c r="K214" s="41"/>
      <c r="Q214" s="73"/>
      <c r="R214" s="53"/>
      <c r="S214" s="53"/>
      <c r="T214" s="53"/>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row>
    <row r="215" spans="1:64" ht="15">
      <c r="A215" s="42">
        <v>1</v>
      </c>
      <c r="B215" s="36" t="s">
        <v>724</v>
      </c>
      <c r="C215" s="36"/>
      <c r="D215" s="41"/>
      <c r="E215" s="41"/>
      <c r="F215" s="41"/>
      <c r="G215" s="41"/>
      <c r="H215" s="41"/>
      <c r="I215" s="41">
        <f>D84</f>
        <v>2738706</v>
      </c>
      <c r="J215" s="41"/>
      <c r="K215" s="41"/>
      <c r="Q215" s="73"/>
      <c r="R215" s="53"/>
      <c r="S215" s="53"/>
      <c r="T215" s="53"/>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row>
    <row r="216" spans="1:64" ht="15">
      <c r="A216" s="42">
        <v>2</v>
      </c>
      <c r="B216" s="36" t="s">
        <v>725</v>
      </c>
      <c r="C216" s="58"/>
      <c r="D216" s="58"/>
      <c r="E216" s="58"/>
      <c r="F216" s="58"/>
      <c r="G216" s="58"/>
      <c r="H216" s="58"/>
      <c r="I216" s="89">
        <v>0</v>
      </c>
      <c r="J216" s="41"/>
      <c r="K216" s="41"/>
      <c r="Q216" s="73"/>
      <c r="R216" s="53"/>
      <c r="S216" s="53"/>
      <c r="T216" s="53"/>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row>
    <row r="217" spans="1:64" ht="15.75" thickBot="1">
      <c r="A217" s="42">
        <v>3</v>
      </c>
      <c r="B217" s="111" t="s">
        <v>726</v>
      </c>
      <c r="C217" s="111"/>
      <c r="D217" s="56"/>
      <c r="E217" s="41"/>
      <c r="F217" s="41"/>
      <c r="G217" s="112"/>
      <c r="H217" s="41"/>
      <c r="I217" s="87">
        <v>0</v>
      </c>
      <c r="J217" s="41"/>
      <c r="K217" s="41"/>
      <c r="Q217" s="73"/>
      <c r="R217" s="53"/>
      <c r="S217" s="53"/>
      <c r="T217" s="53"/>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row>
    <row r="218" spans="1:64" ht="15">
      <c r="A218" s="42">
        <v>4</v>
      </c>
      <c r="B218" s="36" t="s">
        <v>727</v>
      </c>
      <c r="C218" s="36"/>
      <c r="D218" s="41"/>
      <c r="E218" s="41"/>
      <c r="F218" s="41"/>
      <c r="G218" s="112"/>
      <c r="H218" s="41"/>
      <c r="I218" s="41">
        <f>I215-I216-I217</f>
        <v>2738706</v>
      </c>
      <c r="J218" s="41"/>
      <c r="K218" s="41"/>
      <c r="L218" s="74"/>
      <c r="M218" s="73"/>
      <c r="N218" s="53"/>
      <c r="O218" s="54"/>
      <c r="P218" s="75"/>
      <c r="Q218" s="73"/>
      <c r="R218" s="53"/>
      <c r="S218" s="53"/>
      <c r="T218" s="53"/>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row>
    <row r="219" spans="1:64" ht="15">
      <c r="A219" s="42"/>
      <c r="B219" s="58"/>
      <c r="C219" s="36"/>
      <c r="D219" s="41"/>
      <c r="E219" s="41"/>
      <c r="F219" s="41"/>
      <c r="G219" s="112"/>
      <c r="H219" s="41"/>
      <c r="J219" s="41"/>
      <c r="K219" s="41"/>
      <c r="L219" s="74"/>
      <c r="M219" s="52"/>
      <c r="N219" s="52"/>
      <c r="O219" s="54"/>
      <c r="P219" s="75"/>
      <c r="Q219" s="73"/>
      <c r="R219" s="53"/>
      <c r="S219" s="53"/>
      <c r="T219" s="53"/>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row>
    <row r="220" spans="1:64" ht="15">
      <c r="A220" s="42">
        <v>5</v>
      </c>
      <c r="B220" s="36" t="s">
        <v>728</v>
      </c>
      <c r="C220" s="44"/>
      <c r="D220" s="113"/>
      <c r="E220" s="113"/>
      <c r="F220" s="113"/>
      <c r="G220" s="77"/>
      <c r="H220" s="41" t="s">
        <v>729</v>
      </c>
      <c r="I220" s="92">
        <f>IF(I215&gt;0,I218/I215,0)</f>
        <v>1</v>
      </c>
      <c r="J220" s="41"/>
      <c r="K220" s="41"/>
      <c r="L220" s="74"/>
      <c r="M220" s="114"/>
      <c r="N220" s="53"/>
      <c r="O220" s="54"/>
      <c r="P220" s="75"/>
      <c r="Q220" s="73"/>
      <c r="R220" s="53"/>
      <c r="S220" s="53"/>
      <c r="T220" s="53"/>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row>
    <row r="221" spans="1:64" ht="15">
      <c r="J221" s="41"/>
      <c r="S221" s="53"/>
      <c r="T221" s="53"/>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row>
    <row r="222" spans="1:64" ht="15">
      <c r="B222" s="35" t="s">
        <v>730</v>
      </c>
      <c r="J222" s="41"/>
      <c r="L222"/>
      <c r="M222"/>
      <c r="N222"/>
      <c r="O222"/>
      <c r="P222"/>
      <c r="S222" s="53"/>
      <c r="T222" s="53"/>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row>
    <row r="223" spans="1:64" ht="15">
      <c r="A223" s="42">
        <v>6</v>
      </c>
      <c r="B223" s="58" t="s">
        <v>731</v>
      </c>
      <c r="C223" s="58"/>
      <c r="D223" s="36"/>
      <c r="E223" s="36"/>
      <c r="F223" s="36"/>
      <c r="G223" s="39"/>
      <c r="H223" s="36"/>
      <c r="I223" s="41">
        <f>D149</f>
        <v>35385.68</v>
      </c>
      <c r="J223" s="41"/>
      <c r="L223"/>
      <c r="M223"/>
      <c r="N223"/>
      <c r="O223"/>
      <c r="P223"/>
      <c r="S223" s="53"/>
      <c r="T223" s="53"/>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row>
    <row r="224" spans="1:64" ht="15.75" thickBot="1">
      <c r="A224" s="42">
        <v>7</v>
      </c>
      <c r="B224" s="111" t="s">
        <v>732</v>
      </c>
      <c r="C224" s="111"/>
      <c r="D224" s="56"/>
      <c r="E224" s="56"/>
      <c r="F224" s="41"/>
      <c r="G224" s="41"/>
      <c r="H224" s="41"/>
      <c r="I224" s="87">
        <v>0</v>
      </c>
      <c r="J224" s="41"/>
      <c r="L224"/>
      <c r="M224"/>
      <c r="N224"/>
      <c r="O224"/>
      <c r="P224"/>
      <c r="S224" s="53"/>
      <c r="T224" s="53"/>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row>
    <row r="225" spans="1:64" ht="15">
      <c r="A225" s="42">
        <v>8</v>
      </c>
      <c r="B225" s="36" t="s">
        <v>317</v>
      </c>
      <c r="C225" s="44"/>
      <c r="D225" s="113"/>
      <c r="E225" s="113"/>
      <c r="F225" s="113"/>
      <c r="G225" s="77"/>
      <c r="H225" s="113"/>
      <c r="I225" s="41">
        <f>+I223-I224</f>
        <v>35385.68</v>
      </c>
      <c r="J225" s="41"/>
      <c r="L225"/>
      <c r="M225"/>
      <c r="N225"/>
      <c r="O225"/>
      <c r="P225"/>
      <c r="S225" s="53"/>
      <c r="T225" s="53"/>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row>
    <row r="226" spans="1:64" ht="15">
      <c r="A226" s="42"/>
      <c r="B226" s="36"/>
      <c r="C226" s="36"/>
      <c r="D226" s="41"/>
      <c r="E226" s="41"/>
      <c r="F226" s="41"/>
      <c r="G226" s="41"/>
      <c r="H226" s="58"/>
      <c r="J226" s="41"/>
      <c r="L226"/>
      <c r="M226"/>
      <c r="N226"/>
      <c r="O226"/>
      <c r="P226"/>
      <c r="S226" s="53"/>
      <c r="T226" s="53"/>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row>
    <row r="227" spans="1:64" ht="15">
      <c r="A227" s="42">
        <v>9</v>
      </c>
      <c r="B227" s="36" t="s">
        <v>733</v>
      </c>
      <c r="C227" s="36"/>
      <c r="D227" s="41"/>
      <c r="E227" s="41"/>
      <c r="F227" s="41"/>
      <c r="G227" s="41"/>
      <c r="H227" s="41"/>
      <c r="I227" s="86">
        <f>IF(I223&gt;0,I225/I223,0)</f>
        <v>1</v>
      </c>
      <c r="J227" s="41"/>
      <c r="L227"/>
      <c r="M227"/>
      <c r="N227"/>
      <c r="O227"/>
      <c r="P227"/>
      <c r="S227" s="53"/>
      <c r="T227" s="53"/>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row>
    <row r="228" spans="1:64" ht="15">
      <c r="A228" s="42">
        <v>10</v>
      </c>
      <c r="B228" s="36" t="s">
        <v>734</v>
      </c>
      <c r="C228" s="36"/>
      <c r="D228" s="41"/>
      <c r="E228" s="41"/>
      <c r="F228" s="41"/>
      <c r="G228" s="41"/>
      <c r="H228" s="36" t="s">
        <v>602</v>
      </c>
      <c r="I228" s="115">
        <f>I220</f>
        <v>1</v>
      </c>
      <c r="J228" s="41"/>
      <c r="L228"/>
      <c r="M228"/>
      <c r="N228"/>
      <c r="O228"/>
      <c r="P228"/>
      <c r="S228" s="53"/>
      <c r="T228" s="53"/>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row>
    <row r="229" spans="1:64" ht="15">
      <c r="A229" s="42">
        <v>11</v>
      </c>
      <c r="B229" s="36" t="s">
        <v>735</v>
      </c>
      <c r="C229" s="36"/>
      <c r="D229" s="36"/>
      <c r="E229" s="36"/>
      <c r="F229" s="36"/>
      <c r="G229" s="36"/>
      <c r="H229" s="36" t="s">
        <v>736</v>
      </c>
      <c r="I229" s="116">
        <f>+I228*I227</f>
        <v>1</v>
      </c>
      <c r="J229" s="41"/>
      <c r="L229"/>
      <c r="M229"/>
      <c r="N229"/>
      <c r="O229"/>
      <c r="P229"/>
      <c r="S229" s="53"/>
      <c r="T229" s="53"/>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row>
    <row r="230" spans="1:64" s="402" customFormat="1" ht="15">
      <c r="A230" s="409"/>
      <c r="B230" s="406"/>
      <c r="C230" s="406"/>
      <c r="D230" s="406"/>
      <c r="E230" s="406"/>
      <c r="F230" s="406"/>
      <c r="G230" s="406"/>
      <c r="H230" s="406"/>
      <c r="I230" s="424"/>
      <c r="J230" s="408"/>
      <c r="L230"/>
      <c r="M230"/>
      <c r="N230"/>
      <c r="O230"/>
      <c r="P230"/>
      <c r="S230" s="414"/>
      <c r="T230" s="414"/>
      <c r="U230" s="404"/>
      <c r="V230" s="404"/>
      <c r="W230" s="404"/>
      <c r="X230" s="404"/>
      <c r="Y230" s="404"/>
      <c r="Z230" s="404"/>
      <c r="AA230" s="404"/>
      <c r="AB230" s="404"/>
      <c r="AC230" s="404"/>
      <c r="AD230" s="404"/>
      <c r="AE230" s="404"/>
      <c r="AF230" s="404"/>
      <c r="AG230" s="404"/>
      <c r="AH230" s="404"/>
      <c r="AI230" s="404"/>
      <c r="AJ230" s="404"/>
      <c r="AK230" s="404"/>
      <c r="AL230" s="404"/>
      <c r="AM230" s="404"/>
      <c r="AN230" s="404"/>
      <c r="AO230" s="404"/>
      <c r="AP230" s="404"/>
      <c r="AQ230" s="404"/>
      <c r="AR230" s="404"/>
      <c r="AS230" s="404"/>
      <c r="AT230" s="404"/>
      <c r="AU230" s="404"/>
      <c r="AV230" s="404"/>
      <c r="AW230" s="404"/>
      <c r="AX230" s="404"/>
      <c r="AY230" s="404"/>
      <c r="AZ230" s="404"/>
      <c r="BA230" s="404"/>
      <c r="BB230" s="404"/>
      <c r="BC230" s="404"/>
      <c r="BD230" s="404"/>
      <c r="BE230" s="404"/>
      <c r="BF230" s="404"/>
      <c r="BG230" s="404"/>
      <c r="BH230" s="404"/>
      <c r="BI230" s="404"/>
      <c r="BJ230" s="404"/>
      <c r="BK230" s="404"/>
      <c r="BL230" s="404"/>
    </row>
    <row r="231" spans="1:64" ht="15.75" thickBot="1">
      <c r="A231" s="42"/>
      <c r="B231" s="35" t="s">
        <v>737</v>
      </c>
      <c r="C231" s="36"/>
      <c r="D231" s="117" t="s">
        <v>738</v>
      </c>
      <c r="E231" s="117" t="s">
        <v>602</v>
      </c>
      <c r="F231" s="41"/>
      <c r="G231" s="117" t="s">
        <v>739</v>
      </c>
      <c r="H231" s="41"/>
      <c r="I231" s="41"/>
      <c r="J231" s="41"/>
      <c r="K231" s="41"/>
      <c r="L231"/>
      <c r="M231"/>
      <c r="N231"/>
      <c r="O231"/>
      <c r="P231"/>
      <c r="S231" s="53"/>
      <c r="T231" s="53"/>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row>
    <row r="232" spans="1:64" ht="15">
      <c r="A232" s="42">
        <v>12</v>
      </c>
      <c r="B232" s="35" t="s">
        <v>648</v>
      </c>
      <c r="C232" s="162"/>
      <c r="D232" s="89">
        <f>'DS1_Wages &amp; Salary Allocator'!F8</f>
        <v>55829.749999999993</v>
      </c>
      <c r="E232" s="118">
        <v>0</v>
      </c>
      <c r="F232" s="118"/>
      <c r="G232" s="41">
        <f>D232*E232</f>
        <v>0</v>
      </c>
      <c r="H232" s="41"/>
      <c r="I232" s="41"/>
      <c r="J232" s="41"/>
      <c r="K232" s="41"/>
      <c r="L232"/>
      <c r="M232"/>
      <c r="N232"/>
      <c r="O232"/>
      <c r="P232"/>
      <c r="S232" s="53"/>
      <c r="T232" s="53"/>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row>
    <row r="233" spans="1:64" ht="15">
      <c r="A233" s="42">
        <v>13</v>
      </c>
      <c r="B233" s="35" t="s">
        <v>650</v>
      </c>
      <c r="C233" s="41"/>
      <c r="D233" s="89">
        <f>'DS1_Wages &amp; Salary Allocator'!F9</f>
        <v>5565.01</v>
      </c>
      <c r="E233" s="118">
        <f>+I220</f>
        <v>1</v>
      </c>
      <c r="F233" s="118"/>
      <c r="G233" s="41">
        <f>D233*E233</f>
        <v>5565.01</v>
      </c>
      <c r="H233" s="41"/>
      <c r="I233" s="41"/>
      <c r="J233" s="41"/>
      <c r="K233" s="41"/>
      <c r="L233"/>
      <c r="M233"/>
      <c r="N233"/>
      <c r="O233"/>
      <c r="P233"/>
      <c r="Q233" s="73"/>
      <c r="R233" s="53"/>
      <c r="S233" s="53"/>
      <c r="T233" s="53"/>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row>
    <row r="234" spans="1:64" ht="15">
      <c r="A234" s="42">
        <v>14</v>
      </c>
      <c r="B234" s="35" t="s">
        <v>651</v>
      </c>
      <c r="C234" s="41"/>
      <c r="D234" s="89">
        <f>'DS1_Wages &amp; Salary Allocator'!F10</f>
        <v>59143.67</v>
      </c>
      <c r="E234" s="118">
        <v>0</v>
      </c>
      <c r="F234" s="118"/>
      <c r="G234" s="41">
        <f>D234*E234</f>
        <v>0</v>
      </c>
      <c r="H234" s="41"/>
      <c r="I234" s="119" t="s">
        <v>740</v>
      </c>
      <c r="J234" s="41"/>
      <c r="K234" s="41"/>
      <c r="L234"/>
      <c r="M234"/>
      <c r="N234"/>
      <c r="O234"/>
      <c r="P234"/>
      <c r="Q234" s="73"/>
      <c r="R234" s="53"/>
      <c r="S234" s="53"/>
      <c r="T234" s="53"/>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row>
    <row r="235" spans="1:64" ht="15.75" thickBot="1">
      <c r="A235" s="42">
        <v>15</v>
      </c>
      <c r="B235" s="35" t="s">
        <v>741</v>
      </c>
      <c r="C235" s="41"/>
      <c r="D235" s="87">
        <v>0</v>
      </c>
      <c r="E235" s="118">
        <v>0</v>
      </c>
      <c r="F235" s="118"/>
      <c r="G235" s="56">
        <f>D235*E235</f>
        <v>0</v>
      </c>
      <c r="H235" s="41"/>
      <c r="I235" s="46" t="s">
        <v>742</v>
      </c>
      <c r="J235" s="41"/>
      <c r="K235" s="41"/>
      <c r="L235" s="33"/>
      <c r="M235" s="73"/>
      <c r="N235" s="53"/>
      <c r="O235" s="75"/>
      <c r="P235" s="75"/>
      <c r="Q235" s="73"/>
      <c r="R235" s="53"/>
      <c r="S235" s="53"/>
      <c r="T235" s="53"/>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row>
    <row r="236" spans="1:64" ht="15">
      <c r="A236" s="42">
        <v>16</v>
      </c>
      <c r="B236" s="35" t="s">
        <v>743</v>
      </c>
      <c r="C236" s="41"/>
      <c r="D236" s="41">
        <f>SUM(D232:D235)</f>
        <v>120538.43</v>
      </c>
      <c r="E236" s="41"/>
      <c r="F236" s="41"/>
      <c r="G236" s="41">
        <f>SUM(G232:G235)</f>
        <v>5565.01</v>
      </c>
      <c r="H236" s="39" t="s">
        <v>744</v>
      </c>
      <c r="I236" s="86">
        <f>IF(G236&gt;0,G233/D236,0)</f>
        <v>4.616793167125207E-2</v>
      </c>
      <c r="J236" s="41" t="s">
        <v>745</v>
      </c>
      <c r="K236" s="41" t="s">
        <v>653</v>
      </c>
      <c r="L236" s="74"/>
      <c r="M236" s="73"/>
      <c r="N236" s="53"/>
      <c r="O236" s="75"/>
      <c r="P236" s="75"/>
      <c r="Q236" s="73"/>
      <c r="R236" s="53"/>
      <c r="S236" s="53"/>
      <c r="T236" s="53"/>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row>
    <row r="237" spans="1:64" s="402" customFormat="1" ht="15">
      <c r="A237" s="409"/>
      <c r="B237" s="405"/>
      <c r="C237" s="408"/>
      <c r="D237" s="408"/>
      <c r="E237" s="408"/>
      <c r="F237" s="408"/>
      <c r="G237" s="408"/>
      <c r="H237" s="407"/>
      <c r="I237" s="423"/>
      <c r="J237" s="408"/>
      <c r="K237" s="408"/>
      <c r="L237" s="419"/>
      <c r="M237" s="418"/>
      <c r="N237" s="414"/>
      <c r="O237" s="420"/>
      <c r="P237" s="420"/>
      <c r="Q237" s="418"/>
      <c r="R237" s="414"/>
      <c r="S237" s="414"/>
      <c r="T237" s="414"/>
      <c r="U237" s="404"/>
      <c r="V237" s="404"/>
      <c r="W237" s="404"/>
      <c r="X237" s="404"/>
      <c r="Y237" s="404"/>
      <c r="Z237" s="404"/>
      <c r="AA237" s="404"/>
      <c r="AB237" s="404"/>
      <c r="AC237" s="404"/>
      <c r="AD237" s="404"/>
      <c r="AE237" s="404"/>
      <c r="AF237" s="404"/>
      <c r="AG237" s="404"/>
      <c r="AH237" s="404"/>
      <c r="AI237" s="404"/>
      <c r="AJ237" s="404"/>
      <c r="AK237" s="404"/>
      <c r="AL237" s="404"/>
      <c r="AM237" s="404"/>
      <c r="AN237" s="404"/>
      <c r="AO237" s="404"/>
      <c r="AP237" s="404"/>
      <c r="AQ237" s="404"/>
      <c r="AR237" s="404"/>
      <c r="AS237" s="404"/>
      <c r="AT237" s="404"/>
      <c r="AU237" s="404"/>
      <c r="AV237" s="404"/>
      <c r="AW237" s="404"/>
      <c r="AX237" s="404"/>
      <c r="AY237" s="404"/>
      <c r="AZ237" s="404"/>
      <c r="BA237" s="404"/>
      <c r="BB237" s="404"/>
      <c r="BC237" s="404"/>
      <c r="BD237" s="404"/>
      <c r="BE237" s="404"/>
      <c r="BF237" s="404"/>
      <c r="BG237" s="404"/>
      <c r="BH237" s="404"/>
      <c r="BI237" s="404"/>
      <c r="BJ237" s="404"/>
      <c r="BK237" s="404"/>
      <c r="BL237" s="404"/>
    </row>
    <row r="238" spans="1:64" ht="15.75">
      <c r="B238" s="35" t="s">
        <v>746</v>
      </c>
      <c r="D238" s="79" t="s">
        <v>738</v>
      </c>
      <c r="G238" s="112" t="s">
        <v>747</v>
      </c>
      <c r="H238" s="105" t="s">
        <v>364</v>
      </c>
      <c r="I238" s="88" t="s">
        <v>748</v>
      </c>
      <c r="J238" s="58"/>
      <c r="K238" s="58"/>
      <c r="L238" s="74"/>
      <c r="M238" s="73"/>
      <c r="N238" s="53"/>
      <c r="O238" s="75"/>
      <c r="P238" s="75"/>
      <c r="Q238" s="73"/>
      <c r="R238" s="53"/>
      <c r="S238" s="53"/>
      <c r="T238" s="53"/>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row>
    <row r="239" spans="1:64" ht="15">
      <c r="A239" s="42">
        <v>17</v>
      </c>
      <c r="B239" s="35" t="s">
        <v>749</v>
      </c>
      <c r="C239" s="41"/>
      <c r="D239" s="89">
        <f>D88</f>
        <v>19065695.949999999</v>
      </c>
      <c r="E239" s="41"/>
      <c r="F239" s="41"/>
      <c r="G239" s="42" t="s">
        <v>750</v>
      </c>
      <c r="H239" s="105"/>
      <c r="I239" s="42" t="s">
        <v>751</v>
      </c>
      <c r="J239" s="41"/>
      <c r="K239" s="39" t="s">
        <v>655</v>
      </c>
      <c r="L239" s="74"/>
      <c r="M239" s="73"/>
      <c r="N239" s="53"/>
      <c r="O239" s="75"/>
      <c r="P239" s="75"/>
      <c r="Q239" s="73"/>
      <c r="R239" s="53"/>
      <c r="S239" s="53"/>
      <c r="T239" s="53"/>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row>
    <row r="240" spans="1:64" ht="15">
      <c r="A240" s="42">
        <v>18</v>
      </c>
      <c r="B240" s="35" t="s">
        <v>752</v>
      </c>
      <c r="C240" s="41"/>
      <c r="D240" s="89">
        <v>0</v>
      </c>
      <c r="E240" s="41"/>
      <c r="F240" s="41"/>
      <c r="G240" s="51">
        <f>IF(D242&gt;0,D239/D242,0)</f>
        <v>1</v>
      </c>
      <c r="H240" s="112" t="s">
        <v>753</v>
      </c>
      <c r="I240" s="51">
        <f>I236</f>
        <v>4.616793167125207E-2</v>
      </c>
      <c r="J240" s="105" t="s">
        <v>744</v>
      </c>
      <c r="K240" s="51">
        <f>I240*G240</f>
        <v>4.616793167125207E-2</v>
      </c>
      <c r="L240" s="74" t="s">
        <v>364</v>
      </c>
      <c r="M240" s="73"/>
      <c r="N240" s="53"/>
      <c r="O240" s="75"/>
      <c r="P240" s="75"/>
      <c r="Q240" s="73"/>
      <c r="R240" s="53"/>
      <c r="S240" s="53"/>
      <c r="T240" s="53"/>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row>
    <row r="241" spans="1:64" ht="15.75" thickBot="1">
      <c r="A241" s="42">
        <v>19</v>
      </c>
      <c r="B241" s="120" t="s">
        <v>754</v>
      </c>
      <c r="C241" s="56"/>
      <c r="D241" s="87">
        <v>0</v>
      </c>
      <c r="E241" s="41"/>
      <c r="F241" s="41"/>
      <c r="G241" s="41"/>
      <c r="H241" s="41"/>
      <c r="I241" s="41"/>
      <c r="J241" s="41"/>
      <c r="K241" s="41"/>
      <c r="L241" s="74"/>
      <c r="M241" s="73"/>
      <c r="N241" s="53"/>
      <c r="O241" s="75"/>
      <c r="P241" s="75"/>
      <c r="Q241" s="73"/>
      <c r="R241" s="53"/>
      <c r="S241" s="53"/>
      <c r="T241" s="53"/>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row>
    <row r="242" spans="1:64" ht="15">
      <c r="A242" s="42">
        <v>20</v>
      </c>
      <c r="B242" s="35" t="s">
        <v>755</v>
      </c>
      <c r="C242" s="41"/>
      <c r="D242" s="41">
        <f>D239+D240+D241</f>
        <v>19065695.949999999</v>
      </c>
      <c r="E242" s="41"/>
      <c r="F242" s="41"/>
      <c r="L242" s="74"/>
      <c r="M242" s="73"/>
      <c r="N242" s="53"/>
      <c r="O242" s="75"/>
      <c r="P242" s="75"/>
      <c r="Q242" s="73"/>
      <c r="R242" s="53"/>
      <c r="S242" s="53"/>
      <c r="T242" s="53"/>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row>
    <row r="243" spans="1:64" ht="15">
      <c r="E243" s="41"/>
      <c r="F243" s="58"/>
      <c r="L243" s="74"/>
      <c r="M243" s="73"/>
      <c r="N243" s="53"/>
      <c r="O243" s="75"/>
      <c r="P243" s="75"/>
      <c r="Q243" s="73"/>
      <c r="R243" s="53"/>
      <c r="S243" s="53"/>
      <c r="T243" s="53"/>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row>
    <row r="244" spans="1:64" ht="15.75" thickBot="1">
      <c r="A244" s="42"/>
      <c r="B244" s="35" t="s">
        <v>756</v>
      </c>
      <c r="C244" s="41"/>
      <c r="D244" s="117" t="s">
        <v>738</v>
      </c>
      <c r="E244" s="41"/>
      <c r="F244" s="58"/>
      <c r="L244" s="74"/>
      <c r="M244" s="73"/>
      <c r="N244" s="53"/>
      <c r="O244" s="75"/>
      <c r="P244" s="75"/>
      <c r="Q244" s="73"/>
      <c r="R244" s="53"/>
      <c r="S244" s="53"/>
      <c r="T244" s="53"/>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row>
    <row r="245" spans="1:64" ht="15">
      <c r="A245" s="42">
        <v>21</v>
      </c>
      <c r="B245" s="41" t="s">
        <v>757</v>
      </c>
      <c r="C245" s="99" t="s">
        <v>884</v>
      </c>
      <c r="D245" s="121">
        <f>'EIA412 INCOME STATEMENT'!C23</f>
        <v>24632</v>
      </c>
      <c r="E245" s="41"/>
      <c r="F245" s="41"/>
      <c r="G245" s="41" t="s">
        <v>364</v>
      </c>
      <c r="H245" s="41"/>
      <c r="I245" s="41"/>
      <c r="J245" s="41"/>
      <c r="K245" s="41"/>
      <c r="L245" s="74"/>
      <c r="M245" s="73"/>
      <c r="N245" s="53"/>
      <c r="O245" s="75"/>
      <c r="P245" s="75"/>
      <c r="Q245" s="73"/>
      <c r="R245" s="53"/>
      <c r="S245" s="53"/>
      <c r="T245" s="53"/>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row>
    <row r="246" spans="1:64" ht="15">
      <c r="A246" s="42"/>
      <c r="B246" s="35"/>
      <c r="D246" s="41"/>
      <c r="E246" s="41"/>
      <c r="F246" s="41"/>
      <c r="G246" s="112" t="s">
        <v>341</v>
      </c>
      <c r="H246" s="41"/>
      <c r="I246" s="41"/>
      <c r="J246" s="41"/>
      <c r="K246" s="41"/>
      <c r="L246" s="74"/>
      <c r="M246" s="73"/>
      <c r="N246" s="53"/>
      <c r="O246" s="75"/>
      <c r="P246" s="75"/>
      <c r="Q246" s="73"/>
      <c r="R246" s="53"/>
      <c r="S246" s="53"/>
      <c r="T246" s="53"/>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row>
    <row r="247" spans="1:64" ht="15.75" thickBot="1">
      <c r="A247" s="42"/>
      <c r="B247" s="35"/>
      <c r="C247" s="99"/>
      <c r="D247" s="47" t="s">
        <v>738</v>
      </c>
      <c r="E247" s="47" t="s">
        <v>758</v>
      </c>
      <c r="F247" s="41"/>
      <c r="G247" s="47" t="s">
        <v>759</v>
      </c>
      <c r="H247" s="41"/>
      <c r="I247" s="47" t="s">
        <v>760</v>
      </c>
      <c r="J247" s="41"/>
      <c r="K247" s="41"/>
      <c r="L247" s="74"/>
      <c r="M247" s="73"/>
      <c r="N247" s="53"/>
      <c r="O247" s="75"/>
      <c r="P247" s="75"/>
      <c r="Q247" s="73"/>
      <c r="R247" s="53"/>
      <c r="S247" s="53"/>
      <c r="T247" s="53"/>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row>
    <row r="248" spans="1:64" ht="15">
      <c r="A248" s="42">
        <v>22</v>
      </c>
      <c r="B248" s="35" t="s">
        <v>761</v>
      </c>
      <c r="C248" s="122" t="s">
        <v>863</v>
      </c>
      <c r="D248" s="89">
        <f>'EIA412 BALANCE SHEET'!F19</f>
        <v>465000</v>
      </c>
      <c r="E248" s="123">
        <f>D248/D250</f>
        <v>3.9666656771328634E-2</v>
      </c>
      <c r="F248" s="124"/>
      <c r="G248" s="125">
        <f>IF(D248&gt;0,D245/D248,0)</f>
        <v>5.2972043010752687E-2</v>
      </c>
      <c r="I248" s="124">
        <f>G248*E248</f>
        <v>2.1012238485835846E-3</v>
      </c>
      <c r="J248" s="126" t="s">
        <v>762</v>
      </c>
      <c r="L248" s="74"/>
      <c r="M248" s="73"/>
      <c r="N248" s="53"/>
      <c r="O248" s="75"/>
      <c r="P248" s="75"/>
      <c r="Q248" s="73"/>
      <c r="R248" s="53"/>
      <c r="S248" s="53"/>
      <c r="T248" s="53"/>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row>
    <row r="249" spans="1:64" ht="15.75" thickBot="1">
      <c r="A249" s="42">
        <v>23</v>
      </c>
      <c r="B249" s="35" t="s">
        <v>763</v>
      </c>
      <c r="C249" t="s">
        <v>864</v>
      </c>
      <c r="D249" s="87">
        <f>'EIA412 BALANCE SHEET'!F15</f>
        <v>11257692</v>
      </c>
      <c r="E249" s="123">
        <f>D249/D250</f>
        <v>0.96033334322867137</v>
      </c>
      <c r="F249" s="124"/>
      <c r="G249" s="127">
        <f>I252</f>
        <v>0.12379999999999999</v>
      </c>
      <c r="I249" s="128">
        <f>G249*E249</f>
        <v>0.1188892678917095</v>
      </c>
      <c r="J249" s="41"/>
      <c r="L249" s="74"/>
      <c r="M249" s="73"/>
      <c r="N249" s="53"/>
      <c r="O249" s="75"/>
      <c r="P249" s="75"/>
      <c r="Q249" s="73"/>
      <c r="R249" s="53"/>
      <c r="S249" s="53"/>
      <c r="T249" s="53"/>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row>
    <row r="250" spans="1:64" ht="15">
      <c r="A250" s="42">
        <v>24</v>
      </c>
      <c r="B250" s="35" t="s">
        <v>764</v>
      </c>
      <c r="C250" s="99"/>
      <c r="D250" s="41">
        <f>SUM(D248:D249)</f>
        <v>11722692</v>
      </c>
      <c r="E250" s="123">
        <f>SUM(E248:E249)</f>
        <v>1</v>
      </c>
      <c r="F250" s="124"/>
      <c r="G250" s="124"/>
      <c r="I250" s="124">
        <f>SUM(I248:I249)</f>
        <v>0.12099049174029308</v>
      </c>
      <c r="J250" s="126" t="s">
        <v>765</v>
      </c>
      <c r="L250" s="74"/>
      <c r="M250" s="73"/>
      <c r="N250" s="53"/>
      <c r="O250" s="75"/>
      <c r="P250" s="75"/>
      <c r="Q250" s="73"/>
      <c r="R250" s="53"/>
      <c r="S250" s="53"/>
      <c r="T250" s="53"/>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row>
    <row r="251" spans="1:64" ht="15">
      <c r="L251" s="74"/>
      <c r="M251" s="73"/>
      <c r="N251" s="53"/>
      <c r="O251" s="75"/>
      <c r="P251" s="75"/>
      <c r="Q251" s="73"/>
      <c r="R251" s="53"/>
      <c r="S251" s="53"/>
      <c r="T251" s="53"/>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row>
    <row r="252" spans="1:64" ht="15">
      <c r="A252" s="42">
        <v>25</v>
      </c>
      <c r="D252" s="32" t="s">
        <v>766</v>
      </c>
      <c r="E252" s="41"/>
      <c r="F252" s="41"/>
      <c r="G252" s="41"/>
      <c r="H252" s="41"/>
      <c r="I252" s="129">
        <v>0.12379999999999999</v>
      </c>
      <c r="L252" s="74"/>
      <c r="M252" s="73"/>
      <c r="N252" s="53"/>
      <c r="O252" s="75"/>
      <c r="P252" s="75"/>
      <c r="Q252" s="73"/>
      <c r="R252" s="53"/>
      <c r="S252" s="53"/>
      <c r="T252" s="53"/>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row>
    <row r="253" spans="1:64" ht="15">
      <c r="A253" s="42">
        <v>26</v>
      </c>
      <c r="B253" s="58"/>
      <c r="D253" s="58"/>
      <c r="E253" s="58"/>
      <c r="F253" s="58"/>
      <c r="G253" s="58" t="s">
        <v>767</v>
      </c>
      <c r="H253" s="58"/>
      <c r="I253" s="118">
        <f>IF(G248&gt;0,I250/G248,0)</f>
        <v>2.2840442781437269</v>
      </c>
      <c r="L253" s="74"/>
      <c r="M253" s="73"/>
      <c r="N253" s="53"/>
      <c r="O253" s="75"/>
      <c r="P253" s="75"/>
      <c r="Q253" s="73"/>
      <c r="R253" s="53"/>
      <c r="S253" s="53"/>
      <c r="T253" s="53"/>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row>
    <row r="254" spans="1:64" ht="15">
      <c r="B254" s="35" t="s">
        <v>768</v>
      </c>
      <c r="L254" s="74"/>
      <c r="M254" s="73"/>
      <c r="N254" s="53"/>
      <c r="O254" s="75"/>
      <c r="P254" s="75"/>
      <c r="Q254" s="73"/>
      <c r="R254" s="53"/>
      <c r="S254" s="53"/>
      <c r="T254" s="53"/>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row>
    <row r="255" spans="1:64" ht="15.75" thickBot="1">
      <c r="A255" s="42"/>
      <c r="B255" s="35"/>
      <c r="C255" s="35"/>
      <c r="D255" s="35"/>
      <c r="E255" s="35"/>
      <c r="F255" s="35"/>
      <c r="G255" s="35"/>
      <c r="H255" s="35"/>
      <c r="I255" s="47" t="s">
        <v>769</v>
      </c>
      <c r="J255" s="35"/>
      <c r="K255" s="35"/>
      <c r="L255" s="35"/>
      <c r="M255" s="73"/>
      <c r="N255" s="53"/>
      <c r="O255" s="131"/>
      <c r="P255" s="75"/>
      <c r="Q255" s="73"/>
      <c r="R255" s="53"/>
      <c r="S255" s="53"/>
      <c r="T255" s="53"/>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row>
    <row r="256" spans="1:64" ht="15">
      <c r="A256" s="42"/>
      <c r="B256" s="35" t="s">
        <v>770</v>
      </c>
      <c r="C256" s="36"/>
      <c r="D256" s="36"/>
      <c r="E256" s="36"/>
      <c r="F256" s="36"/>
      <c r="G256" s="60" t="s">
        <v>364</v>
      </c>
      <c r="H256" s="132"/>
      <c r="I256" s="133"/>
      <c r="J256" s="35"/>
      <c r="K256" s="35"/>
      <c r="L256" s="35"/>
      <c r="M256" s="73"/>
      <c r="N256" s="53"/>
      <c r="O256" s="131"/>
      <c r="P256" s="75"/>
      <c r="Q256" s="73"/>
      <c r="R256" s="53"/>
      <c r="S256" s="53"/>
      <c r="T256" s="53"/>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row>
    <row r="257" spans="1:64" ht="15">
      <c r="A257" s="42">
        <v>27</v>
      </c>
      <c r="B257" s="312" t="s">
        <v>771</v>
      </c>
      <c r="C257" s="36"/>
      <c r="D257" s="36"/>
      <c r="E257" s="36" t="s">
        <v>772</v>
      </c>
      <c r="F257" s="36"/>
      <c r="G257" s="58"/>
      <c r="H257" s="132"/>
      <c r="I257" s="134">
        <v>0</v>
      </c>
      <c r="J257" s="35"/>
      <c r="K257" s="35"/>
      <c r="L257" s="35"/>
      <c r="M257" s="73"/>
      <c r="N257" s="53"/>
      <c r="O257" s="131"/>
      <c r="P257" s="75"/>
      <c r="Q257" s="73"/>
      <c r="R257" s="53"/>
      <c r="S257" s="53"/>
      <c r="T257" s="53"/>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row>
    <row r="258" spans="1:64" ht="15.75" thickBot="1">
      <c r="A258" s="42">
        <v>28</v>
      </c>
      <c r="B258" s="135" t="s">
        <v>773</v>
      </c>
      <c r="C258" s="111"/>
      <c r="D258" s="135"/>
      <c r="E258" s="111"/>
      <c r="F258" s="111"/>
      <c r="G258" s="111"/>
      <c r="H258" s="36"/>
      <c r="I258" s="136">
        <v>0</v>
      </c>
      <c r="J258" s="35"/>
      <c r="K258" s="35"/>
      <c r="L258" s="35"/>
      <c r="M258" s="52"/>
      <c r="N258" s="53"/>
      <c r="O258" s="131"/>
      <c r="P258" s="75"/>
      <c r="Q258" s="73"/>
      <c r="R258" s="53"/>
      <c r="S258" s="53"/>
      <c r="T258" s="53"/>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row>
    <row r="259" spans="1:64" ht="15">
      <c r="A259" s="42">
        <v>29</v>
      </c>
      <c r="B259" s="58" t="s">
        <v>774</v>
      </c>
      <c r="C259" s="36"/>
      <c r="D259" s="58"/>
      <c r="E259" s="36"/>
      <c r="F259" s="36"/>
      <c r="G259" s="36"/>
      <c r="H259" s="36"/>
      <c r="I259" s="134">
        <f>+I257-I258</f>
        <v>0</v>
      </c>
      <c r="J259" s="35"/>
      <c r="K259" s="35"/>
      <c r="L259" s="35"/>
      <c r="M259" s="52"/>
      <c r="N259" s="53"/>
      <c r="O259" s="131"/>
      <c r="P259" s="75"/>
      <c r="Q259" s="73"/>
      <c r="R259" s="53"/>
      <c r="S259" s="53"/>
      <c r="T259" s="53"/>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row>
    <row r="260" spans="1:64" s="402" customFormat="1" ht="15">
      <c r="A260" s="409"/>
      <c r="B260" s="417"/>
      <c r="C260" s="406"/>
      <c r="D260" s="417"/>
      <c r="E260" s="406"/>
      <c r="F260" s="406"/>
      <c r="G260" s="406"/>
      <c r="H260" s="406"/>
      <c r="I260" s="426"/>
      <c r="J260" s="405"/>
      <c r="K260" s="405"/>
      <c r="L260" s="405"/>
      <c r="M260" s="413"/>
      <c r="N260" s="414"/>
      <c r="O260" s="425"/>
      <c r="P260" s="420"/>
      <c r="Q260" s="418"/>
      <c r="R260" s="414"/>
      <c r="S260" s="414"/>
      <c r="T260" s="414"/>
      <c r="U260" s="404"/>
      <c r="V260" s="404"/>
      <c r="W260" s="404"/>
      <c r="X260" s="404"/>
      <c r="Y260" s="404"/>
      <c r="Z260" s="404"/>
      <c r="AA260" s="404"/>
      <c r="AB260" s="404"/>
      <c r="AC260" s="404"/>
      <c r="AD260" s="404"/>
      <c r="AE260" s="404"/>
      <c r="AF260" s="404"/>
      <c r="AG260" s="404"/>
      <c r="AH260" s="404"/>
      <c r="AI260" s="404"/>
      <c r="AJ260" s="404"/>
      <c r="AK260" s="404"/>
      <c r="AL260" s="404"/>
      <c r="AM260" s="404"/>
      <c r="AN260" s="404"/>
      <c r="AO260" s="404"/>
      <c r="AP260" s="404"/>
      <c r="AQ260" s="404"/>
      <c r="AR260" s="404"/>
      <c r="AS260" s="404"/>
      <c r="AT260" s="404"/>
      <c r="AU260" s="404"/>
      <c r="AV260" s="404"/>
      <c r="AW260" s="404"/>
      <c r="AX260" s="404"/>
      <c r="AY260" s="404"/>
      <c r="AZ260" s="404"/>
      <c r="BA260" s="404"/>
      <c r="BB260" s="404"/>
      <c r="BC260" s="404"/>
      <c r="BD260" s="404"/>
      <c r="BE260" s="404"/>
      <c r="BF260" s="404"/>
      <c r="BG260" s="404"/>
      <c r="BH260" s="404"/>
      <c r="BI260" s="404"/>
      <c r="BJ260" s="404"/>
      <c r="BK260" s="404"/>
      <c r="BL260" s="404"/>
    </row>
    <row r="261" spans="1:64" ht="15">
      <c r="A261" s="42">
        <v>30</v>
      </c>
      <c r="B261" s="35" t="s">
        <v>775</v>
      </c>
      <c r="C261" s="36"/>
      <c r="D261" s="58"/>
      <c r="E261" s="36"/>
      <c r="F261" s="36"/>
      <c r="G261" s="138"/>
      <c r="H261" s="36"/>
      <c r="I261" s="139">
        <v>0</v>
      </c>
      <c r="J261" s="35"/>
      <c r="K261" s="35"/>
      <c r="L261" s="35"/>
      <c r="M261" s="140"/>
      <c r="N261" s="53"/>
      <c r="O261" s="131"/>
      <c r="P261" s="75"/>
      <c r="Q261" s="73"/>
      <c r="R261" s="53"/>
      <c r="S261" s="53"/>
      <c r="T261" s="53"/>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row>
    <row r="262" spans="1:64" ht="15">
      <c r="A262" s="42"/>
      <c r="C262" s="36"/>
      <c r="D262" s="36"/>
      <c r="E262" s="36"/>
      <c r="F262" s="36"/>
      <c r="G262" s="36"/>
      <c r="H262" s="36"/>
      <c r="I262" s="137"/>
      <c r="J262" s="35"/>
      <c r="K262" s="35"/>
      <c r="L262" s="35"/>
      <c r="M262" s="130"/>
      <c r="N262" s="53"/>
      <c r="O262" s="131"/>
      <c r="P262" s="75"/>
      <c r="Q262" s="73"/>
      <c r="R262" s="53"/>
      <c r="S262" s="53"/>
      <c r="T262" s="53"/>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row>
    <row r="263" spans="1:64" ht="15">
      <c r="B263" s="35" t="s">
        <v>841</v>
      </c>
      <c r="C263" s="36"/>
      <c r="D263" s="36"/>
      <c r="E263" s="36"/>
      <c r="F263" s="36"/>
      <c r="G263" s="36"/>
      <c r="H263" s="36"/>
      <c r="J263" s="35"/>
      <c r="K263" s="35"/>
      <c r="L263" s="35"/>
      <c r="M263" s="130"/>
      <c r="N263" s="53"/>
      <c r="O263" s="131"/>
      <c r="P263" s="75"/>
      <c r="Q263" s="73"/>
      <c r="R263" s="53"/>
      <c r="S263" s="53"/>
      <c r="T263" s="53"/>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row>
    <row r="264" spans="1:64" ht="15.75">
      <c r="A264" s="42">
        <v>31</v>
      </c>
      <c r="B264" s="35" t="s">
        <v>776</v>
      </c>
      <c r="C264" s="41"/>
      <c r="D264" s="41"/>
      <c r="E264" s="41"/>
      <c r="F264" s="41"/>
      <c r="G264" s="41"/>
      <c r="H264" s="41"/>
      <c r="I264" s="141">
        <f>'TRANS TARIFF REV + EXP'!AA46</f>
        <v>282324.46999999997</v>
      </c>
      <c r="J264" s="35"/>
      <c r="K264" s="35"/>
      <c r="L264" s="330" t="s">
        <v>318</v>
      </c>
      <c r="M264" s="308"/>
      <c r="N264" s="313"/>
      <c r="O264" s="310"/>
      <c r="P264" s="309"/>
      <c r="R264" s="53"/>
      <c r="S264" s="53"/>
      <c r="T264" s="53"/>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row>
    <row r="265" spans="1:64" ht="15.75">
      <c r="A265" s="42">
        <v>32</v>
      </c>
      <c r="B265" s="317" t="s">
        <v>777</v>
      </c>
      <c r="C265" s="318"/>
      <c r="D265" s="318"/>
      <c r="E265" s="318"/>
      <c r="F265" s="318"/>
      <c r="G265" s="36"/>
      <c r="H265" s="36"/>
      <c r="I265" s="141">
        <f>'TRANS TARIFF REV + EXP'!AA45</f>
        <v>255912.16</v>
      </c>
      <c r="J265" s="35"/>
      <c r="K265" s="35"/>
      <c r="L265" s="330" t="s">
        <v>319</v>
      </c>
      <c r="M265" s="327"/>
      <c r="N265" s="331"/>
      <c r="O265" s="326"/>
      <c r="P265" s="332"/>
      <c r="R265" s="53"/>
      <c r="S265" s="53"/>
      <c r="T265" s="53"/>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row>
    <row r="266" spans="1:64" ht="15">
      <c r="A266" s="42" t="s">
        <v>309</v>
      </c>
      <c r="B266" s="317" t="s">
        <v>865</v>
      </c>
      <c r="C266" s="318"/>
      <c r="D266" s="318"/>
      <c r="E266" s="318"/>
      <c r="F266" s="318"/>
      <c r="G266" s="36"/>
      <c r="H266" s="36"/>
      <c r="I266" s="141">
        <v>0</v>
      </c>
      <c r="J266" s="35"/>
      <c r="K266" s="35"/>
      <c r="L266" s="35"/>
      <c r="M266" s="140"/>
      <c r="N266" s="53"/>
      <c r="O266" s="131"/>
      <c r="P266" s="54"/>
      <c r="Q266" s="73"/>
      <c r="R266" s="53"/>
      <c r="S266" s="53"/>
      <c r="T266" s="53"/>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row>
    <row r="267" spans="1:64" ht="15">
      <c r="A267" s="42" t="s">
        <v>867</v>
      </c>
      <c r="B267" s="317" t="s">
        <v>868</v>
      </c>
      <c r="C267" s="318"/>
      <c r="D267" s="318"/>
      <c r="E267" s="318"/>
      <c r="F267" s="318"/>
      <c r="G267" s="36"/>
      <c r="H267" s="36"/>
      <c r="I267" s="141">
        <v>0</v>
      </c>
      <c r="J267" s="35"/>
      <c r="K267" s="35"/>
      <c r="L267" s="35"/>
      <c r="M267" s="140"/>
      <c r="N267" s="53"/>
      <c r="O267" s="131"/>
      <c r="P267" s="54"/>
      <c r="Q267" s="73"/>
      <c r="R267" s="53"/>
      <c r="S267" s="53"/>
      <c r="T267" s="53"/>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row>
    <row r="268" spans="1:64" ht="15">
      <c r="A268" s="42">
        <v>33</v>
      </c>
      <c r="B268" s="142" t="s">
        <v>866</v>
      </c>
      <c r="C268" s="39"/>
      <c r="D268" s="41"/>
      <c r="E268" s="41"/>
      <c r="F268" s="41"/>
      <c r="G268" s="41"/>
      <c r="H268" s="36"/>
      <c r="I268" s="143">
        <f>+I264-I265-I266-I267</f>
        <v>26412.309999999969</v>
      </c>
      <c r="J268" s="35"/>
      <c r="K268" s="35"/>
      <c r="L268" s="35"/>
      <c r="M268" s="54"/>
      <c r="N268" s="53"/>
      <c r="O268" s="131"/>
      <c r="P268" s="54"/>
      <c r="Q268" s="73"/>
      <c r="R268" s="53"/>
      <c r="S268" s="53"/>
      <c r="T268" s="53"/>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row>
    <row r="269" spans="1:64" ht="15">
      <c r="A269" s="42"/>
      <c r="B269" s="142"/>
      <c r="C269" s="39"/>
      <c r="D269" s="41"/>
      <c r="E269" s="41"/>
      <c r="F269" s="41"/>
      <c r="G269" s="41"/>
      <c r="H269" s="36"/>
      <c r="I269" s="143"/>
      <c r="J269" s="35"/>
      <c r="K269" s="35"/>
      <c r="L269" s="35"/>
      <c r="M269" s="54"/>
      <c r="N269" s="53"/>
      <c r="O269" s="131"/>
      <c r="P269" s="54"/>
      <c r="Q269" s="73"/>
      <c r="R269" s="53"/>
      <c r="S269" s="53"/>
      <c r="T269" s="53"/>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row>
    <row r="270" spans="1:64" ht="15">
      <c r="B270" s="35"/>
      <c r="C270" s="35"/>
      <c r="D270" s="38"/>
      <c r="E270" s="35"/>
      <c r="F270" s="35"/>
      <c r="G270" s="35"/>
      <c r="H270"/>
      <c r="I270"/>
      <c r="J270"/>
      <c r="K270"/>
      <c r="L270"/>
      <c r="M270" s="54"/>
      <c r="N270" s="53"/>
      <c r="O270" s="54"/>
      <c r="P270" s="54"/>
      <c r="Q270" s="54"/>
      <c r="R270" s="53"/>
      <c r="S270" s="53"/>
      <c r="T270" s="53"/>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row>
    <row r="271" spans="1:64" ht="15">
      <c r="B271" s="35"/>
      <c r="C271" s="35"/>
      <c r="D271" s="38"/>
      <c r="E271" s="35"/>
      <c r="F271" s="35"/>
      <c r="G271" s="35"/>
      <c r="H271"/>
      <c r="I271"/>
      <c r="J271"/>
      <c r="K271"/>
      <c r="L271"/>
      <c r="M271" s="54"/>
      <c r="N271" s="53"/>
      <c r="O271" s="54"/>
      <c r="P271" s="54"/>
      <c r="Q271" s="54"/>
      <c r="R271" s="53"/>
      <c r="S271" s="53"/>
      <c r="T271" s="53"/>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row>
    <row r="272" spans="1:64" ht="15.75">
      <c r="A272" s="320"/>
      <c r="B272" s="581"/>
      <c r="C272" s="320"/>
      <c r="D272" s="428"/>
      <c r="E272" s="428"/>
      <c r="F272" s="428"/>
      <c r="G272" s="428"/>
      <c r="H272" s="329"/>
      <c r="I272" s="582"/>
      <c r="J272" s="313"/>
      <c r="K272" s="583" t="s">
        <v>918</v>
      </c>
      <c r="L272"/>
      <c r="M272" s="54"/>
      <c r="N272" s="53"/>
      <c r="O272" s="54"/>
      <c r="P272" s="54"/>
      <c r="Q272" s="54"/>
      <c r="R272" s="53"/>
      <c r="S272" s="53"/>
      <c r="T272" s="53"/>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row>
    <row r="273" spans="1:64" ht="15.75">
      <c r="A273" s="427"/>
      <c r="B273" s="313"/>
      <c r="C273" s="313"/>
      <c r="D273" s="427"/>
      <c r="E273" s="313"/>
      <c r="F273" s="313"/>
      <c r="G273" s="313"/>
      <c r="H273" s="329"/>
      <c r="I273" s="329"/>
      <c r="J273" s="427"/>
      <c r="K273" s="584" t="s">
        <v>778</v>
      </c>
      <c r="L273" s="37"/>
      <c r="M273" s="54"/>
      <c r="N273" s="53"/>
      <c r="O273" s="54"/>
      <c r="P273" s="54"/>
      <c r="Q273" s="54"/>
      <c r="R273" s="53"/>
      <c r="S273" s="53"/>
      <c r="T273" s="53"/>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row>
    <row r="274" spans="1:64" ht="15.75">
      <c r="A274" s="320"/>
      <c r="B274" s="581" t="str">
        <f>B4</f>
        <v xml:space="preserve">Formula Rate - Non-Levelized </v>
      </c>
      <c r="C274" s="630" t="str">
        <f>D4</f>
        <v xml:space="preserve">   Rate Formula Template</v>
      </c>
      <c r="D274" s="630"/>
      <c r="E274" s="314"/>
      <c r="F274" s="314"/>
      <c r="G274" s="314"/>
      <c r="H274" s="585"/>
      <c r="I274" s="626" t="str">
        <f>I4</f>
        <v>For the 12 months ended 12/31/14</v>
      </c>
      <c r="J274" s="626"/>
      <c r="K274" s="626"/>
      <c r="L274" s="99"/>
      <c r="M274" s="54"/>
      <c r="N274" s="53"/>
      <c r="O274" s="144"/>
      <c r="P274" s="54"/>
      <c r="Q274" s="73"/>
      <c r="R274" s="53"/>
      <c r="S274" s="53"/>
      <c r="T274" s="53"/>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row>
    <row r="275" spans="1:64" ht="15.75">
      <c r="A275" s="320"/>
      <c r="B275" s="581"/>
      <c r="C275" s="320"/>
      <c r="D275" s="314" t="str">
        <f>D5</f>
        <v>Utilizing EIA Form 412 Data</v>
      </c>
      <c r="E275" s="314"/>
      <c r="F275" s="314"/>
      <c r="G275" s="314"/>
      <c r="H275" s="329"/>
      <c r="I275" s="586"/>
      <c r="J275" s="587"/>
      <c r="K275" s="588"/>
      <c r="L275" s="99"/>
      <c r="M275" s="54"/>
      <c r="N275" s="53"/>
      <c r="O275" s="144"/>
      <c r="P275" s="54"/>
      <c r="Q275" s="73"/>
      <c r="R275" s="53"/>
      <c r="S275" s="53"/>
      <c r="T275" s="53"/>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row>
    <row r="276" spans="1:64" ht="15.75">
      <c r="A276" s="320"/>
      <c r="B276" s="581"/>
      <c r="C276" s="320"/>
      <c r="D276" s="314" t="str">
        <f>D7</f>
        <v>Delano</v>
      </c>
      <c r="E276" s="314"/>
      <c r="F276" s="314"/>
      <c r="G276" s="314"/>
      <c r="H276" s="329"/>
      <c r="I276" s="586"/>
      <c r="J276" s="587"/>
      <c r="K276" s="588"/>
      <c r="L276" s="99"/>
      <c r="M276" s="54"/>
      <c r="N276" s="53"/>
      <c r="O276" s="144"/>
      <c r="P276" s="54"/>
      <c r="Q276" s="54"/>
      <c r="R276" s="53"/>
      <c r="S276" s="53"/>
      <c r="T276" s="53"/>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row>
    <row r="277" spans="1:64" ht="20.25">
      <c r="A277" s="320"/>
      <c r="B277" s="313" t="s">
        <v>779</v>
      </c>
      <c r="C277" s="320"/>
      <c r="D277" s="314"/>
      <c r="E277" s="314"/>
      <c r="F277" s="314"/>
      <c r="G277" s="314"/>
      <c r="H277" s="329"/>
      <c r="I277" s="314"/>
      <c r="J277" s="587"/>
      <c r="K277" s="588"/>
      <c r="L277" s="145"/>
      <c r="M277" s="54"/>
      <c r="N277" s="53"/>
      <c r="O277" s="146"/>
      <c r="P277" s="54"/>
      <c r="Q277" s="54"/>
      <c r="R277" s="53"/>
      <c r="S277" s="53"/>
      <c r="T277" s="53"/>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row>
    <row r="278" spans="1:64" ht="20.25">
      <c r="A278" s="320"/>
      <c r="B278" s="589" t="s">
        <v>1049</v>
      </c>
      <c r="C278" s="320"/>
      <c r="D278" s="314"/>
      <c r="E278" s="314"/>
      <c r="F278" s="314"/>
      <c r="G278" s="314"/>
      <c r="H278" s="329"/>
      <c r="I278" s="314"/>
      <c r="J278" s="329"/>
      <c r="K278" s="314"/>
      <c r="L278" s="145"/>
      <c r="M278" s="54"/>
      <c r="N278" s="53"/>
      <c r="O278" s="146"/>
      <c r="P278" s="54"/>
      <c r="Q278" s="54"/>
      <c r="R278" s="53"/>
      <c r="S278" s="53"/>
      <c r="T278" s="53"/>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row>
    <row r="279" spans="1:64" ht="20.25">
      <c r="A279" s="427"/>
      <c r="B279" s="589" t="s">
        <v>1050</v>
      </c>
      <c r="C279" s="320"/>
      <c r="D279" s="314"/>
      <c r="E279" s="314"/>
      <c r="F279" s="314"/>
      <c r="G279" s="314"/>
      <c r="H279" s="329"/>
      <c r="I279" s="314"/>
      <c r="J279" s="329"/>
      <c r="K279" s="314"/>
      <c r="L279" s="145"/>
      <c r="M279" s="54"/>
      <c r="N279" s="53"/>
      <c r="O279" s="146"/>
      <c r="P279" s="54"/>
      <c r="Q279" s="54"/>
      <c r="R279" s="53"/>
      <c r="S279" s="53"/>
      <c r="T279" s="53"/>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row>
    <row r="280" spans="1:64" ht="20.25">
      <c r="A280" s="320" t="s">
        <v>780</v>
      </c>
      <c r="B280" s="313" t="s">
        <v>1051</v>
      </c>
      <c r="C280" s="329"/>
      <c r="D280" s="314"/>
      <c r="E280" s="314"/>
      <c r="F280" s="314"/>
      <c r="G280" s="590"/>
      <c r="H280" s="329"/>
      <c r="I280" s="314"/>
      <c r="J280" s="329"/>
      <c r="K280" s="314"/>
      <c r="L280" s="145"/>
      <c r="M280" s="54"/>
      <c r="N280" s="53"/>
      <c r="O280" s="146"/>
      <c r="P280" s="54"/>
      <c r="Q280" s="54"/>
      <c r="R280" s="53"/>
      <c r="S280" s="53"/>
      <c r="T280" s="53"/>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row>
    <row r="281" spans="1:64" ht="21" thickBot="1">
      <c r="A281" s="591" t="s">
        <v>781</v>
      </c>
      <c r="B281" s="427"/>
      <c r="C281" s="329"/>
      <c r="D281" s="314"/>
      <c r="E281" s="314"/>
      <c r="F281" s="314"/>
      <c r="G281" s="314"/>
      <c r="H281" s="329"/>
      <c r="I281" s="314"/>
      <c r="J281" s="329"/>
      <c r="K281" s="314"/>
      <c r="L281" s="145"/>
      <c r="M281" s="54"/>
      <c r="N281" s="53"/>
      <c r="O281" s="146"/>
      <c r="P281" s="54"/>
      <c r="Q281" s="54"/>
      <c r="R281" s="53"/>
      <c r="S281" s="53"/>
      <c r="T281" s="53"/>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row>
    <row r="282" spans="1:64" ht="42" customHeight="1">
      <c r="A282" s="319" t="s">
        <v>782</v>
      </c>
      <c r="B282" s="628" t="s">
        <v>1052</v>
      </c>
      <c r="C282" s="628"/>
      <c r="D282" s="628"/>
      <c r="E282" s="628"/>
      <c r="F282" s="628"/>
      <c r="G282" s="628"/>
      <c r="H282" s="628"/>
      <c r="I282" s="628"/>
      <c r="J282" s="628"/>
      <c r="K282" s="628"/>
      <c r="L282" s="145"/>
      <c r="M282" s="54"/>
      <c r="N282" s="53"/>
      <c r="O282" s="146"/>
      <c r="P282" s="54"/>
      <c r="Q282" s="54"/>
      <c r="R282" s="53"/>
      <c r="S282" s="53"/>
      <c r="T282" s="53"/>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row>
    <row r="283" spans="1:64" ht="60.75" customHeight="1">
      <c r="A283" s="319" t="s">
        <v>783</v>
      </c>
      <c r="B283" s="628" t="s">
        <v>1053</v>
      </c>
      <c r="C283" s="628"/>
      <c r="D283" s="628"/>
      <c r="E283" s="628"/>
      <c r="F283" s="628"/>
      <c r="G283" s="628"/>
      <c r="H283" s="628"/>
      <c r="I283" s="628"/>
      <c r="J283" s="628"/>
      <c r="K283" s="628"/>
      <c r="L283" s="145"/>
      <c r="M283" s="54"/>
      <c r="N283" s="53"/>
      <c r="O283" s="146"/>
      <c r="P283" s="147"/>
      <c r="Q283" s="54"/>
      <c r="R283" s="53"/>
      <c r="S283" s="53"/>
      <c r="T283" s="53"/>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row>
    <row r="284" spans="1:64" ht="20.25">
      <c r="A284" s="319" t="s">
        <v>784</v>
      </c>
      <c r="B284" s="628" t="s">
        <v>1054</v>
      </c>
      <c r="C284" s="628"/>
      <c r="D284" s="628"/>
      <c r="E284" s="628"/>
      <c r="F284" s="628"/>
      <c r="G284" s="628"/>
      <c r="H284" s="628"/>
      <c r="I284" s="628"/>
      <c r="J284" s="628"/>
      <c r="K284" s="628"/>
      <c r="L284" s="145"/>
      <c r="M284" s="54"/>
      <c r="N284" s="53"/>
      <c r="O284" s="146"/>
      <c r="P284" s="54"/>
      <c r="Q284" s="54"/>
      <c r="R284" s="53"/>
      <c r="S284" s="53"/>
      <c r="T284" s="53"/>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row>
    <row r="285" spans="1:64" ht="20.25">
      <c r="A285" s="319" t="s">
        <v>785</v>
      </c>
      <c r="B285" s="628" t="s">
        <v>1054</v>
      </c>
      <c r="C285" s="628"/>
      <c r="D285" s="628"/>
      <c r="E285" s="628"/>
      <c r="F285" s="628"/>
      <c r="G285" s="628"/>
      <c r="H285" s="628"/>
      <c r="I285" s="628"/>
      <c r="J285" s="628"/>
      <c r="K285" s="628"/>
      <c r="L285" s="145"/>
      <c r="M285" s="54"/>
      <c r="N285" s="53"/>
      <c r="O285" s="146"/>
      <c r="P285" s="54"/>
      <c r="Q285" s="54"/>
      <c r="R285" s="53"/>
      <c r="S285" s="53"/>
      <c r="T285" s="53"/>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row>
    <row r="286" spans="1:64" ht="20.25">
      <c r="A286" s="319" t="s">
        <v>786</v>
      </c>
      <c r="B286" s="628" t="s">
        <v>1055</v>
      </c>
      <c r="C286" s="628"/>
      <c r="D286" s="628"/>
      <c r="E286" s="628"/>
      <c r="F286" s="628"/>
      <c r="G286" s="628"/>
      <c r="H286" s="628"/>
      <c r="I286" s="628"/>
      <c r="J286" s="628"/>
      <c r="K286" s="628"/>
      <c r="L286" s="145"/>
      <c r="M286" s="54"/>
      <c r="N286" s="53"/>
      <c r="O286" s="146"/>
      <c r="P286" s="54"/>
      <c r="Q286" s="54"/>
      <c r="R286" s="53"/>
      <c r="S286" s="53"/>
      <c r="T286" s="53"/>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row>
    <row r="287" spans="1:64" ht="38.25" customHeight="1">
      <c r="A287" s="319" t="s">
        <v>787</v>
      </c>
      <c r="B287" s="627" t="s">
        <v>1056</v>
      </c>
      <c r="C287" s="627"/>
      <c r="D287" s="627"/>
      <c r="E287" s="627"/>
      <c r="F287" s="627"/>
      <c r="G287" s="627"/>
      <c r="H287" s="627"/>
      <c r="I287" s="627"/>
      <c r="J287" s="627"/>
      <c r="K287" s="627"/>
      <c r="L287" s="145"/>
      <c r="M287" s="54"/>
      <c r="N287" s="53"/>
      <c r="O287" s="146"/>
      <c r="P287" s="54"/>
      <c r="Q287" s="54"/>
      <c r="R287" s="53"/>
      <c r="S287" s="53"/>
      <c r="T287" s="53"/>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row>
    <row r="288" spans="1:64" ht="20.25">
      <c r="A288" s="319" t="s">
        <v>788</v>
      </c>
      <c r="B288" s="627" t="s">
        <v>789</v>
      </c>
      <c r="C288" s="627"/>
      <c r="D288" s="627"/>
      <c r="E288" s="627"/>
      <c r="F288" s="627"/>
      <c r="G288" s="627"/>
      <c r="H288" s="627"/>
      <c r="I288" s="627"/>
      <c r="J288" s="627"/>
      <c r="K288" s="627"/>
      <c r="L288" s="145"/>
      <c r="M288" s="54"/>
      <c r="N288" s="53"/>
      <c r="O288" s="146"/>
      <c r="P288" s="54"/>
      <c r="Q288" s="54"/>
      <c r="R288" s="53"/>
      <c r="S288" s="53"/>
      <c r="T288" s="53"/>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row>
    <row r="289" spans="1:64" ht="42" customHeight="1">
      <c r="A289" s="319" t="s">
        <v>790</v>
      </c>
      <c r="B289" s="627" t="s">
        <v>1057</v>
      </c>
      <c r="C289" s="627"/>
      <c r="D289" s="627"/>
      <c r="E289" s="627"/>
      <c r="F289" s="627"/>
      <c r="G289" s="627"/>
      <c r="H289" s="627"/>
      <c r="I289" s="627"/>
      <c r="J289" s="627"/>
      <c r="K289" s="627"/>
      <c r="L289" s="145"/>
      <c r="M289" s="54"/>
      <c r="N289" s="53"/>
      <c r="O289" s="146"/>
      <c r="P289" s="54"/>
      <c r="Q289" s="54"/>
      <c r="R289" s="53"/>
      <c r="S289" s="53"/>
      <c r="T289" s="53"/>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row>
    <row r="290" spans="1:64" ht="41.25" customHeight="1">
      <c r="A290" s="319" t="s">
        <v>791</v>
      </c>
      <c r="B290" s="628" t="s">
        <v>1058</v>
      </c>
      <c r="C290" s="628"/>
      <c r="D290" s="628"/>
      <c r="E290" s="628"/>
      <c r="F290" s="628"/>
      <c r="G290" s="628"/>
      <c r="H290" s="628"/>
      <c r="I290" s="628"/>
      <c r="J290" s="628"/>
      <c r="K290" s="628"/>
      <c r="L290" s="145"/>
      <c r="M290" s="54"/>
      <c r="N290" s="53"/>
      <c r="O290" s="146"/>
      <c r="P290" s="54"/>
      <c r="Q290" s="54"/>
      <c r="R290" s="53"/>
      <c r="S290" s="53"/>
      <c r="T290" s="53"/>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row>
    <row r="291" spans="1:64" ht="39.75" customHeight="1">
      <c r="A291" s="319" t="s">
        <v>792</v>
      </c>
      <c r="B291" s="627" t="s">
        <v>1059</v>
      </c>
      <c r="C291" s="627"/>
      <c r="D291" s="627"/>
      <c r="E291" s="627"/>
      <c r="F291" s="627"/>
      <c r="G291" s="627"/>
      <c r="H291" s="627"/>
      <c r="I291" s="627"/>
      <c r="J291" s="627"/>
      <c r="K291" s="627"/>
      <c r="L291" s="145"/>
      <c r="M291" s="54"/>
      <c r="N291" s="53"/>
      <c r="O291" s="146"/>
      <c r="P291" s="54"/>
      <c r="Q291" s="54"/>
      <c r="R291" s="53"/>
      <c r="S291" s="53"/>
      <c r="T291" s="53"/>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row>
    <row r="292" spans="1:64" ht="67.5" customHeight="1">
      <c r="A292" s="319" t="s">
        <v>793</v>
      </c>
      <c r="B292" s="627" t="s">
        <v>1060</v>
      </c>
      <c r="C292" s="627"/>
      <c r="D292" s="627"/>
      <c r="E292" s="627"/>
      <c r="F292" s="627"/>
      <c r="G292" s="627"/>
      <c r="H292" s="627"/>
      <c r="I292" s="627"/>
      <c r="J292" s="627"/>
      <c r="K292" s="627"/>
      <c r="L292" s="145"/>
      <c r="M292" s="54"/>
      <c r="N292" s="53"/>
      <c r="O292" s="146"/>
      <c r="P292" s="54"/>
      <c r="Q292" s="54"/>
      <c r="R292" s="53"/>
      <c r="S292" s="53"/>
      <c r="T292" s="53"/>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row>
    <row r="293" spans="1:64" ht="20.25">
      <c r="A293" s="319" t="s">
        <v>364</v>
      </c>
      <c r="B293" s="592" t="s">
        <v>1061</v>
      </c>
      <c r="C293" s="593" t="s">
        <v>0</v>
      </c>
      <c r="D293" s="594">
        <v>0</v>
      </c>
      <c r="E293" s="593"/>
      <c r="F293" s="595"/>
      <c r="G293" s="595"/>
      <c r="H293" s="321"/>
      <c r="I293" s="595"/>
      <c r="J293" s="321"/>
      <c r="K293" s="595"/>
      <c r="L293" s="145"/>
      <c r="M293" s="54"/>
      <c r="N293" s="53"/>
      <c r="O293" s="146"/>
      <c r="P293" s="54"/>
      <c r="Q293" s="54"/>
      <c r="R293" s="53"/>
      <c r="S293" s="53"/>
      <c r="T293" s="53"/>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row>
    <row r="294" spans="1:64" ht="20.25">
      <c r="A294" s="319"/>
      <c r="B294" s="593"/>
      <c r="C294" s="593" t="s">
        <v>1</v>
      </c>
      <c r="D294" s="594">
        <v>0</v>
      </c>
      <c r="E294" s="627" t="s">
        <v>2</v>
      </c>
      <c r="F294" s="627"/>
      <c r="G294" s="627"/>
      <c r="H294" s="627"/>
      <c r="I294" s="627"/>
      <c r="J294" s="627"/>
      <c r="K294" s="627"/>
      <c r="L294" s="145"/>
      <c r="M294" s="54"/>
      <c r="N294" s="53"/>
      <c r="O294" s="146"/>
      <c r="P294" s="54"/>
      <c r="Q294" s="54"/>
      <c r="R294" s="53"/>
      <c r="S294" s="53"/>
      <c r="T294" s="53"/>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row>
    <row r="295" spans="1:64" ht="20.25">
      <c r="A295" s="319"/>
      <c r="B295" s="593"/>
      <c r="C295" s="593" t="s">
        <v>3</v>
      </c>
      <c r="D295" s="594">
        <v>0</v>
      </c>
      <c r="E295" s="627" t="s">
        <v>4</v>
      </c>
      <c r="F295" s="627"/>
      <c r="G295" s="627"/>
      <c r="H295" s="627"/>
      <c r="I295" s="627"/>
      <c r="J295" s="627"/>
      <c r="K295" s="627"/>
      <c r="L295" s="145"/>
      <c r="M295" s="54"/>
      <c r="N295" s="53"/>
      <c r="O295" s="146"/>
      <c r="P295" s="54"/>
      <c r="Q295" s="54"/>
      <c r="R295" s="53"/>
      <c r="S295" s="53"/>
      <c r="T295" s="53"/>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row>
    <row r="296" spans="1:64" ht="20.25">
      <c r="A296" s="319" t="s">
        <v>5</v>
      </c>
      <c r="B296" s="627" t="s">
        <v>310</v>
      </c>
      <c r="C296" s="627"/>
      <c r="D296" s="627"/>
      <c r="E296" s="627"/>
      <c r="F296" s="627"/>
      <c r="G296" s="627"/>
      <c r="H296" s="627"/>
      <c r="I296" s="627"/>
      <c r="J296" s="627"/>
      <c r="K296" s="627"/>
      <c r="L296" s="145"/>
      <c r="M296" s="54"/>
      <c r="N296" s="53"/>
      <c r="O296" s="146"/>
      <c r="P296" s="95"/>
      <c r="Q296" s="54"/>
      <c r="R296" s="53"/>
      <c r="S296" s="53"/>
      <c r="T296" s="53"/>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row>
    <row r="297" spans="1:64" ht="22.5" customHeight="1">
      <c r="A297" s="319" t="s">
        <v>6</v>
      </c>
      <c r="B297" s="627" t="s">
        <v>1062</v>
      </c>
      <c r="C297" s="627"/>
      <c r="D297" s="627"/>
      <c r="E297" s="627"/>
      <c r="F297" s="627"/>
      <c r="G297" s="627"/>
      <c r="H297" s="627"/>
      <c r="I297" s="627"/>
      <c r="J297" s="627"/>
      <c r="K297" s="627"/>
      <c r="L297" s="145"/>
      <c r="M297" s="54"/>
      <c r="N297" s="53"/>
      <c r="O297" s="146"/>
      <c r="P297" s="95"/>
      <c r="Q297" s="54"/>
      <c r="R297" s="53"/>
      <c r="S297" s="53"/>
      <c r="T297" s="53"/>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row>
    <row r="298" spans="1:64" ht="40.5" customHeight="1">
      <c r="A298" s="319" t="s">
        <v>7</v>
      </c>
      <c r="B298" s="627" t="s">
        <v>311</v>
      </c>
      <c r="C298" s="627"/>
      <c r="D298" s="627"/>
      <c r="E298" s="627"/>
      <c r="F298" s="627"/>
      <c r="G298" s="627"/>
      <c r="H298" s="627"/>
      <c r="I298" s="627"/>
      <c r="J298" s="627"/>
      <c r="K298" s="627"/>
      <c r="L298" s="145"/>
      <c r="M298" s="54"/>
      <c r="N298" s="53"/>
      <c r="O298" s="146"/>
      <c r="P298" s="54"/>
      <c r="Q298" s="54"/>
      <c r="R298" s="53"/>
      <c r="S298" s="53"/>
      <c r="T298" s="53"/>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row>
    <row r="299" spans="1:64" ht="20.25">
      <c r="A299" s="319" t="s">
        <v>8</v>
      </c>
      <c r="B299" s="627" t="s">
        <v>9</v>
      </c>
      <c r="C299" s="627"/>
      <c r="D299" s="627"/>
      <c r="E299" s="627"/>
      <c r="F299" s="627"/>
      <c r="G299" s="627"/>
      <c r="H299" s="627"/>
      <c r="I299" s="627"/>
      <c r="J299" s="627"/>
      <c r="K299" s="627"/>
      <c r="L299" s="145"/>
      <c r="M299" s="54"/>
      <c r="N299" s="53"/>
      <c r="O299" s="146"/>
      <c r="P299" s="54"/>
      <c r="Q299" s="54"/>
      <c r="R299" s="53"/>
      <c r="S299" s="53"/>
      <c r="T299" s="53"/>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row>
    <row r="300" spans="1:64" ht="142.5" customHeight="1">
      <c r="A300" s="319" t="s">
        <v>10</v>
      </c>
      <c r="B300" s="628" t="s">
        <v>1063</v>
      </c>
      <c r="C300" s="628"/>
      <c r="D300" s="628"/>
      <c r="E300" s="628"/>
      <c r="F300" s="628"/>
      <c r="G300" s="628"/>
      <c r="H300" s="628"/>
      <c r="I300" s="628"/>
      <c r="J300" s="628"/>
      <c r="K300" s="628"/>
      <c r="L300" s="145"/>
      <c r="M300" s="54"/>
      <c r="N300" s="53"/>
      <c r="O300" s="146"/>
      <c r="P300" s="54"/>
      <c r="Q300" s="54"/>
      <c r="R300" s="53"/>
      <c r="S300" s="53"/>
      <c r="T300" s="53"/>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row>
    <row r="301" spans="1:64" ht="20.25">
      <c r="A301" s="319" t="s">
        <v>11</v>
      </c>
      <c r="B301" s="627" t="s">
        <v>312</v>
      </c>
      <c r="C301" s="627"/>
      <c r="D301" s="627"/>
      <c r="E301" s="627"/>
      <c r="F301" s="627"/>
      <c r="G301" s="627"/>
      <c r="H301" s="627"/>
      <c r="I301" s="627"/>
      <c r="J301" s="627"/>
      <c r="K301" s="627"/>
      <c r="L301" s="145"/>
      <c r="M301" s="54"/>
      <c r="N301" s="53"/>
      <c r="O301" s="146"/>
      <c r="P301" s="54"/>
      <c r="Q301" s="54"/>
      <c r="R301" s="53"/>
      <c r="S301" s="53"/>
      <c r="T301" s="53"/>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row>
    <row r="302" spans="1:64" ht="20.25">
      <c r="A302" s="319" t="s">
        <v>12</v>
      </c>
      <c r="B302" s="627" t="s">
        <v>13</v>
      </c>
      <c r="C302" s="627"/>
      <c r="D302" s="627"/>
      <c r="E302" s="627"/>
      <c r="F302" s="627"/>
      <c r="G302" s="627"/>
      <c r="H302" s="627"/>
      <c r="I302" s="627"/>
      <c r="J302" s="627"/>
      <c r="K302" s="627"/>
      <c r="L302" s="145"/>
      <c r="M302" s="54"/>
      <c r="N302" s="53"/>
      <c r="O302" s="146"/>
      <c r="P302" s="54"/>
      <c r="Q302" s="54"/>
      <c r="R302" s="53"/>
      <c r="S302" s="53"/>
      <c r="T302" s="53"/>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row>
    <row r="303" spans="1:64" ht="41.25" customHeight="1">
      <c r="A303" s="319" t="s">
        <v>14</v>
      </c>
      <c r="B303" s="627" t="s">
        <v>1064</v>
      </c>
      <c r="C303" s="627"/>
      <c r="D303" s="627"/>
      <c r="E303" s="627"/>
      <c r="F303" s="627"/>
      <c r="G303" s="627"/>
      <c r="H303" s="627"/>
      <c r="I303" s="627"/>
      <c r="J303" s="627"/>
      <c r="K303" s="627"/>
      <c r="L303" s="145"/>
      <c r="M303" s="54"/>
      <c r="N303" s="53"/>
      <c r="O303" s="146"/>
      <c r="P303" s="54"/>
      <c r="Q303" s="54"/>
      <c r="R303" s="53"/>
      <c r="S303" s="53"/>
      <c r="T303" s="53"/>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row>
    <row r="304" spans="1:64" ht="60.75" customHeight="1">
      <c r="A304" s="322" t="s">
        <v>15</v>
      </c>
      <c r="B304" s="625" t="s">
        <v>313</v>
      </c>
      <c r="C304" s="625"/>
      <c r="D304" s="625"/>
      <c r="E304" s="625"/>
      <c r="F304" s="625"/>
      <c r="G304" s="625"/>
      <c r="H304" s="625"/>
      <c r="I304" s="625"/>
      <c r="J304" s="625"/>
      <c r="K304" s="625"/>
      <c r="L304" s="145"/>
      <c r="M304" s="54"/>
      <c r="N304" s="53"/>
      <c r="O304" s="146"/>
      <c r="P304" s="54"/>
      <c r="Q304" s="54"/>
      <c r="R304" s="53"/>
      <c r="S304" s="53"/>
      <c r="T304" s="53"/>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row>
    <row r="305" spans="1:64" ht="20.25">
      <c r="A305" s="322" t="s">
        <v>16</v>
      </c>
      <c r="B305" s="625" t="s">
        <v>869</v>
      </c>
      <c r="C305" s="625"/>
      <c r="D305" s="625"/>
      <c r="E305" s="625"/>
      <c r="F305" s="625"/>
      <c r="G305" s="625"/>
      <c r="H305" s="625"/>
      <c r="I305" s="625"/>
      <c r="J305" s="625"/>
      <c r="K305" s="625"/>
      <c r="L305" s="145"/>
      <c r="M305" s="54"/>
      <c r="N305" s="53"/>
      <c r="O305" s="146"/>
      <c r="P305" s="54"/>
      <c r="Q305" s="54"/>
      <c r="R305" s="53"/>
      <c r="S305" s="53"/>
      <c r="T305" s="53"/>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row>
    <row r="306" spans="1:64" ht="20.25">
      <c r="A306" s="323" t="s">
        <v>314</v>
      </c>
      <c r="B306" s="625" t="s">
        <v>870</v>
      </c>
      <c r="C306" s="625"/>
      <c r="D306" s="625"/>
      <c r="E306" s="625"/>
      <c r="F306" s="625"/>
      <c r="G306" s="625"/>
      <c r="H306" s="625"/>
      <c r="I306" s="625"/>
      <c r="J306" s="625"/>
      <c r="K306" s="625"/>
      <c r="L306" s="145"/>
      <c r="M306" s="52"/>
      <c r="N306" s="53"/>
      <c r="O306" s="146"/>
      <c r="P306" s="54"/>
      <c r="Q306" s="54"/>
      <c r="R306" s="53"/>
      <c r="S306" s="53"/>
      <c r="T306" s="53"/>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row>
    <row r="307" spans="1:64" ht="20.25">
      <c r="A307" s="323" t="s">
        <v>315</v>
      </c>
      <c r="B307" s="625" t="s">
        <v>1065</v>
      </c>
      <c r="C307" s="625"/>
      <c r="D307" s="625"/>
      <c r="E307" s="625"/>
      <c r="F307" s="625"/>
      <c r="G307" s="625"/>
      <c r="H307" s="625"/>
      <c r="I307" s="625"/>
      <c r="J307" s="625"/>
      <c r="K307" s="625"/>
      <c r="L307" s="145"/>
      <c r="M307" s="54"/>
      <c r="N307" s="53"/>
      <c r="O307" s="146"/>
      <c r="P307" s="54"/>
      <c r="Q307" s="54"/>
      <c r="R307" s="53"/>
      <c r="S307" s="53"/>
      <c r="T307" s="53"/>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row>
    <row r="308" spans="1:64" ht="42" customHeight="1">
      <c r="A308" s="322" t="s">
        <v>316</v>
      </c>
      <c r="B308" s="625" t="s">
        <v>1066</v>
      </c>
      <c r="C308" s="625"/>
      <c r="D308" s="625"/>
      <c r="E308" s="625"/>
      <c r="F308" s="625"/>
      <c r="G308" s="625"/>
      <c r="H308" s="625"/>
      <c r="I308" s="625"/>
      <c r="J308" s="625"/>
      <c r="K308" s="625"/>
      <c r="L308" s="145"/>
      <c r="M308" s="54"/>
      <c r="N308" s="53"/>
      <c r="O308" s="146"/>
      <c r="P308" s="54"/>
      <c r="Q308" s="54"/>
      <c r="R308" s="53"/>
      <c r="S308" s="53"/>
      <c r="T308" s="53"/>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row>
    <row r="309" spans="1:64" ht="20.25">
      <c r="A309" s="323" t="s">
        <v>875</v>
      </c>
      <c r="B309" s="625" t="s">
        <v>1067</v>
      </c>
      <c r="C309" s="625"/>
      <c r="D309" s="625"/>
      <c r="E309" s="625"/>
      <c r="F309" s="625"/>
      <c r="G309" s="625"/>
      <c r="H309" s="625"/>
      <c r="I309" s="625"/>
      <c r="J309" s="625"/>
      <c r="K309" s="625"/>
      <c r="L309" s="145"/>
      <c r="M309" s="149"/>
      <c r="N309" s="53"/>
      <c r="O309" s="146"/>
      <c r="P309" s="54"/>
      <c r="Q309" s="54"/>
      <c r="R309" s="53"/>
      <c r="S309" s="53"/>
      <c r="T309" s="53"/>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row>
    <row r="310" spans="1:64" ht="39.75" customHeight="1">
      <c r="A310" s="322" t="s">
        <v>876</v>
      </c>
      <c r="B310" s="625" t="s">
        <v>1068</v>
      </c>
      <c r="C310" s="625"/>
      <c r="D310" s="625"/>
      <c r="E310" s="625"/>
      <c r="F310" s="625"/>
      <c r="G310" s="625"/>
      <c r="H310" s="625"/>
      <c r="I310" s="625"/>
      <c r="J310" s="625"/>
      <c r="K310" s="625"/>
      <c r="L310" s="145"/>
      <c r="M310" s="54"/>
      <c r="N310" s="53"/>
      <c r="O310" s="146"/>
      <c r="P310" s="54"/>
      <c r="Q310" s="54"/>
      <c r="R310" s="53"/>
      <c r="S310" s="53"/>
      <c r="T310" s="53"/>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row>
    <row r="311" spans="1:64" ht="18.75" customHeight="1">
      <c r="A311" s="322" t="s">
        <v>871</v>
      </c>
      <c r="B311" s="596" t="s">
        <v>872</v>
      </c>
      <c r="C311" s="325"/>
      <c r="D311" s="325"/>
      <c r="E311" s="325"/>
      <c r="F311" s="325"/>
      <c r="G311" s="325"/>
      <c r="H311" s="325"/>
      <c r="I311" s="325"/>
      <c r="J311" s="325"/>
      <c r="K311" s="325"/>
      <c r="L311" s="308"/>
      <c r="M311" s="320"/>
      <c r="N311" s="53"/>
      <c r="O311" s="146"/>
      <c r="P311" s="54"/>
      <c r="Q311" s="54"/>
      <c r="R311" s="53"/>
      <c r="S311" s="53"/>
      <c r="T311" s="53"/>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row>
    <row r="312" spans="1:64" ht="21.75" customHeight="1">
      <c r="A312" s="322" t="s">
        <v>873</v>
      </c>
      <c r="B312" s="597" t="s">
        <v>874</v>
      </c>
      <c r="C312" s="325"/>
      <c r="D312" s="325"/>
      <c r="E312" s="325"/>
      <c r="F312" s="325"/>
      <c r="G312" s="325"/>
      <c r="H312" s="325"/>
      <c r="I312" s="325"/>
      <c r="J312" s="325"/>
      <c r="K312" s="325"/>
      <c r="L312" s="308"/>
      <c r="M312" s="320"/>
      <c r="N312" s="53"/>
      <c r="O312" s="146"/>
      <c r="P312" s="95"/>
      <c r="Q312" s="54"/>
      <c r="R312" s="53"/>
      <c r="S312" s="53"/>
      <c r="T312" s="53"/>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row>
    <row r="313" spans="1:64" ht="20.25" customHeight="1">
      <c r="A313" s="598" t="s">
        <v>1069</v>
      </c>
      <c r="B313" s="599" t="s">
        <v>1070</v>
      </c>
      <c r="C313" s="427"/>
      <c r="D313" s="321"/>
      <c r="E313" s="321"/>
      <c r="F313" s="321"/>
      <c r="G313" s="321"/>
      <c r="H313" s="321"/>
      <c r="I313" s="321"/>
      <c r="J313" s="321"/>
      <c r="K313" s="321"/>
      <c r="L313" s="308"/>
      <c r="M313" s="320"/>
      <c r="N313" s="53"/>
      <c r="O313" s="146"/>
      <c r="P313" s="95"/>
      <c r="Q313" s="54"/>
      <c r="R313" s="53"/>
      <c r="S313" s="53"/>
      <c r="T313" s="53"/>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row>
    <row r="314" spans="1:64" ht="18.75">
      <c r="A314" s="598"/>
      <c r="B314" s="599" t="s">
        <v>1071</v>
      </c>
      <c r="C314" s="427"/>
      <c r="D314" s="321"/>
      <c r="E314" s="321"/>
      <c r="F314" s="321"/>
      <c r="G314" s="321"/>
      <c r="H314" s="321"/>
      <c r="I314" s="321"/>
      <c r="J314" s="321"/>
      <c r="K314" s="321"/>
      <c r="L314" s="308"/>
      <c r="M314" s="320"/>
      <c r="N314" s="53"/>
      <c r="O314" s="146"/>
      <c r="P314" s="95"/>
      <c r="Q314" s="54"/>
      <c r="R314" s="53"/>
      <c r="S314" s="53"/>
      <c r="T314" s="53"/>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row>
    <row r="315" spans="1:64" ht="23.25" customHeight="1">
      <c r="A315" s="598" t="s">
        <v>1072</v>
      </c>
      <c r="B315" s="599" t="s">
        <v>1073</v>
      </c>
      <c r="C315" s="427"/>
      <c r="D315" s="329"/>
      <c r="E315" s="329"/>
      <c r="F315" s="329"/>
      <c r="G315" s="329"/>
      <c r="H315" s="329"/>
      <c r="I315" s="329"/>
      <c r="J315" s="329"/>
      <c r="K315" s="329"/>
      <c r="L315" s="308"/>
      <c r="M315" s="320"/>
      <c r="N315" s="53"/>
      <c r="O315" s="146"/>
      <c r="P315" s="95"/>
      <c r="Q315" s="54"/>
      <c r="R315" s="53"/>
      <c r="S315" s="53"/>
      <c r="T315" s="53"/>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row>
    <row r="316" spans="1:64" ht="18.75" customHeight="1">
      <c r="A316" s="598"/>
      <c r="B316" s="599" t="s">
        <v>1074</v>
      </c>
      <c r="C316" s="427"/>
      <c r="D316" s="329"/>
      <c r="E316" s="329"/>
      <c r="F316" s="329"/>
      <c r="G316" s="329"/>
      <c r="H316" s="329"/>
      <c r="I316" s="329"/>
      <c r="J316" s="329"/>
      <c r="K316" s="329"/>
      <c r="L316" s="308"/>
      <c r="M316" s="320"/>
      <c r="N316" s="53"/>
      <c r="O316" s="146"/>
      <c r="P316" s="54"/>
      <c r="Q316" s="54"/>
      <c r="R316" s="53"/>
      <c r="S316" s="53"/>
      <c r="T316" s="53"/>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row>
    <row r="317" spans="1:64" customFormat="1"/>
    <row r="318" spans="1:64" customFormat="1" ht="38.25" customHeight="1"/>
    <row r="319" spans="1:64" customFormat="1" ht="52.5" customHeight="1"/>
    <row r="320" spans="1:64" customFormat="1"/>
    <row r="321" spans="1:64" customFormat="1"/>
    <row r="322" spans="1:64" customFormat="1" ht="38.25" customHeight="1"/>
    <row r="323" spans="1:64" customFormat="1" ht="39" customHeight="1"/>
    <row r="324" spans="1:64" customFormat="1" ht="30.75" customHeight="1"/>
    <row r="325" spans="1:64" customFormat="1" ht="39.75" customHeight="1"/>
    <row r="326" spans="1:64" customFormat="1"/>
    <row r="327" spans="1:64" customFormat="1"/>
    <row r="328" spans="1:64" ht="18.75">
      <c r="A328" s="324"/>
      <c r="B328" s="325"/>
      <c r="C328" s="325"/>
      <c r="D328" s="325"/>
      <c r="E328" s="325"/>
      <c r="F328" s="325"/>
      <c r="G328" s="325"/>
      <c r="H328" s="325"/>
      <c r="I328" s="325"/>
      <c r="J328" s="325"/>
      <c r="K328" s="326"/>
      <c r="L328" s="327"/>
      <c r="M328" s="328"/>
      <c r="N328" s="151"/>
      <c r="O328" s="146"/>
      <c r="P328" s="54"/>
      <c r="Q328" s="54"/>
      <c r="R328" s="53"/>
      <c r="S328" s="53"/>
      <c r="T328" s="53"/>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row>
    <row r="329" spans="1:64" ht="18.75">
      <c r="A329" s="322"/>
      <c r="B329" s="321"/>
      <c r="C329" s="321"/>
      <c r="D329" s="321"/>
      <c r="E329" s="321"/>
      <c r="F329" s="321"/>
      <c r="G329" s="321"/>
      <c r="H329" s="321"/>
      <c r="I329" s="321"/>
      <c r="J329" s="321"/>
      <c r="K329" s="326"/>
      <c r="L329" s="327"/>
      <c r="M329" s="328"/>
      <c r="N329" s="151"/>
      <c r="O329" s="152"/>
      <c r="P329" s="54"/>
      <c r="Q329" s="54"/>
      <c r="R329" s="53"/>
      <c r="S329" s="53"/>
      <c r="T329" s="53"/>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row>
    <row r="330" spans="1:64" ht="18.75">
      <c r="A330" s="322"/>
      <c r="B330" s="321"/>
      <c r="C330" s="321"/>
      <c r="D330" s="321"/>
      <c r="E330" s="321"/>
      <c r="F330" s="321"/>
      <c r="G330" s="321"/>
      <c r="H330" s="321"/>
      <c r="I330" s="321"/>
      <c r="J330" s="321"/>
      <c r="K330" s="310"/>
      <c r="L330" s="308"/>
      <c r="M330" s="320"/>
      <c r="N330" s="151"/>
      <c r="O330" s="152"/>
      <c r="P330" s="54"/>
      <c r="Q330" s="54"/>
      <c r="R330" s="53"/>
      <c r="S330" s="53"/>
      <c r="T330" s="53"/>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row>
    <row r="331" spans="1:64" ht="18.75">
      <c r="A331" s="322"/>
      <c r="B331" s="321"/>
      <c r="C331" s="321"/>
      <c r="D331" s="321"/>
      <c r="E331" s="321"/>
      <c r="F331" s="321"/>
      <c r="G331" s="321"/>
      <c r="H331" s="321"/>
      <c r="I331" s="321"/>
      <c r="J331" s="321"/>
      <c r="K331" s="310"/>
      <c r="L331" s="308"/>
      <c r="M331" s="320"/>
      <c r="N331" s="151"/>
      <c r="O331" s="146"/>
      <c r="P331" s="54"/>
      <c r="Q331" s="54"/>
      <c r="R331" s="53"/>
      <c r="S331" s="53"/>
      <c r="T331" s="53"/>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row>
    <row r="332" spans="1:64" ht="18.75">
      <c r="A332"/>
      <c r="B332"/>
      <c r="C332"/>
      <c r="D332"/>
      <c r="E332"/>
      <c r="F332"/>
      <c r="G332"/>
      <c r="H332"/>
      <c r="I332"/>
      <c r="J332"/>
      <c r="K332"/>
      <c r="L332" s="308"/>
      <c r="M332" s="320"/>
      <c r="N332" s="151"/>
      <c r="O332" s="146"/>
      <c r="P332" s="54"/>
      <c r="Q332" s="54"/>
      <c r="R332" s="53"/>
      <c r="S332" s="53"/>
      <c r="T332" s="53"/>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row>
    <row r="333" spans="1:64" ht="18.75">
      <c r="A333"/>
      <c r="B333"/>
      <c r="C333"/>
      <c r="D333"/>
      <c r="E333"/>
      <c r="F333"/>
      <c r="G333"/>
      <c r="H333"/>
      <c r="I333"/>
      <c r="J333"/>
      <c r="K333"/>
      <c r="L333" s="308"/>
      <c r="M333" s="313"/>
      <c r="N333" s="151"/>
      <c r="O333" s="146"/>
      <c r="P333" s="54"/>
      <c r="Q333" s="54"/>
      <c r="R333" s="53"/>
      <c r="S333" s="53"/>
      <c r="T333" s="53"/>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row>
    <row r="334" spans="1:64" ht="18.75">
      <c r="A334" s="320"/>
      <c r="B334" s="329"/>
      <c r="C334" s="329"/>
      <c r="D334" s="329"/>
      <c r="E334" s="329"/>
      <c r="F334" s="329"/>
      <c r="G334" s="329"/>
      <c r="H334" s="329"/>
      <c r="I334" s="329"/>
      <c r="J334" s="329"/>
      <c r="K334" s="310"/>
      <c r="L334" s="308"/>
      <c r="M334" s="320"/>
      <c r="N334" s="151"/>
      <c r="O334" s="146"/>
      <c r="P334" s="54"/>
      <c r="Q334" s="54"/>
      <c r="R334" s="53"/>
      <c r="S334" s="53"/>
      <c r="T334" s="53"/>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row>
    <row r="335" spans="1:64" ht="18.75">
      <c r="A335" s="320"/>
      <c r="B335" s="329"/>
      <c r="C335" s="329"/>
      <c r="D335" s="329"/>
      <c r="E335" s="329"/>
      <c r="F335" s="329"/>
      <c r="G335" s="329"/>
      <c r="H335" s="329"/>
      <c r="I335" s="329"/>
      <c r="J335" s="329"/>
      <c r="K335" s="310"/>
      <c r="L335" s="308"/>
      <c r="M335" s="310"/>
      <c r="N335" s="151"/>
      <c r="O335" s="146"/>
      <c r="P335" s="54"/>
      <c r="Q335" s="54"/>
      <c r="R335" s="53"/>
      <c r="S335" s="53"/>
      <c r="T335" s="53"/>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row>
    <row r="336" spans="1:64" ht="18.75">
      <c r="A336" s="320"/>
      <c r="B336" s="329"/>
      <c r="C336" s="329"/>
      <c r="D336" s="329"/>
      <c r="E336" s="329"/>
      <c r="F336" s="329"/>
      <c r="G336" s="329"/>
      <c r="H336" s="329"/>
      <c r="I336" s="329"/>
      <c r="J336" s="329"/>
      <c r="K336" s="308"/>
      <c r="L336" s="308"/>
      <c r="M336" s="320"/>
      <c r="N336" s="151"/>
      <c r="O336" s="146"/>
      <c r="P336" s="54"/>
      <c r="Q336" s="54"/>
      <c r="R336" s="53"/>
      <c r="S336" s="53"/>
      <c r="T336" s="53"/>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row>
    <row r="337" spans="1:64" ht="20.25">
      <c r="A337" s="154"/>
      <c r="B337" s="153"/>
      <c r="C337" s="153"/>
      <c r="D337" s="153"/>
      <c r="E337" s="153"/>
      <c r="F337" s="153"/>
      <c r="G337" s="153"/>
      <c r="H337" s="153"/>
      <c r="I337" s="153"/>
      <c r="J337" s="145"/>
      <c r="K337" s="145"/>
      <c r="L337" s="145"/>
      <c r="M337" s="151"/>
      <c r="N337" s="151"/>
      <c r="O337" s="146"/>
      <c r="P337" s="54"/>
      <c r="Q337" s="54"/>
      <c r="R337" s="53"/>
      <c r="S337" s="53"/>
      <c r="T337" s="53"/>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row>
    <row r="338" spans="1:64" ht="20.25">
      <c r="A338" s="154"/>
      <c r="B338" s="153"/>
      <c r="C338" s="153"/>
      <c r="D338" s="153"/>
      <c r="E338" s="153"/>
      <c r="F338" s="153"/>
      <c r="G338" s="153"/>
      <c r="H338" s="153"/>
      <c r="I338" s="153"/>
      <c r="J338" s="145"/>
      <c r="K338" s="145"/>
      <c r="L338" s="145"/>
      <c r="M338" s="151"/>
      <c r="N338" s="151"/>
      <c r="O338" s="146"/>
      <c r="P338" s="54"/>
      <c r="Q338" s="54"/>
      <c r="R338" s="53"/>
      <c r="S338" s="53"/>
      <c r="T338" s="53"/>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row>
    <row r="339" spans="1:64" ht="20.25">
      <c r="A339" s="154"/>
      <c r="B339" s="153"/>
      <c r="C339" s="153"/>
      <c r="D339" s="153"/>
      <c r="E339" s="153"/>
      <c r="F339" s="153"/>
      <c r="G339" s="153"/>
      <c r="H339" s="153"/>
      <c r="I339" s="153"/>
      <c r="J339" s="145"/>
      <c r="K339" s="145"/>
      <c r="L339" s="145"/>
      <c r="M339" s="151"/>
      <c r="N339" s="151"/>
      <c r="O339" s="146"/>
      <c r="P339" s="54"/>
      <c r="Q339" s="54"/>
      <c r="R339" s="53"/>
      <c r="S339" s="53"/>
      <c r="T339" s="53"/>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row>
    <row r="340" spans="1:64" ht="20.25">
      <c r="A340" s="154"/>
      <c r="B340" s="153"/>
      <c r="C340" s="153"/>
      <c r="D340" s="153"/>
      <c r="E340" s="153"/>
      <c r="F340" s="153"/>
      <c r="G340" s="153"/>
      <c r="H340" s="153"/>
      <c r="I340" s="153"/>
      <c r="J340" s="145"/>
      <c r="K340" s="145"/>
      <c r="L340" s="145"/>
      <c r="M340" s="151"/>
      <c r="N340" s="151"/>
      <c r="O340" s="146"/>
      <c r="P340" s="54"/>
      <c r="Q340" s="54"/>
      <c r="R340" s="53"/>
      <c r="S340" s="53"/>
      <c r="T340" s="53"/>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row>
    <row r="341" spans="1:64" ht="20.25">
      <c r="A341" s="154"/>
      <c r="B341" s="153"/>
      <c r="C341" s="153"/>
      <c r="D341" s="153"/>
      <c r="E341" s="153"/>
      <c r="F341" s="153"/>
      <c r="G341" s="153"/>
      <c r="H341" s="153"/>
      <c r="I341" s="153"/>
      <c r="J341" s="145"/>
      <c r="K341" s="145"/>
      <c r="L341" s="145"/>
      <c r="M341" s="151"/>
      <c r="N341" s="151"/>
      <c r="O341" s="146"/>
      <c r="P341" s="54"/>
      <c r="Q341" s="54"/>
      <c r="R341" s="53"/>
      <c r="S341" s="53"/>
      <c r="T341" s="53"/>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row>
    <row r="342" spans="1:64" ht="20.25">
      <c r="A342" s="154"/>
      <c r="B342" s="153"/>
      <c r="C342" s="153"/>
      <c r="D342" s="153"/>
      <c r="E342" s="153"/>
      <c r="F342" s="153"/>
      <c r="G342" s="153"/>
      <c r="H342" s="153"/>
      <c r="I342" s="153"/>
      <c r="J342" s="145"/>
      <c r="K342" s="145"/>
      <c r="L342" s="145"/>
      <c r="M342" s="151"/>
      <c r="N342" s="151"/>
      <c r="O342" s="146"/>
      <c r="P342" s="54"/>
      <c r="Q342" s="54"/>
      <c r="R342" s="53"/>
      <c r="S342" s="53"/>
      <c r="T342" s="53"/>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row>
    <row r="343" spans="1:64" ht="20.25">
      <c r="A343" s="154"/>
      <c r="B343" s="153"/>
      <c r="C343" s="153"/>
      <c r="D343" s="153"/>
      <c r="E343" s="153"/>
      <c r="F343" s="153"/>
      <c r="G343" s="153"/>
      <c r="H343" s="153"/>
      <c r="I343" s="153"/>
      <c r="J343" s="145"/>
      <c r="K343" s="145"/>
      <c r="L343" s="145"/>
      <c r="M343" s="151"/>
      <c r="N343" s="151"/>
      <c r="O343" s="146"/>
      <c r="P343" s="54"/>
      <c r="Q343" s="54"/>
      <c r="R343" s="53"/>
      <c r="S343" s="53"/>
      <c r="T343" s="53"/>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row>
    <row r="344" spans="1:64" ht="20.25">
      <c r="A344" s="154"/>
      <c r="B344" s="153"/>
      <c r="C344" s="153"/>
      <c r="D344" s="153"/>
      <c r="E344" s="153"/>
      <c r="F344" s="153"/>
      <c r="G344" s="153"/>
      <c r="H344" s="153"/>
      <c r="I344" s="153"/>
      <c r="J344" s="145"/>
      <c r="K344" s="145"/>
      <c r="L344" s="145"/>
      <c r="M344" s="151"/>
      <c r="N344" s="151"/>
      <c r="O344" s="146"/>
      <c r="P344" s="54"/>
      <c r="Q344" s="54"/>
      <c r="R344" s="53"/>
      <c r="S344" s="53"/>
      <c r="T344" s="53"/>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row>
    <row r="345" spans="1:64" ht="20.25">
      <c r="A345" s="154"/>
      <c r="B345" s="153"/>
      <c r="C345" s="153"/>
      <c r="D345" s="153"/>
      <c r="E345" s="153"/>
      <c r="F345" s="153"/>
      <c r="G345" s="153"/>
      <c r="H345" s="153"/>
      <c r="I345" s="153"/>
      <c r="J345" s="145"/>
      <c r="K345" s="145"/>
      <c r="L345" s="145"/>
      <c r="M345" s="151"/>
      <c r="N345" s="151"/>
      <c r="O345" s="146"/>
      <c r="P345" s="54"/>
      <c r="Q345" s="54"/>
      <c r="R345" s="53"/>
      <c r="S345" s="53"/>
      <c r="T345" s="53"/>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row>
    <row r="346" spans="1:64" ht="20.25">
      <c r="A346" s="154"/>
      <c r="B346" s="153"/>
      <c r="C346" s="153"/>
      <c r="D346" s="153"/>
      <c r="E346" s="153"/>
      <c r="F346" s="153"/>
      <c r="G346" s="153"/>
      <c r="H346" s="153"/>
      <c r="I346" s="153"/>
      <c r="J346" s="145"/>
      <c r="K346" s="145"/>
      <c r="L346" s="145"/>
      <c r="M346" s="151"/>
      <c r="N346" s="151"/>
      <c r="O346" s="146"/>
      <c r="P346" s="54"/>
      <c r="Q346" s="54"/>
      <c r="R346" s="53"/>
      <c r="S346" s="53"/>
      <c r="T346" s="53"/>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row>
    <row r="347" spans="1:64" ht="20.25">
      <c r="A347" s="154"/>
      <c r="B347" s="153"/>
      <c r="C347" s="153"/>
      <c r="D347" s="153"/>
      <c r="E347" s="153"/>
      <c r="F347" s="153"/>
      <c r="G347" s="153"/>
      <c r="H347" s="153"/>
      <c r="I347" s="153"/>
      <c r="J347" s="145"/>
      <c r="K347" s="145"/>
      <c r="L347" s="145"/>
      <c r="M347" s="151"/>
      <c r="N347" s="151"/>
      <c r="O347" s="146"/>
      <c r="P347" s="54"/>
      <c r="Q347" s="54"/>
      <c r="R347" s="53"/>
      <c r="S347" s="53"/>
      <c r="T347" s="53"/>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row>
    <row r="348" spans="1:64" ht="20.25">
      <c r="A348" s="154"/>
      <c r="B348" s="153"/>
      <c r="C348" s="153"/>
      <c r="D348" s="153"/>
      <c r="E348" s="153"/>
      <c r="F348" s="153"/>
      <c r="G348" s="153"/>
      <c r="H348" s="153"/>
      <c r="I348" s="153"/>
      <c r="J348" s="145"/>
      <c r="K348" s="145"/>
      <c r="L348" s="145"/>
      <c r="M348" s="151"/>
      <c r="N348" s="151"/>
      <c r="O348" s="146"/>
      <c r="P348" s="54"/>
      <c r="Q348" s="54"/>
      <c r="R348" s="53"/>
      <c r="S348" s="53"/>
      <c r="T348" s="53"/>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row>
    <row r="349" spans="1:64" ht="20.25">
      <c r="A349" s="154"/>
      <c r="B349" s="153"/>
      <c r="C349" s="153"/>
      <c r="D349" s="153"/>
      <c r="E349" s="153"/>
      <c r="F349" s="153"/>
      <c r="G349" s="153"/>
      <c r="H349" s="153"/>
      <c r="I349" s="153"/>
      <c r="J349" s="145"/>
      <c r="K349" s="145"/>
      <c r="L349" s="145"/>
      <c r="M349" s="151"/>
      <c r="N349" s="151"/>
      <c r="O349" s="146"/>
      <c r="P349" s="54"/>
      <c r="Q349" s="54"/>
      <c r="R349" s="53"/>
      <c r="S349" s="53"/>
      <c r="T349" s="53"/>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row>
    <row r="350" spans="1:64" ht="20.25">
      <c r="A350" s="154"/>
      <c r="B350" s="153"/>
      <c r="C350" s="153"/>
      <c r="D350" s="153"/>
      <c r="E350" s="153"/>
      <c r="F350" s="153"/>
      <c r="G350" s="153"/>
      <c r="H350" s="153"/>
      <c r="I350" s="153"/>
      <c r="J350" s="145"/>
      <c r="K350" s="145"/>
      <c r="L350" s="145"/>
      <c r="M350" s="151"/>
      <c r="N350" s="151"/>
      <c r="O350" s="146"/>
      <c r="P350" s="54"/>
      <c r="Q350" s="54"/>
      <c r="R350" s="53"/>
      <c r="S350" s="53"/>
      <c r="T350" s="53"/>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row>
    <row r="351" spans="1:64" ht="15.75">
      <c r="A351" s="42"/>
      <c r="B351" s="99"/>
      <c r="C351" s="99"/>
      <c r="D351" s="99"/>
      <c r="E351" s="99"/>
      <c r="F351" s="99"/>
      <c r="G351" s="99"/>
      <c r="H351" s="99"/>
      <c r="I351" s="99"/>
      <c r="J351" s="99"/>
      <c r="K351" s="99"/>
      <c r="L351" s="99"/>
      <c r="M351" s="151"/>
      <c r="N351" s="151"/>
      <c r="O351" s="144"/>
      <c r="P351" s="54"/>
      <c r="Q351" s="54"/>
      <c r="R351" s="53"/>
      <c r="S351" s="53"/>
      <c r="T351" s="53"/>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row>
    <row r="352" spans="1:64" ht="15.75">
      <c r="A352" s="42"/>
      <c r="B352" s="99"/>
      <c r="C352" s="99"/>
      <c r="D352" s="99"/>
      <c r="E352" s="99"/>
      <c r="F352" s="99"/>
      <c r="G352" s="99"/>
      <c r="H352" s="99"/>
      <c r="I352" s="99"/>
      <c r="J352" s="99"/>
      <c r="K352" s="99"/>
      <c r="L352" s="99"/>
      <c r="M352" s="151"/>
      <c r="N352" s="151"/>
      <c r="O352" s="144"/>
      <c r="P352" s="54"/>
      <c r="Q352" s="54"/>
      <c r="R352" s="53"/>
      <c r="S352" s="53"/>
      <c r="T352" s="53"/>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row>
    <row r="353" spans="2:64" ht="15">
      <c r="B353" s="33"/>
      <c r="C353" s="33"/>
      <c r="D353" s="33"/>
      <c r="E353" s="33"/>
      <c r="F353" s="33"/>
      <c r="G353" s="33"/>
      <c r="H353" s="33"/>
      <c r="I353" s="33"/>
      <c r="J353" s="33"/>
      <c r="K353" s="33"/>
      <c r="L353" s="33"/>
      <c r="M353" s="151"/>
      <c r="N353" s="151"/>
      <c r="O353" s="54"/>
      <c r="P353" s="54"/>
      <c r="Q353" s="54"/>
      <c r="R353" s="53"/>
      <c r="S353" s="53"/>
      <c r="T353" s="53"/>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row>
    <row r="354" spans="2:64" ht="15">
      <c r="B354" s="33"/>
      <c r="C354" s="33"/>
      <c r="D354" s="33"/>
      <c r="E354" s="33"/>
      <c r="F354" s="33"/>
      <c r="G354" s="33"/>
      <c r="H354" s="33"/>
      <c r="I354" s="33"/>
      <c r="J354" s="33"/>
      <c r="K354" s="33"/>
      <c r="L354" s="33"/>
      <c r="M354" s="151"/>
      <c r="N354" s="151"/>
      <c r="O354" s="54"/>
      <c r="P354" s="54"/>
      <c r="Q354" s="54"/>
      <c r="R354" s="53"/>
      <c r="S354" s="53"/>
      <c r="T354" s="53"/>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row>
    <row r="355" spans="2:64" ht="15">
      <c r="B355" s="33"/>
      <c r="C355" s="33"/>
      <c r="D355" s="33"/>
      <c r="E355" s="33"/>
      <c r="F355" s="33"/>
      <c r="G355" s="33"/>
      <c r="H355" s="33"/>
      <c r="I355" s="33"/>
      <c r="J355" s="33"/>
      <c r="K355" s="33"/>
      <c r="L355" s="33"/>
      <c r="M355" s="151"/>
      <c r="N355" s="151"/>
      <c r="O355" s="54"/>
      <c r="P355" s="54"/>
      <c r="Q355" s="54"/>
      <c r="R355" s="53"/>
      <c r="S355" s="53"/>
      <c r="T355" s="53"/>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row>
    <row r="356" spans="2:64">
      <c r="B356" s="155"/>
      <c r="C356" s="155"/>
      <c r="D356" s="155"/>
      <c r="E356" s="155"/>
      <c r="F356" s="155"/>
      <c r="G356" s="155"/>
      <c r="H356" s="155"/>
      <c r="I356" s="155"/>
      <c r="J356" s="155"/>
      <c r="K356" s="155"/>
      <c r="L356" s="155"/>
      <c r="M356" s="151"/>
      <c r="N356" s="151"/>
      <c r="O356" s="150"/>
      <c r="P356" s="150"/>
      <c r="Q356" s="150"/>
      <c r="R356" s="151"/>
      <c r="S356" s="151"/>
      <c r="T356" s="151"/>
    </row>
    <row r="357" spans="2:64">
      <c r="B357" s="155"/>
      <c r="C357" s="155"/>
      <c r="D357" s="155"/>
      <c r="E357" s="155"/>
      <c r="F357" s="155"/>
      <c r="G357" s="155"/>
      <c r="H357" s="155"/>
      <c r="I357" s="155"/>
      <c r="J357" s="155"/>
      <c r="K357" s="155"/>
      <c r="L357" s="155"/>
      <c r="M357" s="151"/>
      <c r="N357" s="151"/>
      <c r="O357" s="150"/>
      <c r="P357" s="150"/>
      <c r="Q357" s="150"/>
      <c r="R357" s="151"/>
      <c r="S357" s="151"/>
      <c r="T357" s="151"/>
    </row>
    <row r="358" spans="2:64">
      <c r="B358" s="155"/>
      <c r="C358" s="155"/>
      <c r="D358" s="155"/>
      <c r="E358" s="155"/>
      <c r="F358" s="155"/>
      <c r="G358" s="155"/>
      <c r="H358" s="155"/>
      <c r="I358" s="155"/>
      <c r="J358" s="155"/>
      <c r="K358" s="155"/>
      <c r="L358" s="155"/>
      <c r="M358" s="151"/>
      <c r="N358" s="151"/>
      <c r="O358" s="150"/>
      <c r="P358" s="150"/>
      <c r="Q358" s="150"/>
      <c r="R358" s="151"/>
      <c r="S358" s="151"/>
      <c r="T358" s="151"/>
    </row>
    <row r="359" spans="2:64">
      <c r="B359" s="155"/>
      <c r="C359" s="155"/>
      <c r="D359" s="155"/>
      <c r="E359" s="155"/>
      <c r="F359" s="155"/>
      <c r="G359" s="155"/>
      <c r="H359" s="155"/>
      <c r="I359" s="155"/>
      <c r="J359" s="155"/>
      <c r="K359" s="155"/>
      <c r="L359" s="155"/>
      <c r="M359" s="151"/>
      <c r="N359" s="151"/>
      <c r="O359" s="150"/>
      <c r="P359" s="150"/>
      <c r="Q359" s="150"/>
      <c r="R359" s="151"/>
      <c r="S359" s="151"/>
      <c r="T359" s="151"/>
    </row>
    <row r="360" spans="2:64">
      <c r="B360" s="155"/>
      <c r="C360" s="155"/>
      <c r="D360" s="155"/>
      <c r="E360" s="155"/>
      <c r="F360" s="155"/>
      <c r="G360" s="155"/>
      <c r="H360" s="155"/>
      <c r="I360" s="155"/>
      <c r="J360" s="155"/>
      <c r="K360" s="155"/>
      <c r="L360" s="155"/>
      <c r="M360" s="151"/>
      <c r="N360" s="151"/>
      <c r="O360" s="150"/>
      <c r="P360" s="150"/>
      <c r="Q360" s="150"/>
      <c r="R360" s="151"/>
      <c r="S360" s="151"/>
      <c r="T360" s="151"/>
    </row>
    <row r="361" spans="2:64">
      <c r="B361" s="155"/>
      <c r="C361" s="155"/>
      <c r="D361" s="155"/>
      <c r="E361" s="155"/>
      <c r="F361" s="155"/>
      <c r="G361" s="155"/>
      <c r="H361" s="155"/>
      <c r="I361" s="155"/>
      <c r="J361" s="155"/>
      <c r="K361" s="155"/>
      <c r="L361" s="155"/>
      <c r="M361" s="151"/>
      <c r="N361" s="151"/>
      <c r="O361" s="150"/>
      <c r="P361" s="150"/>
      <c r="Q361" s="150"/>
      <c r="R361" s="151"/>
      <c r="S361" s="151"/>
      <c r="T361" s="151"/>
    </row>
    <row r="362" spans="2:64">
      <c r="B362" s="156"/>
      <c r="C362" s="156"/>
      <c r="D362" s="156"/>
      <c r="E362" s="156"/>
      <c r="F362" s="156"/>
      <c r="G362" s="156"/>
      <c r="H362" s="156"/>
      <c r="I362" s="156"/>
      <c r="J362" s="156"/>
      <c r="K362" s="156"/>
      <c r="L362" s="156"/>
      <c r="M362" s="151"/>
      <c r="N362" s="151"/>
      <c r="O362" s="151"/>
      <c r="P362" s="151"/>
      <c r="Q362" s="151"/>
      <c r="R362" s="151"/>
      <c r="S362" s="151"/>
      <c r="T362" s="151"/>
    </row>
    <row r="363" spans="2:64">
      <c r="B363" s="156"/>
      <c r="C363" s="156"/>
      <c r="D363" s="156"/>
      <c r="E363" s="156"/>
      <c r="F363" s="156"/>
      <c r="G363" s="156"/>
      <c r="H363" s="156"/>
      <c r="I363" s="156"/>
      <c r="J363" s="156"/>
      <c r="K363" s="156"/>
      <c r="L363" s="156"/>
      <c r="M363" s="151"/>
      <c r="N363" s="151"/>
      <c r="O363" s="151"/>
      <c r="P363" s="151"/>
      <c r="Q363" s="151"/>
      <c r="R363" s="151"/>
      <c r="S363" s="151"/>
      <c r="T363" s="151"/>
    </row>
    <row r="364" spans="2:64">
      <c r="B364" s="156"/>
      <c r="C364" s="156"/>
      <c r="D364" s="156"/>
      <c r="E364" s="156"/>
      <c r="F364" s="156"/>
      <c r="G364" s="156"/>
      <c r="H364" s="156"/>
      <c r="I364" s="156"/>
      <c r="J364" s="156"/>
      <c r="K364" s="156"/>
      <c r="L364" s="156"/>
      <c r="M364" s="151"/>
      <c r="N364" s="151"/>
      <c r="O364" s="151"/>
      <c r="P364" s="151"/>
      <c r="Q364" s="151"/>
      <c r="R364" s="151"/>
      <c r="S364" s="151"/>
      <c r="T364" s="151"/>
    </row>
    <row r="365" spans="2:64">
      <c r="B365" s="156"/>
      <c r="C365" s="156"/>
      <c r="D365" s="156"/>
      <c r="E365" s="156"/>
      <c r="F365" s="156"/>
      <c r="G365" s="156"/>
      <c r="H365" s="156"/>
      <c r="I365" s="156"/>
      <c r="J365" s="156"/>
      <c r="K365" s="156"/>
      <c r="L365" s="156"/>
      <c r="M365" s="151"/>
      <c r="N365" s="151"/>
      <c r="O365" s="151"/>
      <c r="P365" s="151"/>
      <c r="Q365" s="151"/>
      <c r="R365" s="151"/>
      <c r="S365" s="151"/>
      <c r="T365" s="151"/>
    </row>
    <row r="366" spans="2:64">
      <c r="B366" s="156"/>
      <c r="C366" s="156"/>
      <c r="D366" s="156"/>
      <c r="E366" s="156"/>
      <c r="F366" s="156"/>
      <c r="G366" s="156"/>
      <c r="H366" s="156"/>
      <c r="I366" s="156"/>
      <c r="J366" s="156"/>
      <c r="K366" s="156"/>
      <c r="L366" s="156"/>
      <c r="M366" s="151"/>
      <c r="N366" s="151"/>
      <c r="O366" s="151"/>
      <c r="P366" s="151"/>
      <c r="Q366" s="151"/>
      <c r="R366" s="151"/>
      <c r="S366" s="151"/>
      <c r="T366" s="151"/>
    </row>
    <row r="367" spans="2:64">
      <c r="B367" s="156"/>
      <c r="C367" s="156"/>
      <c r="D367" s="156"/>
      <c r="E367" s="156"/>
      <c r="F367" s="156"/>
      <c r="G367" s="156"/>
      <c r="H367" s="156"/>
      <c r="I367" s="156"/>
      <c r="J367" s="156"/>
      <c r="K367" s="156"/>
      <c r="L367" s="156"/>
      <c r="M367" s="151"/>
      <c r="N367" s="151"/>
      <c r="O367" s="151"/>
      <c r="P367" s="151"/>
      <c r="Q367" s="151"/>
      <c r="R367" s="151"/>
      <c r="S367" s="151"/>
      <c r="T367" s="151"/>
    </row>
    <row r="368" spans="2:64">
      <c r="B368" s="156"/>
      <c r="C368" s="156"/>
      <c r="D368" s="156"/>
      <c r="E368" s="156"/>
      <c r="F368" s="156"/>
      <c r="G368" s="156"/>
      <c r="H368" s="156"/>
      <c r="I368" s="156"/>
      <c r="J368" s="156"/>
      <c r="K368" s="156"/>
      <c r="L368" s="156"/>
      <c r="M368" s="151"/>
      <c r="N368" s="151"/>
      <c r="O368" s="151"/>
      <c r="P368" s="151"/>
      <c r="Q368" s="151"/>
      <c r="R368" s="151"/>
      <c r="S368" s="151"/>
      <c r="T368" s="151"/>
    </row>
    <row r="369" spans="2:20">
      <c r="B369" s="156"/>
      <c r="C369" s="156"/>
      <c r="D369" s="156"/>
      <c r="E369" s="156"/>
      <c r="F369" s="156"/>
      <c r="G369" s="156"/>
      <c r="H369" s="156"/>
      <c r="I369" s="156"/>
      <c r="J369" s="156"/>
      <c r="K369" s="156"/>
      <c r="L369" s="156"/>
      <c r="M369" s="151"/>
      <c r="N369" s="151"/>
      <c r="O369" s="151"/>
      <c r="P369" s="151"/>
      <c r="Q369" s="151"/>
      <c r="R369" s="151"/>
      <c r="S369" s="151"/>
      <c r="T369" s="151"/>
    </row>
    <row r="370" spans="2:20">
      <c r="B370" s="156"/>
      <c r="C370" s="156"/>
      <c r="D370" s="156"/>
      <c r="E370" s="156"/>
      <c r="F370" s="156"/>
      <c r="G370" s="156"/>
      <c r="H370" s="156"/>
      <c r="I370" s="156"/>
      <c r="J370" s="156"/>
      <c r="K370" s="156"/>
      <c r="L370" s="156"/>
      <c r="M370" s="151"/>
      <c r="N370" s="151"/>
      <c r="O370" s="151"/>
      <c r="P370" s="151"/>
      <c r="Q370" s="151"/>
      <c r="R370" s="151"/>
      <c r="S370" s="151"/>
      <c r="T370" s="151"/>
    </row>
    <row r="371" spans="2:20">
      <c r="B371" s="156"/>
      <c r="C371" s="156"/>
      <c r="D371" s="156"/>
      <c r="E371" s="156"/>
      <c r="F371" s="156"/>
      <c r="G371" s="156"/>
      <c r="H371" s="156"/>
      <c r="I371" s="156"/>
      <c r="J371" s="156"/>
      <c r="K371" s="156"/>
      <c r="L371" s="156"/>
      <c r="M371" s="151"/>
      <c r="N371" s="151"/>
      <c r="O371" s="151"/>
      <c r="P371" s="151"/>
      <c r="Q371" s="151"/>
      <c r="R371" s="151"/>
      <c r="S371" s="151"/>
      <c r="T371" s="151"/>
    </row>
    <row r="372" spans="2:20">
      <c r="B372" s="156"/>
      <c r="C372" s="156"/>
      <c r="D372" s="156"/>
      <c r="E372" s="156"/>
      <c r="F372" s="156"/>
      <c r="G372" s="156"/>
      <c r="H372" s="156"/>
      <c r="I372" s="156"/>
      <c r="J372" s="156"/>
      <c r="K372" s="156"/>
      <c r="L372" s="156"/>
      <c r="M372" s="151"/>
      <c r="N372" s="151"/>
      <c r="O372" s="151"/>
      <c r="P372" s="151"/>
      <c r="Q372" s="151"/>
      <c r="R372" s="151"/>
      <c r="S372" s="151"/>
      <c r="T372" s="151"/>
    </row>
    <row r="373" spans="2:20">
      <c r="B373" s="156"/>
      <c r="C373" s="156"/>
      <c r="D373" s="156"/>
      <c r="E373" s="156"/>
      <c r="F373" s="156"/>
      <c r="G373" s="156"/>
      <c r="H373" s="156"/>
      <c r="I373" s="156"/>
      <c r="J373" s="156"/>
      <c r="K373" s="156"/>
      <c r="L373" s="156"/>
      <c r="M373" s="151"/>
      <c r="N373" s="151"/>
      <c r="O373" s="151"/>
      <c r="P373" s="151"/>
      <c r="Q373" s="151"/>
      <c r="R373" s="151"/>
      <c r="S373" s="151"/>
      <c r="T373" s="151"/>
    </row>
    <row r="374" spans="2:20">
      <c r="B374" s="156"/>
      <c r="C374" s="156"/>
      <c r="D374" s="156"/>
      <c r="E374" s="156"/>
      <c r="F374" s="156"/>
      <c r="G374" s="156"/>
      <c r="H374" s="156"/>
      <c r="I374" s="156"/>
      <c r="J374" s="156"/>
      <c r="K374" s="156"/>
      <c r="L374" s="156"/>
      <c r="M374" s="151"/>
      <c r="N374" s="151"/>
      <c r="O374" s="151"/>
      <c r="P374" s="151"/>
      <c r="Q374" s="151"/>
      <c r="R374" s="151"/>
      <c r="S374" s="151"/>
      <c r="T374" s="151"/>
    </row>
    <row r="375" spans="2:20">
      <c r="B375" s="156"/>
      <c r="C375" s="156"/>
      <c r="D375" s="156"/>
      <c r="E375" s="156"/>
      <c r="F375" s="156"/>
      <c r="G375" s="156"/>
      <c r="H375" s="156"/>
      <c r="I375" s="156"/>
      <c r="J375" s="156"/>
      <c r="K375" s="156"/>
      <c r="L375" s="156"/>
      <c r="M375" s="151"/>
      <c r="N375" s="151"/>
      <c r="O375" s="151"/>
      <c r="P375" s="151"/>
      <c r="Q375" s="151"/>
      <c r="R375" s="151"/>
      <c r="S375" s="151"/>
      <c r="T375" s="151"/>
    </row>
    <row r="376" spans="2:20">
      <c r="B376" s="156"/>
      <c r="C376" s="156"/>
      <c r="D376" s="156"/>
      <c r="E376" s="156"/>
      <c r="F376" s="156"/>
      <c r="G376" s="156"/>
      <c r="H376" s="156"/>
      <c r="I376" s="156"/>
      <c r="J376" s="156"/>
      <c r="K376" s="156"/>
      <c r="L376" s="156"/>
      <c r="M376" s="151"/>
      <c r="N376" s="151"/>
      <c r="O376" s="151"/>
      <c r="P376" s="151"/>
      <c r="Q376" s="151"/>
      <c r="R376" s="151"/>
      <c r="S376" s="151"/>
      <c r="T376" s="151"/>
    </row>
    <row r="377" spans="2:20">
      <c r="B377" s="156"/>
      <c r="C377" s="156"/>
      <c r="D377" s="156"/>
      <c r="E377" s="156"/>
      <c r="F377" s="156"/>
      <c r="G377" s="156"/>
      <c r="H377" s="156"/>
      <c r="I377" s="156"/>
      <c r="J377" s="156"/>
      <c r="K377" s="156"/>
      <c r="L377" s="156"/>
      <c r="M377" s="151"/>
      <c r="N377" s="151"/>
      <c r="O377" s="151"/>
      <c r="P377" s="151"/>
      <c r="Q377" s="151"/>
      <c r="R377" s="151"/>
      <c r="S377" s="151"/>
      <c r="T377" s="151"/>
    </row>
    <row r="378" spans="2:20">
      <c r="B378" s="156"/>
      <c r="C378" s="156"/>
      <c r="D378" s="156"/>
      <c r="E378" s="156"/>
      <c r="F378" s="156"/>
      <c r="G378" s="156"/>
      <c r="H378" s="156"/>
      <c r="I378" s="156"/>
      <c r="J378" s="156"/>
      <c r="K378" s="156"/>
      <c r="L378" s="156"/>
      <c r="M378" s="151"/>
      <c r="N378" s="151"/>
      <c r="O378" s="151"/>
      <c r="P378" s="151"/>
      <c r="Q378" s="151"/>
      <c r="R378" s="151"/>
      <c r="S378" s="151"/>
      <c r="T378" s="151"/>
    </row>
    <row r="379" spans="2:20">
      <c r="B379" s="156"/>
      <c r="C379" s="156"/>
      <c r="D379" s="156"/>
      <c r="E379" s="156"/>
      <c r="F379" s="156"/>
      <c r="G379" s="156"/>
      <c r="H379" s="156"/>
      <c r="I379" s="156"/>
      <c r="J379" s="156"/>
      <c r="K379" s="156"/>
      <c r="L379" s="156"/>
      <c r="M379" s="151"/>
      <c r="N379" s="151"/>
      <c r="O379" s="151"/>
      <c r="P379" s="151"/>
      <c r="Q379" s="151"/>
      <c r="R379" s="151"/>
      <c r="S379" s="151"/>
      <c r="T379" s="151"/>
    </row>
    <row r="380" spans="2:20">
      <c r="B380" s="156"/>
      <c r="C380" s="156"/>
      <c r="D380" s="156"/>
      <c r="E380" s="156"/>
      <c r="F380" s="156"/>
      <c r="G380" s="156"/>
      <c r="H380" s="156"/>
      <c r="I380" s="156"/>
      <c r="J380" s="156"/>
      <c r="K380" s="156"/>
      <c r="L380" s="156"/>
      <c r="M380" s="151"/>
      <c r="N380" s="151"/>
      <c r="O380" s="151"/>
      <c r="P380" s="151"/>
      <c r="Q380" s="151"/>
      <c r="R380" s="151"/>
      <c r="S380" s="151"/>
      <c r="T380" s="151"/>
    </row>
    <row r="381" spans="2:20">
      <c r="B381" s="156"/>
      <c r="C381" s="156"/>
      <c r="D381" s="156"/>
      <c r="E381" s="156"/>
      <c r="F381" s="156"/>
      <c r="G381" s="156"/>
      <c r="H381" s="156"/>
      <c r="I381" s="156"/>
      <c r="J381" s="156"/>
      <c r="K381" s="156"/>
      <c r="L381" s="156"/>
      <c r="M381" s="151"/>
      <c r="N381" s="151"/>
      <c r="O381" s="151"/>
      <c r="P381" s="151"/>
      <c r="Q381" s="151"/>
      <c r="R381" s="151"/>
      <c r="S381" s="151"/>
      <c r="T381" s="151"/>
    </row>
    <row r="382" spans="2:20">
      <c r="B382" s="156"/>
      <c r="C382" s="156"/>
      <c r="D382" s="156"/>
      <c r="E382" s="156"/>
      <c r="F382" s="156"/>
      <c r="G382" s="156"/>
      <c r="H382" s="156"/>
      <c r="I382" s="156"/>
      <c r="J382" s="156"/>
      <c r="K382" s="156"/>
      <c r="L382" s="156"/>
      <c r="M382" s="151"/>
      <c r="N382" s="151"/>
      <c r="O382" s="151"/>
      <c r="P382" s="151"/>
      <c r="Q382" s="151"/>
      <c r="R382" s="151"/>
      <c r="S382" s="151"/>
      <c r="T382" s="151"/>
    </row>
    <row r="383" spans="2:20">
      <c r="B383" s="156"/>
      <c r="C383" s="156"/>
      <c r="D383" s="156"/>
      <c r="E383" s="156"/>
      <c r="F383" s="156"/>
      <c r="G383" s="156"/>
      <c r="H383" s="156"/>
      <c r="I383" s="156"/>
      <c r="J383" s="156"/>
      <c r="K383" s="156"/>
      <c r="L383" s="156"/>
      <c r="M383" s="151"/>
      <c r="N383" s="151"/>
      <c r="O383" s="151"/>
      <c r="P383" s="151"/>
      <c r="Q383" s="151"/>
      <c r="R383" s="151"/>
      <c r="S383" s="151"/>
      <c r="T383" s="151"/>
    </row>
    <row r="384" spans="2:20">
      <c r="B384" s="156"/>
      <c r="C384" s="156"/>
      <c r="D384" s="156"/>
      <c r="E384" s="156"/>
      <c r="F384" s="156"/>
      <c r="G384" s="156"/>
      <c r="H384" s="156"/>
      <c r="I384" s="156"/>
      <c r="J384" s="156"/>
      <c r="K384" s="156"/>
      <c r="L384" s="156"/>
      <c r="M384" s="151"/>
      <c r="N384" s="151"/>
      <c r="O384" s="151"/>
      <c r="P384" s="151"/>
      <c r="Q384" s="151"/>
      <c r="R384" s="151"/>
      <c r="S384" s="151"/>
      <c r="T384" s="151"/>
    </row>
    <row r="385" spans="2:20">
      <c r="B385" s="156"/>
      <c r="C385" s="156"/>
      <c r="D385" s="156"/>
      <c r="E385" s="156"/>
      <c r="F385" s="156"/>
      <c r="G385" s="156"/>
      <c r="H385" s="156"/>
      <c r="I385" s="156"/>
      <c r="J385" s="156"/>
      <c r="K385" s="156"/>
      <c r="L385" s="156"/>
      <c r="M385" s="151"/>
      <c r="N385" s="151"/>
      <c r="O385" s="151"/>
      <c r="P385" s="151"/>
      <c r="Q385" s="151"/>
      <c r="R385" s="151"/>
      <c r="S385" s="151"/>
      <c r="T385" s="151"/>
    </row>
    <row r="386" spans="2:20">
      <c r="B386" s="156"/>
      <c r="C386" s="156"/>
      <c r="D386" s="156"/>
      <c r="E386" s="156"/>
      <c r="F386" s="156"/>
      <c r="G386" s="156"/>
      <c r="H386" s="156"/>
      <c r="I386" s="156"/>
      <c r="J386" s="156"/>
      <c r="K386" s="156"/>
      <c r="L386" s="156"/>
      <c r="M386" s="151"/>
      <c r="N386" s="151"/>
      <c r="O386" s="151"/>
      <c r="P386" s="151"/>
      <c r="Q386" s="151"/>
      <c r="R386" s="151"/>
      <c r="S386" s="151"/>
      <c r="T386" s="151"/>
    </row>
    <row r="387" spans="2:20">
      <c r="B387" s="156"/>
      <c r="C387" s="156"/>
      <c r="D387" s="156"/>
      <c r="E387" s="156"/>
      <c r="F387" s="156"/>
      <c r="G387" s="156"/>
      <c r="H387" s="156"/>
      <c r="I387" s="156"/>
      <c r="J387" s="156"/>
      <c r="K387" s="156"/>
      <c r="L387" s="156"/>
      <c r="M387" s="151"/>
      <c r="N387" s="151"/>
      <c r="O387" s="151"/>
      <c r="P387" s="151"/>
      <c r="Q387" s="151"/>
      <c r="R387" s="151"/>
      <c r="S387" s="151"/>
      <c r="T387" s="151"/>
    </row>
    <row r="388" spans="2:20">
      <c r="B388" s="156"/>
      <c r="C388" s="156"/>
      <c r="D388" s="156"/>
      <c r="E388" s="156"/>
      <c r="F388" s="156"/>
      <c r="G388" s="156"/>
      <c r="H388" s="156"/>
      <c r="I388" s="156"/>
      <c r="J388" s="156"/>
      <c r="K388" s="156"/>
      <c r="L388" s="156"/>
      <c r="M388" s="156"/>
      <c r="N388" s="156"/>
      <c r="O388" s="156"/>
      <c r="P388" s="156"/>
      <c r="Q388" s="156"/>
      <c r="R388" s="156"/>
      <c r="S388" s="156"/>
      <c r="T388" s="156"/>
    </row>
    <row r="389" spans="2:20">
      <c r="B389" s="156"/>
      <c r="C389" s="156"/>
      <c r="D389" s="156"/>
      <c r="E389" s="156"/>
      <c r="F389" s="156"/>
      <c r="G389" s="156"/>
      <c r="H389" s="156"/>
      <c r="I389" s="156"/>
      <c r="J389" s="156"/>
      <c r="K389" s="156"/>
      <c r="L389" s="156"/>
      <c r="M389" s="156"/>
      <c r="N389" s="156"/>
      <c r="O389" s="156"/>
      <c r="P389" s="156"/>
      <c r="Q389" s="156"/>
      <c r="R389" s="156"/>
      <c r="S389" s="156"/>
      <c r="T389" s="156"/>
    </row>
    <row r="390" spans="2:20">
      <c r="B390" s="156"/>
      <c r="C390" s="156"/>
      <c r="D390" s="156"/>
      <c r="E390" s="156"/>
      <c r="F390" s="156"/>
      <c r="G390" s="156"/>
      <c r="H390" s="156"/>
      <c r="I390" s="156"/>
      <c r="J390" s="156"/>
      <c r="K390" s="156"/>
      <c r="L390" s="156"/>
      <c r="M390" s="156"/>
      <c r="N390" s="156"/>
      <c r="O390" s="156"/>
      <c r="P390" s="156"/>
      <c r="Q390" s="156"/>
      <c r="R390" s="156"/>
      <c r="S390" s="156"/>
      <c r="T390" s="156"/>
    </row>
    <row r="391" spans="2:20">
      <c r="B391" s="156"/>
      <c r="C391" s="156"/>
      <c r="D391" s="156"/>
      <c r="E391" s="156"/>
      <c r="F391" s="156"/>
      <c r="G391" s="156"/>
      <c r="H391" s="156"/>
      <c r="I391" s="156"/>
      <c r="J391" s="156"/>
      <c r="K391" s="156"/>
      <c r="L391" s="156"/>
      <c r="M391" s="156"/>
      <c r="N391" s="156"/>
      <c r="O391" s="156"/>
      <c r="P391" s="156"/>
      <c r="Q391" s="156"/>
      <c r="R391" s="156"/>
      <c r="S391" s="156"/>
      <c r="T391" s="156"/>
    </row>
    <row r="392" spans="2:20">
      <c r="B392" s="156"/>
      <c r="C392" s="156"/>
      <c r="D392" s="156"/>
      <c r="E392" s="156"/>
      <c r="F392" s="156"/>
      <c r="G392" s="156"/>
      <c r="H392" s="156"/>
      <c r="I392" s="156"/>
      <c r="J392" s="156"/>
      <c r="K392" s="156"/>
      <c r="L392" s="156"/>
      <c r="M392" s="156"/>
      <c r="N392" s="156"/>
      <c r="O392" s="156"/>
      <c r="P392" s="156"/>
      <c r="Q392" s="156"/>
      <c r="R392" s="156"/>
      <c r="S392" s="156"/>
      <c r="T392" s="156"/>
    </row>
    <row r="393" spans="2:20">
      <c r="B393" s="156"/>
      <c r="C393" s="156"/>
      <c r="D393" s="156"/>
      <c r="E393" s="156"/>
      <c r="F393" s="156"/>
      <c r="G393" s="156"/>
      <c r="H393" s="156"/>
      <c r="I393" s="156"/>
      <c r="J393" s="156"/>
      <c r="K393" s="156"/>
      <c r="L393" s="156"/>
      <c r="M393" s="156"/>
      <c r="N393" s="156"/>
      <c r="O393" s="156"/>
      <c r="P393" s="156"/>
      <c r="Q393" s="156"/>
      <c r="R393" s="156"/>
      <c r="S393" s="156"/>
      <c r="T393" s="156"/>
    </row>
    <row r="394" spans="2:20">
      <c r="B394" s="156"/>
      <c r="C394" s="156"/>
      <c r="D394" s="156"/>
      <c r="E394" s="156"/>
      <c r="F394" s="156"/>
      <c r="G394" s="156"/>
      <c r="H394" s="156"/>
      <c r="I394" s="156"/>
      <c r="J394" s="156"/>
      <c r="K394" s="156"/>
      <c r="L394" s="156"/>
      <c r="M394" s="156"/>
      <c r="N394" s="156"/>
      <c r="O394" s="156"/>
      <c r="P394" s="156"/>
      <c r="Q394" s="156"/>
      <c r="R394" s="156"/>
      <c r="S394" s="156"/>
      <c r="T394" s="156"/>
    </row>
    <row r="395" spans="2:20">
      <c r="B395" s="156"/>
      <c r="C395" s="156"/>
      <c r="D395" s="156"/>
      <c r="E395" s="156"/>
      <c r="F395" s="156"/>
      <c r="G395" s="156"/>
      <c r="H395" s="156"/>
      <c r="I395" s="156"/>
      <c r="J395" s="156"/>
      <c r="K395" s="156"/>
      <c r="L395" s="156"/>
      <c r="M395" s="156"/>
      <c r="N395" s="156"/>
      <c r="O395" s="156"/>
      <c r="P395" s="156"/>
      <c r="Q395" s="156"/>
      <c r="R395" s="156"/>
      <c r="S395" s="156"/>
      <c r="T395" s="156"/>
    </row>
    <row r="396" spans="2:20">
      <c r="B396" s="156"/>
      <c r="C396" s="156"/>
      <c r="D396" s="156"/>
      <c r="E396" s="156"/>
      <c r="F396" s="156"/>
      <c r="G396" s="156"/>
      <c r="H396" s="156"/>
      <c r="I396" s="156"/>
      <c r="J396" s="156"/>
      <c r="K396" s="156"/>
      <c r="L396" s="156"/>
      <c r="M396" s="156"/>
      <c r="N396" s="156"/>
      <c r="O396" s="156"/>
      <c r="P396" s="156"/>
      <c r="Q396" s="156"/>
      <c r="R396" s="156"/>
      <c r="S396" s="156"/>
      <c r="T396" s="156"/>
    </row>
    <row r="397" spans="2:20">
      <c r="B397" s="156"/>
      <c r="C397" s="156"/>
      <c r="D397" s="156"/>
      <c r="E397" s="156"/>
      <c r="F397" s="156"/>
      <c r="G397" s="156"/>
      <c r="H397" s="156"/>
      <c r="I397" s="156"/>
      <c r="J397" s="156"/>
      <c r="K397" s="156"/>
      <c r="L397" s="156"/>
      <c r="M397" s="156"/>
      <c r="N397" s="156"/>
      <c r="O397" s="156"/>
      <c r="P397" s="156"/>
      <c r="Q397" s="156"/>
      <c r="R397" s="156"/>
      <c r="S397" s="156"/>
      <c r="T397" s="156"/>
    </row>
    <row r="398" spans="2:20">
      <c r="B398" s="156"/>
      <c r="C398" s="156"/>
      <c r="D398" s="156"/>
      <c r="E398" s="156"/>
      <c r="F398" s="156"/>
      <c r="G398" s="156"/>
      <c r="H398" s="156"/>
      <c r="I398" s="156"/>
      <c r="J398" s="156"/>
      <c r="K398" s="156"/>
      <c r="L398" s="156"/>
      <c r="M398" s="156"/>
      <c r="N398" s="156"/>
      <c r="O398" s="156"/>
      <c r="P398" s="156"/>
      <c r="Q398" s="156"/>
      <c r="R398" s="156"/>
      <c r="S398" s="156"/>
      <c r="T398" s="156"/>
    </row>
    <row r="399" spans="2:20">
      <c r="B399" s="156"/>
      <c r="C399" s="156"/>
      <c r="D399" s="156"/>
      <c r="E399" s="156"/>
      <c r="F399" s="156"/>
      <c r="G399" s="156"/>
      <c r="H399" s="156"/>
      <c r="I399" s="156"/>
      <c r="J399" s="156"/>
      <c r="K399" s="156"/>
      <c r="L399" s="156"/>
      <c r="M399" s="156"/>
      <c r="N399" s="156"/>
      <c r="O399" s="156"/>
      <c r="P399" s="156"/>
      <c r="Q399" s="156"/>
      <c r="R399" s="156"/>
      <c r="S399" s="156"/>
      <c r="T399" s="156"/>
    </row>
    <row r="400" spans="2:20">
      <c r="B400" s="156"/>
      <c r="C400" s="156"/>
      <c r="D400" s="156"/>
      <c r="E400" s="156"/>
      <c r="F400" s="156"/>
      <c r="G400" s="156"/>
      <c r="H400" s="156"/>
      <c r="I400" s="156"/>
      <c r="J400" s="156"/>
      <c r="K400" s="156"/>
      <c r="L400" s="156"/>
      <c r="M400" s="156"/>
      <c r="N400" s="156"/>
      <c r="O400" s="156"/>
      <c r="P400" s="156"/>
      <c r="Q400" s="156"/>
      <c r="R400" s="156"/>
      <c r="S400" s="156"/>
      <c r="T400" s="156"/>
    </row>
    <row r="401" spans="2:20">
      <c r="B401" s="156"/>
      <c r="C401" s="156"/>
      <c r="D401" s="156"/>
      <c r="E401" s="156"/>
      <c r="F401" s="156"/>
      <c r="G401" s="156"/>
      <c r="H401" s="156"/>
      <c r="I401" s="156"/>
      <c r="J401" s="156"/>
      <c r="K401" s="156"/>
      <c r="L401" s="156"/>
      <c r="M401" s="156"/>
      <c r="N401" s="156"/>
      <c r="O401" s="156"/>
      <c r="P401" s="156"/>
      <c r="Q401" s="156"/>
      <c r="R401" s="156"/>
      <c r="S401" s="156"/>
      <c r="T401" s="156"/>
    </row>
    <row r="402" spans="2:20">
      <c r="B402" s="156"/>
      <c r="C402" s="156"/>
      <c r="D402" s="156"/>
      <c r="E402" s="156"/>
      <c r="F402" s="156"/>
      <c r="G402" s="156"/>
      <c r="H402" s="156"/>
      <c r="I402" s="156"/>
      <c r="J402" s="156"/>
      <c r="K402" s="156"/>
      <c r="L402" s="156"/>
      <c r="M402" s="156"/>
      <c r="N402" s="156"/>
      <c r="O402" s="156"/>
      <c r="P402" s="156"/>
      <c r="Q402" s="156"/>
      <c r="R402" s="156"/>
      <c r="S402" s="156"/>
      <c r="T402" s="156"/>
    </row>
    <row r="403" spans="2:20">
      <c r="B403" s="156"/>
      <c r="C403" s="156"/>
      <c r="D403" s="156"/>
      <c r="E403" s="156"/>
      <c r="F403" s="156"/>
      <c r="G403" s="156"/>
      <c r="H403" s="156"/>
      <c r="I403" s="156"/>
      <c r="J403" s="156"/>
      <c r="K403" s="156"/>
      <c r="L403" s="156"/>
      <c r="M403" s="156"/>
      <c r="N403" s="156"/>
      <c r="O403" s="156"/>
      <c r="P403" s="156"/>
      <c r="Q403" s="156"/>
      <c r="R403" s="156"/>
      <c r="S403" s="156"/>
      <c r="T403" s="156"/>
    </row>
    <row r="404" spans="2:20">
      <c r="B404" s="156"/>
      <c r="C404" s="156"/>
      <c r="D404" s="156"/>
      <c r="E404" s="156"/>
      <c r="F404" s="156"/>
      <c r="G404" s="156"/>
      <c r="H404" s="156"/>
      <c r="I404" s="156"/>
      <c r="J404" s="156"/>
      <c r="K404" s="156"/>
      <c r="L404" s="156"/>
      <c r="M404" s="156"/>
      <c r="N404" s="156"/>
      <c r="O404" s="156"/>
      <c r="P404" s="156"/>
      <c r="Q404" s="156"/>
      <c r="R404" s="156"/>
      <c r="S404" s="156"/>
      <c r="T404" s="156"/>
    </row>
    <row r="405" spans="2:20">
      <c r="B405" s="156"/>
      <c r="C405" s="156"/>
      <c r="D405" s="156"/>
      <c r="E405" s="156"/>
      <c r="F405" s="156"/>
      <c r="G405" s="156"/>
      <c r="H405" s="156"/>
      <c r="I405" s="156"/>
      <c r="J405" s="156"/>
      <c r="K405" s="156"/>
      <c r="L405" s="156"/>
      <c r="M405" s="156"/>
      <c r="N405" s="156"/>
      <c r="O405" s="156"/>
      <c r="P405" s="156"/>
      <c r="Q405" s="156"/>
      <c r="R405" s="156"/>
      <c r="S405" s="156"/>
      <c r="T405" s="156"/>
    </row>
    <row r="406" spans="2:20">
      <c r="B406" s="156"/>
      <c r="C406" s="156"/>
      <c r="D406" s="156"/>
      <c r="E406" s="156"/>
      <c r="F406" s="156"/>
      <c r="G406" s="156"/>
      <c r="H406" s="156"/>
      <c r="I406" s="156"/>
      <c r="J406" s="156"/>
      <c r="K406" s="156"/>
      <c r="L406" s="156"/>
      <c r="M406" s="156"/>
      <c r="N406" s="156"/>
      <c r="O406" s="156"/>
      <c r="P406" s="156"/>
      <c r="Q406" s="156"/>
      <c r="R406" s="156"/>
      <c r="S406" s="156"/>
      <c r="T406" s="156"/>
    </row>
    <row r="407" spans="2:20">
      <c r="B407" s="156"/>
      <c r="C407" s="156"/>
      <c r="D407" s="156"/>
      <c r="E407" s="156"/>
      <c r="F407" s="156"/>
      <c r="G407" s="156"/>
      <c r="H407" s="156"/>
      <c r="I407" s="156"/>
      <c r="J407" s="156"/>
      <c r="K407" s="156"/>
      <c r="L407" s="156"/>
      <c r="M407" s="156"/>
      <c r="N407" s="156"/>
      <c r="O407" s="156"/>
      <c r="P407" s="156"/>
      <c r="Q407" s="156"/>
      <c r="R407" s="156"/>
      <c r="S407" s="156"/>
      <c r="T407" s="156"/>
    </row>
    <row r="408" spans="2:20">
      <c r="B408" s="156"/>
      <c r="C408" s="156"/>
      <c r="D408" s="156"/>
      <c r="E408" s="156"/>
      <c r="F408" s="156"/>
      <c r="G408" s="156"/>
      <c r="H408" s="156"/>
      <c r="I408" s="156"/>
      <c r="J408" s="156"/>
      <c r="K408" s="156"/>
      <c r="L408" s="156"/>
      <c r="M408" s="156"/>
      <c r="N408" s="156"/>
      <c r="O408" s="156"/>
      <c r="P408" s="156"/>
      <c r="Q408" s="156"/>
      <c r="R408" s="156"/>
      <c r="S408" s="156"/>
      <c r="T408" s="156"/>
    </row>
    <row r="409" spans="2:20">
      <c r="B409" s="156"/>
      <c r="C409" s="156"/>
      <c r="D409" s="156"/>
      <c r="E409" s="156"/>
      <c r="F409" s="156"/>
      <c r="G409" s="156"/>
      <c r="H409" s="156"/>
      <c r="I409" s="156"/>
      <c r="J409" s="156"/>
      <c r="K409" s="156"/>
      <c r="L409" s="156"/>
      <c r="M409" s="156"/>
      <c r="N409" s="156"/>
      <c r="O409" s="156"/>
      <c r="P409" s="156"/>
      <c r="Q409" s="156"/>
      <c r="R409" s="156"/>
      <c r="S409" s="156"/>
      <c r="T409" s="156"/>
    </row>
    <row r="410" spans="2:20">
      <c r="B410" s="156"/>
      <c r="C410" s="156"/>
      <c r="D410" s="156"/>
      <c r="E410" s="156"/>
      <c r="F410" s="156"/>
      <c r="G410" s="156"/>
      <c r="H410" s="156"/>
      <c r="I410" s="156"/>
      <c r="J410" s="156"/>
      <c r="K410" s="156"/>
      <c r="L410" s="156"/>
      <c r="M410" s="156"/>
      <c r="N410" s="156"/>
      <c r="O410" s="156"/>
      <c r="P410" s="156"/>
      <c r="Q410" s="156"/>
      <c r="R410" s="156"/>
      <c r="S410" s="156"/>
      <c r="T410" s="156"/>
    </row>
    <row r="411" spans="2:20">
      <c r="B411" s="156"/>
      <c r="C411" s="156"/>
      <c r="D411" s="156"/>
      <c r="E411" s="156"/>
      <c r="F411" s="156"/>
      <c r="G411" s="156"/>
      <c r="H411" s="156"/>
      <c r="I411" s="156"/>
      <c r="J411" s="156"/>
      <c r="K411" s="156"/>
      <c r="L411" s="156"/>
      <c r="M411" s="156"/>
      <c r="N411" s="156"/>
      <c r="O411" s="156"/>
      <c r="P411" s="156"/>
      <c r="Q411" s="156"/>
      <c r="R411" s="156"/>
      <c r="S411" s="156"/>
      <c r="T411" s="156"/>
    </row>
    <row r="412" spans="2:20">
      <c r="B412" s="156"/>
      <c r="C412" s="156"/>
      <c r="D412" s="156"/>
      <c r="E412" s="156"/>
      <c r="F412" s="156"/>
      <c r="G412" s="156"/>
      <c r="H412" s="156"/>
      <c r="I412" s="156"/>
      <c r="J412" s="156"/>
      <c r="K412" s="156"/>
      <c r="L412" s="156"/>
      <c r="M412" s="156"/>
      <c r="N412" s="156"/>
      <c r="O412" s="156"/>
      <c r="P412" s="156"/>
      <c r="Q412" s="156"/>
      <c r="R412" s="156"/>
      <c r="S412" s="156"/>
      <c r="T412" s="156"/>
    </row>
    <row r="413" spans="2:20">
      <c r="B413" s="156"/>
      <c r="C413" s="156"/>
      <c r="D413" s="156"/>
      <c r="E413" s="156"/>
      <c r="F413" s="156"/>
      <c r="G413" s="156"/>
      <c r="H413" s="156"/>
      <c r="I413" s="156"/>
      <c r="J413" s="156"/>
      <c r="K413" s="156"/>
      <c r="L413" s="156"/>
      <c r="M413" s="156"/>
      <c r="N413" s="156"/>
      <c r="O413" s="156"/>
      <c r="P413" s="156"/>
      <c r="Q413" s="156"/>
      <c r="R413" s="156"/>
      <c r="S413" s="156"/>
      <c r="T413" s="156"/>
    </row>
    <row r="414" spans="2:20">
      <c r="B414" s="156"/>
      <c r="C414" s="156"/>
      <c r="D414" s="156"/>
      <c r="E414" s="156"/>
      <c r="F414" s="156"/>
      <c r="G414" s="156"/>
      <c r="H414" s="156"/>
      <c r="I414" s="156"/>
      <c r="J414" s="156"/>
      <c r="K414" s="156"/>
      <c r="L414" s="156"/>
      <c r="M414" s="156"/>
      <c r="N414" s="156"/>
      <c r="O414" s="156"/>
      <c r="P414" s="156"/>
      <c r="Q414" s="156"/>
      <c r="R414" s="156"/>
      <c r="S414" s="156"/>
      <c r="T414" s="156"/>
    </row>
    <row r="415" spans="2:20">
      <c r="B415" s="156"/>
      <c r="C415" s="156"/>
      <c r="D415" s="156"/>
      <c r="E415" s="156"/>
      <c r="F415" s="156"/>
      <c r="G415" s="156"/>
      <c r="H415" s="156"/>
      <c r="I415" s="156"/>
      <c r="J415" s="156"/>
      <c r="K415" s="156"/>
      <c r="L415" s="156"/>
      <c r="M415" s="156"/>
      <c r="N415" s="156"/>
      <c r="O415" s="156"/>
      <c r="P415" s="156"/>
      <c r="Q415" s="156"/>
      <c r="R415" s="156"/>
      <c r="S415" s="156"/>
      <c r="T415" s="156"/>
    </row>
    <row r="416" spans="2:20">
      <c r="B416" s="156"/>
      <c r="C416" s="156"/>
      <c r="D416" s="156"/>
      <c r="E416" s="156"/>
      <c r="F416" s="156"/>
      <c r="G416" s="156"/>
      <c r="H416" s="156"/>
      <c r="I416" s="156"/>
      <c r="J416" s="156"/>
      <c r="K416" s="156"/>
      <c r="L416" s="156"/>
      <c r="M416" s="156"/>
      <c r="N416" s="156"/>
      <c r="O416" s="156"/>
      <c r="P416" s="156"/>
      <c r="Q416" s="156"/>
      <c r="R416" s="156"/>
      <c r="S416" s="156"/>
      <c r="T416" s="156"/>
    </row>
    <row r="417" spans="2:20">
      <c r="B417" s="156"/>
      <c r="C417" s="156"/>
      <c r="D417" s="156"/>
      <c r="E417" s="156"/>
      <c r="F417" s="156"/>
      <c r="G417" s="156"/>
      <c r="H417" s="156"/>
      <c r="I417" s="156"/>
      <c r="J417" s="156"/>
      <c r="K417" s="156"/>
      <c r="L417" s="156"/>
      <c r="M417" s="156"/>
      <c r="N417" s="156"/>
      <c r="O417" s="156"/>
      <c r="P417" s="156"/>
      <c r="Q417" s="156"/>
      <c r="R417" s="156"/>
      <c r="S417" s="156"/>
      <c r="T417" s="156"/>
    </row>
    <row r="418" spans="2:20">
      <c r="B418" s="156"/>
      <c r="C418" s="156"/>
      <c r="D418" s="156"/>
      <c r="E418" s="156"/>
      <c r="F418" s="156"/>
      <c r="G418" s="156"/>
      <c r="H418" s="156"/>
      <c r="I418" s="156"/>
      <c r="J418" s="156"/>
      <c r="K418" s="156"/>
      <c r="L418" s="156"/>
      <c r="M418" s="156"/>
      <c r="N418" s="156"/>
      <c r="O418" s="156"/>
      <c r="P418" s="156"/>
      <c r="Q418" s="156"/>
      <c r="R418" s="156"/>
      <c r="S418" s="156"/>
      <c r="T418" s="156"/>
    </row>
    <row r="419" spans="2:20">
      <c r="B419" s="156"/>
      <c r="C419" s="156"/>
      <c r="D419" s="156"/>
      <c r="E419" s="156"/>
      <c r="F419" s="156"/>
      <c r="G419" s="156"/>
      <c r="H419" s="156"/>
      <c r="I419" s="156"/>
      <c r="J419" s="156"/>
      <c r="K419" s="156"/>
      <c r="L419" s="156"/>
      <c r="M419" s="156"/>
      <c r="N419" s="156"/>
      <c r="O419" s="156"/>
      <c r="P419" s="156"/>
      <c r="Q419" s="156"/>
      <c r="R419" s="156"/>
      <c r="S419" s="156"/>
      <c r="T419" s="156"/>
    </row>
    <row r="420" spans="2:20">
      <c r="B420" s="156"/>
      <c r="C420" s="156"/>
      <c r="D420" s="156"/>
      <c r="E420" s="156"/>
      <c r="F420" s="156"/>
      <c r="G420" s="156"/>
      <c r="H420" s="156"/>
      <c r="I420" s="156"/>
      <c r="J420" s="156"/>
      <c r="K420" s="156"/>
      <c r="L420" s="156"/>
      <c r="M420" s="156"/>
      <c r="N420" s="156"/>
      <c r="O420" s="156"/>
      <c r="P420" s="156"/>
      <c r="Q420" s="156"/>
      <c r="R420" s="156"/>
      <c r="S420" s="156"/>
      <c r="T420" s="156"/>
    </row>
    <row r="421" spans="2:20">
      <c r="B421" s="156"/>
      <c r="C421" s="156"/>
      <c r="D421" s="156"/>
      <c r="E421" s="156"/>
      <c r="F421" s="156"/>
      <c r="G421" s="156"/>
      <c r="H421" s="156"/>
      <c r="I421" s="156"/>
      <c r="J421" s="156"/>
      <c r="K421" s="156"/>
      <c r="L421" s="156"/>
      <c r="M421" s="156"/>
      <c r="N421" s="156"/>
      <c r="O421" s="156"/>
      <c r="P421" s="156"/>
      <c r="Q421" s="156"/>
      <c r="R421" s="156"/>
      <c r="S421" s="156"/>
      <c r="T421" s="156"/>
    </row>
    <row r="422" spans="2:20">
      <c r="B422" s="156"/>
      <c r="C422" s="156"/>
      <c r="D422" s="156"/>
      <c r="E422" s="156"/>
      <c r="F422" s="156"/>
      <c r="G422" s="156"/>
      <c r="H422" s="156"/>
      <c r="I422" s="156"/>
      <c r="J422" s="156"/>
      <c r="K422" s="156"/>
      <c r="L422" s="156"/>
      <c r="M422" s="156"/>
      <c r="N422" s="156"/>
      <c r="O422" s="156"/>
      <c r="P422" s="156"/>
      <c r="Q422" s="156"/>
      <c r="R422" s="156"/>
      <c r="S422" s="156"/>
      <c r="T422" s="156"/>
    </row>
    <row r="423" spans="2:20">
      <c r="B423" s="156"/>
      <c r="C423" s="156"/>
      <c r="D423" s="156"/>
      <c r="E423" s="156"/>
      <c r="F423" s="156"/>
      <c r="G423" s="156"/>
      <c r="H423" s="156"/>
      <c r="I423" s="156"/>
      <c r="J423" s="156"/>
      <c r="K423" s="156"/>
      <c r="L423" s="156"/>
      <c r="M423" s="156"/>
      <c r="N423" s="156"/>
      <c r="O423" s="156"/>
      <c r="P423" s="156"/>
      <c r="Q423" s="156"/>
      <c r="R423" s="156"/>
      <c r="S423" s="156"/>
      <c r="T423" s="156"/>
    </row>
    <row r="424" spans="2:20">
      <c r="B424" s="156"/>
      <c r="C424" s="156"/>
      <c r="D424" s="156"/>
      <c r="E424" s="156"/>
      <c r="F424" s="156"/>
      <c r="G424" s="156"/>
      <c r="H424" s="156"/>
      <c r="I424" s="156"/>
      <c r="J424" s="156"/>
      <c r="K424" s="156"/>
      <c r="L424" s="156"/>
      <c r="M424" s="156"/>
      <c r="N424" s="156"/>
      <c r="O424" s="156"/>
      <c r="P424" s="156"/>
      <c r="Q424" s="156"/>
      <c r="R424" s="156"/>
      <c r="S424" s="156"/>
      <c r="T424" s="156"/>
    </row>
    <row r="425" spans="2:20">
      <c r="B425" s="156"/>
      <c r="C425" s="156"/>
      <c r="D425" s="156"/>
      <c r="E425" s="156"/>
      <c r="F425" s="156"/>
      <c r="G425" s="156"/>
      <c r="H425" s="156"/>
      <c r="I425" s="156"/>
      <c r="J425" s="156"/>
      <c r="K425" s="156"/>
      <c r="L425" s="156"/>
      <c r="M425" s="156"/>
      <c r="N425" s="156"/>
      <c r="O425" s="156"/>
      <c r="P425" s="156"/>
      <c r="Q425" s="156"/>
      <c r="R425" s="156"/>
      <c r="S425" s="156"/>
      <c r="T425" s="156"/>
    </row>
    <row r="426" spans="2:20">
      <c r="B426" s="156"/>
      <c r="C426" s="156"/>
      <c r="D426" s="156"/>
      <c r="E426" s="156"/>
      <c r="F426" s="156"/>
      <c r="G426" s="156"/>
      <c r="H426" s="156"/>
      <c r="I426" s="156"/>
      <c r="J426" s="156"/>
      <c r="K426" s="156"/>
      <c r="L426" s="156"/>
      <c r="M426" s="156"/>
      <c r="N426" s="156"/>
      <c r="O426" s="156"/>
      <c r="P426" s="156"/>
      <c r="Q426" s="156"/>
      <c r="R426" s="156"/>
      <c r="S426" s="156"/>
      <c r="T426" s="156"/>
    </row>
    <row r="427" spans="2:20">
      <c r="B427" s="156"/>
      <c r="C427" s="156"/>
      <c r="D427" s="156"/>
      <c r="E427" s="156"/>
      <c r="F427" s="156"/>
      <c r="G427" s="156"/>
      <c r="H427" s="156"/>
      <c r="I427" s="156"/>
      <c r="J427" s="156"/>
      <c r="K427" s="156"/>
      <c r="L427" s="156"/>
      <c r="M427" s="156"/>
      <c r="N427" s="156"/>
      <c r="O427" s="156"/>
      <c r="P427" s="156"/>
      <c r="Q427" s="156"/>
      <c r="R427" s="156"/>
      <c r="S427" s="156"/>
      <c r="T427" s="156"/>
    </row>
    <row r="428" spans="2:20">
      <c r="B428" s="156"/>
      <c r="C428" s="156"/>
      <c r="D428" s="156"/>
      <c r="E428" s="156"/>
      <c r="F428" s="156"/>
      <c r="G428" s="156"/>
      <c r="H428" s="156"/>
      <c r="I428" s="156"/>
      <c r="J428" s="156"/>
      <c r="K428" s="156"/>
      <c r="L428" s="156"/>
      <c r="M428" s="156"/>
      <c r="N428" s="156"/>
      <c r="O428" s="156"/>
      <c r="P428" s="156"/>
      <c r="Q428" s="156"/>
      <c r="R428" s="156"/>
      <c r="S428" s="156"/>
      <c r="T428" s="156"/>
    </row>
    <row r="429" spans="2:20">
      <c r="B429" s="156"/>
      <c r="C429" s="156"/>
      <c r="D429" s="156"/>
      <c r="E429" s="156"/>
      <c r="F429" s="156"/>
      <c r="G429" s="156"/>
      <c r="H429" s="156"/>
      <c r="I429" s="156"/>
      <c r="J429" s="156"/>
      <c r="K429" s="156"/>
      <c r="L429" s="156"/>
      <c r="M429" s="156"/>
      <c r="N429" s="156"/>
      <c r="O429" s="156"/>
      <c r="P429" s="156"/>
      <c r="Q429" s="156"/>
      <c r="R429" s="156"/>
      <c r="S429" s="156"/>
      <c r="T429" s="156"/>
    </row>
    <row r="430" spans="2:20">
      <c r="B430" s="156"/>
      <c r="C430" s="156"/>
      <c r="D430" s="156"/>
      <c r="E430" s="156"/>
      <c r="F430" s="156"/>
      <c r="G430" s="156"/>
      <c r="H430" s="156"/>
      <c r="I430" s="156"/>
      <c r="J430" s="156"/>
      <c r="K430" s="156"/>
      <c r="L430" s="156"/>
      <c r="M430" s="156"/>
      <c r="N430" s="156"/>
      <c r="O430" s="156"/>
      <c r="P430" s="156"/>
      <c r="Q430" s="156"/>
      <c r="R430" s="156"/>
      <c r="S430" s="156"/>
      <c r="T430" s="156"/>
    </row>
    <row r="431" spans="2:20">
      <c r="B431" s="156"/>
      <c r="C431" s="156"/>
      <c r="D431" s="156"/>
      <c r="E431" s="156"/>
      <c r="F431" s="156"/>
      <c r="G431" s="156"/>
      <c r="H431" s="156"/>
      <c r="I431" s="156"/>
      <c r="J431" s="156"/>
      <c r="K431" s="156"/>
      <c r="L431" s="156"/>
      <c r="M431" s="156"/>
      <c r="N431" s="156"/>
      <c r="O431" s="156"/>
      <c r="P431" s="156"/>
      <c r="Q431" s="156"/>
      <c r="R431" s="156"/>
      <c r="S431" s="156"/>
      <c r="T431" s="156"/>
    </row>
    <row r="432" spans="2:20">
      <c r="B432" s="156"/>
      <c r="C432" s="156"/>
      <c r="D432" s="156"/>
      <c r="E432" s="156"/>
      <c r="F432" s="156"/>
      <c r="G432" s="156"/>
      <c r="H432" s="156"/>
      <c r="I432" s="156"/>
      <c r="J432" s="156"/>
      <c r="K432" s="156"/>
      <c r="L432" s="156"/>
      <c r="M432" s="156"/>
      <c r="N432" s="156"/>
      <c r="O432" s="156"/>
      <c r="P432" s="156"/>
      <c r="Q432" s="156"/>
      <c r="R432" s="156"/>
      <c r="S432" s="156"/>
      <c r="T432" s="156"/>
    </row>
    <row r="433" spans="2:20">
      <c r="B433" s="156"/>
      <c r="C433" s="156"/>
      <c r="D433" s="156"/>
      <c r="E433" s="156"/>
      <c r="F433" s="156"/>
      <c r="G433" s="156"/>
      <c r="H433" s="156"/>
      <c r="I433" s="156"/>
      <c r="J433" s="156"/>
      <c r="K433" s="156"/>
      <c r="L433" s="156"/>
      <c r="M433" s="156"/>
      <c r="N433" s="156"/>
      <c r="O433" s="156"/>
      <c r="P433" s="156"/>
      <c r="Q433" s="156"/>
      <c r="R433" s="156"/>
      <c r="S433" s="156"/>
      <c r="T433" s="156"/>
    </row>
    <row r="434" spans="2:20">
      <c r="B434" s="156"/>
      <c r="C434" s="156"/>
      <c r="D434" s="156"/>
      <c r="E434" s="156"/>
      <c r="F434" s="156"/>
      <c r="G434" s="156"/>
      <c r="H434" s="156"/>
      <c r="I434" s="156"/>
      <c r="J434" s="156"/>
      <c r="K434" s="156"/>
      <c r="L434" s="156"/>
      <c r="M434" s="156"/>
      <c r="N434" s="156"/>
      <c r="O434" s="156"/>
      <c r="P434" s="156"/>
      <c r="Q434" s="156"/>
      <c r="R434" s="156"/>
      <c r="S434" s="156"/>
      <c r="T434" s="156"/>
    </row>
    <row r="435" spans="2:20">
      <c r="B435" s="156"/>
      <c r="C435" s="156"/>
      <c r="D435" s="156"/>
      <c r="E435" s="156"/>
      <c r="F435" s="156"/>
      <c r="G435" s="156"/>
      <c r="H435" s="156"/>
      <c r="I435" s="156"/>
      <c r="J435" s="156"/>
      <c r="K435" s="156"/>
      <c r="L435" s="156"/>
      <c r="M435" s="156"/>
      <c r="N435" s="156"/>
      <c r="O435" s="156"/>
      <c r="P435" s="156"/>
      <c r="Q435" s="156"/>
      <c r="R435" s="156"/>
      <c r="S435" s="156"/>
      <c r="T435" s="156"/>
    </row>
    <row r="436" spans="2:20">
      <c r="B436" s="156"/>
      <c r="C436" s="156"/>
      <c r="D436" s="156"/>
      <c r="E436" s="156"/>
      <c r="F436" s="156"/>
      <c r="G436" s="156"/>
      <c r="H436" s="156"/>
      <c r="I436" s="156"/>
      <c r="J436" s="156"/>
      <c r="K436" s="156"/>
      <c r="L436" s="156"/>
      <c r="M436" s="156"/>
      <c r="N436" s="156"/>
      <c r="O436" s="156"/>
      <c r="P436" s="156"/>
      <c r="Q436" s="156"/>
      <c r="R436" s="156"/>
      <c r="S436" s="156"/>
      <c r="T436" s="156"/>
    </row>
    <row r="437" spans="2:20">
      <c r="B437" s="156"/>
      <c r="C437" s="156"/>
      <c r="D437" s="156"/>
      <c r="E437" s="156"/>
      <c r="F437" s="156"/>
      <c r="G437" s="156"/>
      <c r="H437" s="156"/>
      <c r="I437" s="156"/>
      <c r="J437" s="156"/>
      <c r="K437" s="156"/>
      <c r="L437" s="156"/>
      <c r="M437" s="156"/>
      <c r="N437" s="156"/>
      <c r="O437" s="156"/>
      <c r="P437" s="156"/>
      <c r="Q437" s="156"/>
      <c r="R437" s="156"/>
      <c r="S437" s="156"/>
      <c r="T437" s="156"/>
    </row>
    <row r="438" spans="2:20">
      <c r="B438" s="156"/>
      <c r="C438" s="156"/>
      <c r="D438" s="156"/>
      <c r="E438" s="156"/>
      <c r="F438" s="156"/>
      <c r="G438" s="156"/>
      <c r="H438" s="156"/>
      <c r="I438" s="156"/>
      <c r="J438" s="156"/>
      <c r="K438" s="156"/>
      <c r="L438" s="156"/>
      <c r="M438" s="156"/>
      <c r="N438" s="156"/>
      <c r="O438" s="156"/>
      <c r="P438" s="156"/>
      <c r="Q438" s="156"/>
      <c r="R438" s="156"/>
      <c r="S438" s="156"/>
      <c r="T438" s="156"/>
    </row>
    <row r="439" spans="2:20">
      <c r="B439" s="156"/>
      <c r="C439" s="156"/>
      <c r="D439" s="156"/>
      <c r="E439" s="156"/>
      <c r="F439" s="156"/>
      <c r="G439" s="156"/>
      <c r="H439" s="156"/>
      <c r="I439" s="156"/>
      <c r="J439" s="156"/>
      <c r="K439" s="156"/>
      <c r="L439" s="156"/>
      <c r="M439" s="156"/>
      <c r="N439" s="156"/>
      <c r="O439" s="156"/>
      <c r="P439" s="156"/>
      <c r="Q439" s="156"/>
      <c r="R439" s="156"/>
      <c r="S439" s="156"/>
      <c r="T439" s="156"/>
    </row>
    <row r="440" spans="2:20">
      <c r="B440" s="156"/>
      <c r="C440" s="156"/>
      <c r="D440" s="156"/>
      <c r="E440" s="156"/>
      <c r="F440" s="156"/>
      <c r="G440" s="156"/>
      <c r="H440" s="156"/>
      <c r="I440" s="156"/>
      <c r="J440" s="156"/>
      <c r="K440" s="156"/>
      <c r="L440" s="156"/>
      <c r="M440" s="156"/>
      <c r="N440" s="156"/>
      <c r="O440" s="156"/>
      <c r="P440" s="156"/>
      <c r="Q440" s="156"/>
      <c r="R440" s="156"/>
      <c r="S440" s="156"/>
      <c r="T440" s="156"/>
    </row>
    <row r="441" spans="2:20">
      <c r="B441" s="156"/>
      <c r="C441" s="156"/>
      <c r="D441" s="156"/>
      <c r="E441" s="156"/>
      <c r="F441" s="156"/>
      <c r="G441" s="156"/>
      <c r="H441" s="156"/>
      <c r="I441" s="156"/>
      <c r="J441" s="156"/>
      <c r="K441" s="156"/>
      <c r="L441" s="156"/>
      <c r="M441" s="156"/>
      <c r="N441" s="156"/>
      <c r="O441" s="156"/>
      <c r="P441" s="156"/>
      <c r="Q441" s="156"/>
      <c r="R441" s="156"/>
      <c r="S441" s="156"/>
      <c r="T441" s="156"/>
    </row>
    <row r="442" spans="2:20">
      <c r="B442" s="156"/>
      <c r="C442" s="156"/>
      <c r="D442" s="156"/>
      <c r="E442" s="156"/>
      <c r="F442" s="156"/>
      <c r="G442" s="156"/>
      <c r="H442" s="156"/>
      <c r="I442" s="156"/>
      <c r="J442" s="156"/>
      <c r="K442" s="156"/>
      <c r="L442" s="156"/>
      <c r="M442" s="156"/>
      <c r="N442" s="156"/>
      <c r="O442" s="156"/>
      <c r="P442" s="156"/>
      <c r="Q442" s="156"/>
      <c r="R442" s="156"/>
      <c r="S442" s="156"/>
      <c r="T442" s="156"/>
    </row>
    <row r="443" spans="2:20">
      <c r="B443" s="156"/>
      <c r="C443" s="156"/>
      <c r="D443" s="156"/>
      <c r="E443" s="156"/>
      <c r="F443" s="156"/>
      <c r="G443" s="156"/>
      <c r="H443" s="156"/>
      <c r="I443" s="156"/>
      <c r="J443" s="156"/>
      <c r="K443" s="156"/>
      <c r="L443" s="156"/>
      <c r="M443" s="156"/>
      <c r="N443" s="156"/>
      <c r="O443" s="156"/>
      <c r="P443" s="156"/>
      <c r="Q443" s="156"/>
      <c r="R443" s="156"/>
      <c r="S443" s="156"/>
      <c r="T443" s="156"/>
    </row>
    <row r="444" spans="2:20">
      <c r="B444" s="156"/>
      <c r="C444" s="156"/>
      <c r="D444" s="156"/>
      <c r="E444" s="156"/>
      <c r="F444" s="156"/>
      <c r="G444" s="156"/>
      <c r="H444" s="156"/>
      <c r="I444" s="156"/>
      <c r="J444" s="156"/>
      <c r="K444" s="156"/>
      <c r="L444" s="156"/>
      <c r="M444" s="156"/>
      <c r="N444" s="156"/>
      <c r="O444" s="156"/>
      <c r="P444" s="156"/>
      <c r="Q444" s="156"/>
      <c r="R444" s="156"/>
      <c r="S444" s="156"/>
      <c r="T444" s="156"/>
    </row>
    <row r="445" spans="2:20">
      <c r="B445" s="156"/>
      <c r="C445" s="156"/>
      <c r="D445" s="156"/>
      <c r="E445" s="156"/>
      <c r="F445" s="156"/>
      <c r="G445" s="156"/>
      <c r="H445" s="156"/>
      <c r="I445" s="156"/>
      <c r="J445" s="156"/>
      <c r="K445" s="156"/>
      <c r="L445" s="156"/>
      <c r="M445" s="156"/>
      <c r="N445" s="156"/>
      <c r="O445" s="156"/>
      <c r="P445" s="156"/>
      <c r="Q445" s="156"/>
      <c r="R445" s="156"/>
      <c r="S445" s="156"/>
      <c r="T445" s="156"/>
    </row>
    <row r="446" spans="2:20">
      <c r="B446" s="156"/>
      <c r="C446" s="156"/>
      <c r="D446" s="156"/>
      <c r="E446" s="156"/>
      <c r="F446" s="156"/>
      <c r="G446" s="156"/>
      <c r="H446" s="156"/>
      <c r="I446" s="156"/>
      <c r="J446" s="156"/>
      <c r="K446" s="156"/>
      <c r="L446" s="156"/>
      <c r="M446" s="156"/>
      <c r="N446" s="156"/>
      <c r="O446" s="156"/>
      <c r="P446" s="156"/>
      <c r="Q446" s="156"/>
      <c r="R446" s="156"/>
      <c r="S446" s="156"/>
      <c r="T446" s="156"/>
    </row>
    <row r="447" spans="2:20">
      <c r="B447" s="156"/>
      <c r="C447" s="156"/>
      <c r="D447" s="156"/>
      <c r="E447" s="156"/>
      <c r="F447" s="156"/>
      <c r="G447" s="156"/>
      <c r="H447" s="156"/>
      <c r="I447" s="156"/>
      <c r="J447" s="156"/>
      <c r="K447" s="156"/>
      <c r="L447" s="156"/>
      <c r="M447" s="156"/>
      <c r="N447" s="156"/>
      <c r="O447" s="156"/>
      <c r="P447" s="156"/>
      <c r="Q447" s="156"/>
      <c r="R447" s="156"/>
      <c r="S447" s="156"/>
      <c r="T447" s="156"/>
    </row>
    <row r="448" spans="2:20">
      <c r="B448" s="156"/>
      <c r="C448" s="156"/>
      <c r="D448" s="156"/>
      <c r="E448" s="156"/>
      <c r="F448" s="156"/>
      <c r="G448" s="156"/>
      <c r="H448" s="156"/>
      <c r="I448" s="156"/>
      <c r="J448" s="156"/>
      <c r="K448" s="156"/>
      <c r="L448" s="156"/>
      <c r="M448" s="156"/>
      <c r="N448" s="156"/>
      <c r="O448" s="156"/>
      <c r="P448" s="156"/>
      <c r="Q448" s="156"/>
      <c r="R448" s="156"/>
      <c r="S448" s="156"/>
      <c r="T448" s="156"/>
    </row>
    <row r="449" spans="2:20">
      <c r="B449" s="156"/>
      <c r="C449" s="156"/>
      <c r="D449" s="156"/>
      <c r="E449" s="156"/>
      <c r="F449" s="156"/>
      <c r="G449" s="156"/>
      <c r="H449" s="156"/>
      <c r="I449" s="156"/>
      <c r="J449" s="156"/>
      <c r="K449" s="156"/>
      <c r="L449" s="156"/>
      <c r="M449" s="156"/>
      <c r="N449" s="156"/>
      <c r="O449" s="156"/>
      <c r="P449" s="156"/>
      <c r="Q449" s="156"/>
      <c r="R449" s="156"/>
      <c r="S449" s="156"/>
      <c r="T449" s="156"/>
    </row>
    <row r="450" spans="2:20">
      <c r="B450" s="156"/>
      <c r="C450" s="156"/>
      <c r="D450" s="156"/>
      <c r="E450" s="156"/>
      <c r="F450" s="156"/>
      <c r="G450" s="156"/>
      <c r="H450" s="156"/>
      <c r="I450" s="156"/>
      <c r="J450" s="156"/>
      <c r="K450" s="156"/>
      <c r="L450" s="156"/>
      <c r="M450" s="156"/>
      <c r="N450" s="156"/>
      <c r="O450" s="156"/>
      <c r="P450" s="156"/>
      <c r="Q450" s="156"/>
      <c r="R450" s="156"/>
      <c r="S450" s="156"/>
      <c r="T450" s="156"/>
    </row>
    <row r="451" spans="2:20">
      <c r="B451" s="156"/>
      <c r="C451" s="156"/>
      <c r="D451" s="156"/>
      <c r="E451" s="156"/>
      <c r="F451" s="156"/>
      <c r="G451" s="156"/>
      <c r="H451" s="156"/>
      <c r="I451" s="156"/>
      <c r="J451" s="156"/>
      <c r="K451" s="156"/>
      <c r="L451" s="156"/>
      <c r="M451" s="156"/>
      <c r="N451" s="156"/>
      <c r="O451" s="156"/>
      <c r="P451" s="156"/>
      <c r="Q451" s="156"/>
      <c r="R451" s="156"/>
      <c r="S451" s="156"/>
      <c r="T451" s="156"/>
    </row>
    <row r="452" spans="2:20">
      <c r="B452" s="156"/>
      <c r="C452" s="156"/>
      <c r="D452" s="156"/>
      <c r="E452" s="156"/>
      <c r="F452" s="156"/>
      <c r="G452" s="156"/>
      <c r="H452" s="156"/>
      <c r="I452" s="156"/>
      <c r="J452" s="156"/>
      <c r="K452" s="156"/>
      <c r="L452" s="156"/>
      <c r="M452" s="156"/>
      <c r="N452" s="156"/>
      <c r="O452" s="156"/>
      <c r="P452" s="156"/>
      <c r="Q452" s="156"/>
      <c r="R452" s="156"/>
      <c r="S452" s="156"/>
      <c r="T452" s="156"/>
    </row>
    <row r="453" spans="2:20">
      <c r="B453" s="156"/>
      <c r="C453" s="156"/>
      <c r="D453" s="156"/>
      <c r="E453" s="156"/>
      <c r="F453" s="156"/>
      <c r="G453" s="156"/>
      <c r="H453" s="156"/>
      <c r="I453" s="156"/>
      <c r="J453" s="156"/>
      <c r="K453" s="156"/>
      <c r="L453" s="156"/>
      <c r="M453" s="156"/>
      <c r="N453" s="156"/>
      <c r="O453" s="156"/>
      <c r="P453" s="156"/>
      <c r="Q453" s="156"/>
      <c r="R453" s="156"/>
      <c r="S453" s="156"/>
      <c r="T453" s="156"/>
    </row>
    <row r="454" spans="2:20">
      <c r="B454" s="156"/>
      <c r="C454" s="156"/>
      <c r="D454" s="156"/>
      <c r="E454" s="156"/>
      <c r="F454" s="156"/>
      <c r="G454" s="156"/>
      <c r="H454" s="156"/>
      <c r="I454" s="156"/>
      <c r="J454" s="156"/>
      <c r="K454" s="156"/>
      <c r="L454" s="156"/>
      <c r="M454" s="156"/>
      <c r="N454" s="156"/>
      <c r="O454" s="156"/>
      <c r="P454" s="156"/>
      <c r="Q454" s="156"/>
      <c r="R454" s="156"/>
      <c r="S454" s="156"/>
      <c r="T454" s="156"/>
    </row>
    <row r="455" spans="2:20">
      <c r="B455" s="156"/>
      <c r="C455" s="156"/>
      <c r="D455" s="156"/>
      <c r="E455" s="156"/>
      <c r="F455" s="156"/>
      <c r="G455" s="156"/>
      <c r="H455" s="156"/>
      <c r="I455" s="156"/>
      <c r="J455" s="156"/>
      <c r="K455" s="156"/>
      <c r="L455" s="156"/>
      <c r="M455" s="156"/>
      <c r="N455" s="156"/>
      <c r="O455" s="156"/>
      <c r="P455" s="156"/>
      <c r="Q455" s="156"/>
      <c r="R455" s="156"/>
      <c r="S455" s="156"/>
      <c r="T455" s="156"/>
    </row>
    <row r="456" spans="2:20">
      <c r="B456" s="156"/>
      <c r="C456" s="156"/>
      <c r="D456" s="156"/>
      <c r="E456" s="156"/>
      <c r="F456" s="156"/>
      <c r="G456" s="156"/>
      <c r="H456" s="156"/>
      <c r="I456" s="156"/>
      <c r="J456" s="156"/>
      <c r="K456" s="156"/>
      <c r="L456" s="156"/>
      <c r="M456" s="156"/>
      <c r="N456" s="156"/>
      <c r="O456" s="156"/>
      <c r="P456" s="156"/>
      <c r="Q456" s="156"/>
      <c r="R456" s="156"/>
      <c r="S456" s="156"/>
      <c r="T456" s="156"/>
    </row>
    <row r="457" spans="2:20">
      <c r="B457" s="156"/>
      <c r="C457" s="156"/>
      <c r="D457" s="156"/>
      <c r="E457" s="156"/>
      <c r="F457" s="156"/>
      <c r="G457" s="156"/>
      <c r="H457" s="156"/>
      <c r="I457" s="156"/>
      <c r="J457" s="156"/>
      <c r="K457" s="156"/>
      <c r="L457" s="156"/>
      <c r="M457" s="156"/>
      <c r="N457" s="156"/>
      <c r="O457" s="156"/>
      <c r="P457" s="156"/>
      <c r="Q457" s="156"/>
      <c r="R457" s="156"/>
      <c r="S457" s="156"/>
      <c r="T457" s="156"/>
    </row>
    <row r="458" spans="2:20">
      <c r="B458" s="156"/>
      <c r="C458" s="156"/>
      <c r="D458" s="156"/>
      <c r="E458" s="156"/>
      <c r="F458" s="156"/>
      <c r="G458" s="156"/>
      <c r="H458" s="156"/>
      <c r="I458" s="156"/>
      <c r="J458" s="156"/>
      <c r="K458" s="156"/>
      <c r="L458" s="156"/>
      <c r="M458" s="156"/>
      <c r="N458" s="156"/>
      <c r="O458" s="156"/>
      <c r="P458" s="156"/>
      <c r="Q458" s="156"/>
      <c r="R458" s="156"/>
      <c r="S458" s="156"/>
      <c r="T458" s="156"/>
    </row>
    <row r="459" spans="2:20">
      <c r="B459" s="156"/>
      <c r="C459" s="156"/>
      <c r="D459" s="156"/>
      <c r="E459" s="156"/>
      <c r="F459" s="156"/>
      <c r="G459" s="156"/>
      <c r="H459" s="156"/>
      <c r="I459" s="156"/>
      <c r="J459" s="156"/>
      <c r="K459" s="156"/>
      <c r="L459" s="156"/>
      <c r="M459" s="156"/>
      <c r="N459" s="156"/>
      <c r="O459" s="156"/>
      <c r="P459" s="156"/>
      <c r="Q459" s="156"/>
      <c r="R459" s="156"/>
      <c r="S459" s="156"/>
      <c r="T459" s="156"/>
    </row>
    <row r="460" spans="2:20">
      <c r="B460" s="156"/>
      <c r="C460" s="156"/>
      <c r="D460" s="156"/>
      <c r="E460" s="156"/>
      <c r="F460" s="156"/>
      <c r="G460" s="156"/>
      <c r="H460" s="156"/>
      <c r="I460" s="156"/>
      <c r="J460" s="156"/>
      <c r="K460" s="156"/>
      <c r="L460" s="156"/>
      <c r="M460" s="156"/>
      <c r="N460" s="156"/>
      <c r="O460" s="156"/>
      <c r="P460" s="156"/>
      <c r="Q460" s="156"/>
      <c r="R460" s="156"/>
      <c r="S460" s="156"/>
      <c r="T460" s="156"/>
    </row>
    <row r="461" spans="2:20">
      <c r="B461" s="156"/>
      <c r="C461" s="156"/>
      <c r="D461" s="156"/>
      <c r="E461" s="156"/>
      <c r="F461" s="156"/>
      <c r="G461" s="156"/>
      <c r="H461" s="156"/>
      <c r="I461" s="156"/>
      <c r="J461" s="156"/>
      <c r="K461" s="156"/>
      <c r="L461" s="156"/>
      <c r="M461" s="156"/>
      <c r="N461" s="156"/>
      <c r="O461" s="156"/>
      <c r="P461" s="156"/>
      <c r="Q461" s="156"/>
      <c r="R461" s="156"/>
      <c r="S461" s="156"/>
      <c r="T461" s="156"/>
    </row>
    <row r="462" spans="2:20">
      <c r="B462" s="156"/>
      <c r="C462" s="156"/>
      <c r="D462" s="156"/>
      <c r="E462" s="156"/>
      <c r="F462" s="156"/>
      <c r="G462" s="156"/>
      <c r="H462" s="156"/>
      <c r="I462" s="156"/>
      <c r="J462" s="156"/>
      <c r="K462" s="156"/>
      <c r="L462" s="156"/>
      <c r="M462" s="156"/>
      <c r="N462" s="156"/>
      <c r="O462" s="156"/>
      <c r="P462" s="156"/>
      <c r="Q462" s="156"/>
      <c r="R462" s="156"/>
      <c r="S462" s="156"/>
      <c r="T462" s="156"/>
    </row>
    <row r="463" spans="2:20">
      <c r="B463" s="156"/>
      <c r="C463" s="156"/>
      <c r="D463" s="156"/>
      <c r="E463" s="156"/>
      <c r="F463" s="156"/>
      <c r="G463" s="156"/>
      <c r="H463" s="156"/>
      <c r="I463" s="156"/>
      <c r="J463" s="156"/>
      <c r="K463" s="156"/>
      <c r="L463" s="156"/>
      <c r="M463" s="156"/>
      <c r="N463" s="156"/>
      <c r="O463" s="156"/>
      <c r="P463" s="156"/>
      <c r="Q463" s="156"/>
      <c r="R463" s="156"/>
      <c r="S463" s="156"/>
      <c r="T463" s="156"/>
    </row>
    <row r="464" spans="2:20">
      <c r="B464" s="156"/>
      <c r="C464" s="156"/>
      <c r="D464" s="156"/>
      <c r="E464" s="156"/>
      <c r="F464" s="156"/>
      <c r="G464" s="156"/>
      <c r="H464" s="156"/>
      <c r="I464" s="156"/>
      <c r="J464" s="156"/>
      <c r="K464" s="156"/>
      <c r="L464" s="156"/>
      <c r="M464" s="156"/>
      <c r="N464" s="156"/>
      <c r="O464" s="156"/>
      <c r="P464" s="156"/>
      <c r="Q464" s="156"/>
      <c r="R464" s="156"/>
      <c r="S464" s="156"/>
      <c r="T464" s="156"/>
    </row>
    <row r="465" spans="2:20">
      <c r="B465" s="156"/>
      <c r="C465" s="156"/>
      <c r="D465" s="156"/>
      <c r="E465" s="156"/>
      <c r="F465" s="156"/>
      <c r="G465" s="156"/>
      <c r="H465" s="156"/>
      <c r="I465" s="156"/>
      <c r="J465" s="156"/>
      <c r="K465" s="156"/>
      <c r="L465" s="156"/>
      <c r="M465" s="156"/>
      <c r="N465" s="156"/>
      <c r="O465" s="156"/>
      <c r="P465" s="156"/>
      <c r="Q465" s="156"/>
      <c r="R465" s="156"/>
      <c r="S465" s="156"/>
      <c r="T465" s="156"/>
    </row>
    <row r="466" spans="2:20">
      <c r="B466" s="156"/>
      <c r="C466" s="156"/>
      <c r="D466" s="156"/>
      <c r="E466" s="156"/>
      <c r="F466" s="156"/>
      <c r="G466" s="156"/>
      <c r="H466" s="156"/>
      <c r="I466" s="156"/>
      <c r="J466" s="156"/>
      <c r="K466" s="156"/>
      <c r="L466" s="156"/>
      <c r="M466" s="156"/>
      <c r="N466" s="156"/>
      <c r="O466" s="156"/>
      <c r="P466" s="156"/>
      <c r="Q466" s="156"/>
      <c r="R466" s="156"/>
      <c r="S466" s="156"/>
      <c r="T466" s="156"/>
    </row>
    <row r="467" spans="2:20">
      <c r="B467" s="156"/>
      <c r="C467" s="156"/>
      <c r="D467" s="156"/>
      <c r="E467" s="156"/>
      <c r="F467" s="156"/>
      <c r="G467" s="156"/>
      <c r="H467" s="156"/>
      <c r="I467" s="156"/>
      <c r="J467" s="156"/>
      <c r="K467" s="156"/>
      <c r="L467" s="156"/>
      <c r="M467" s="156"/>
      <c r="N467" s="156"/>
      <c r="O467" s="156"/>
      <c r="P467" s="156"/>
      <c r="Q467" s="156"/>
      <c r="R467" s="156"/>
      <c r="S467" s="156"/>
      <c r="T467" s="156"/>
    </row>
    <row r="468" spans="2:20">
      <c r="B468" s="156"/>
      <c r="C468" s="156"/>
      <c r="D468" s="156"/>
      <c r="E468" s="156"/>
      <c r="F468" s="156"/>
      <c r="G468" s="156"/>
      <c r="H468" s="156"/>
      <c r="I468" s="156"/>
      <c r="J468" s="156"/>
      <c r="K468" s="156"/>
      <c r="L468" s="156"/>
      <c r="M468" s="156"/>
      <c r="N468" s="156"/>
      <c r="O468" s="156"/>
      <c r="P468" s="156"/>
      <c r="Q468" s="156"/>
      <c r="R468" s="156"/>
      <c r="S468" s="156"/>
      <c r="T468" s="156"/>
    </row>
    <row r="469" spans="2:20">
      <c r="B469" s="156"/>
      <c r="C469" s="156"/>
      <c r="D469" s="156"/>
      <c r="E469" s="156"/>
      <c r="F469" s="156"/>
      <c r="G469" s="156"/>
      <c r="H469" s="156"/>
      <c r="I469" s="156"/>
      <c r="J469" s="156"/>
      <c r="K469" s="156"/>
      <c r="L469" s="156"/>
      <c r="M469" s="156"/>
      <c r="N469" s="156"/>
      <c r="O469" s="156"/>
      <c r="P469" s="156"/>
      <c r="Q469" s="156"/>
      <c r="R469" s="156"/>
      <c r="S469" s="156"/>
      <c r="T469" s="156"/>
    </row>
    <row r="470" spans="2:20">
      <c r="B470" s="156"/>
      <c r="C470" s="156"/>
      <c r="D470" s="156"/>
      <c r="E470" s="156"/>
      <c r="F470" s="156"/>
      <c r="G470" s="156"/>
      <c r="H470" s="156"/>
      <c r="I470" s="156"/>
      <c r="J470" s="156"/>
      <c r="K470" s="156"/>
      <c r="L470" s="156"/>
      <c r="M470" s="156"/>
      <c r="N470" s="156"/>
      <c r="O470" s="156"/>
      <c r="P470" s="156"/>
      <c r="Q470" s="156"/>
      <c r="R470" s="156"/>
      <c r="S470" s="156"/>
      <c r="T470" s="156"/>
    </row>
    <row r="471" spans="2:20">
      <c r="B471" s="156"/>
      <c r="C471" s="156"/>
      <c r="D471" s="156"/>
      <c r="E471" s="156"/>
      <c r="F471" s="156"/>
      <c r="G471" s="156"/>
      <c r="H471" s="156"/>
      <c r="I471" s="156"/>
      <c r="J471" s="156"/>
      <c r="K471" s="156"/>
      <c r="L471" s="156"/>
      <c r="M471" s="156"/>
      <c r="N471" s="156"/>
      <c r="O471" s="156"/>
      <c r="P471" s="156"/>
      <c r="Q471" s="156"/>
      <c r="R471" s="156"/>
      <c r="S471" s="156"/>
      <c r="T471" s="156"/>
    </row>
    <row r="472" spans="2:20">
      <c r="B472" s="156"/>
      <c r="C472" s="156"/>
      <c r="D472" s="156"/>
      <c r="E472" s="156"/>
      <c r="F472" s="156"/>
      <c r="G472" s="156"/>
      <c r="H472" s="156"/>
      <c r="I472" s="156"/>
      <c r="J472" s="156"/>
      <c r="K472" s="156"/>
      <c r="L472" s="156"/>
      <c r="M472" s="156"/>
      <c r="N472" s="156"/>
      <c r="O472" s="156"/>
      <c r="P472" s="156"/>
      <c r="Q472" s="156"/>
      <c r="R472" s="156"/>
      <c r="S472" s="156"/>
      <c r="T472" s="156"/>
    </row>
    <row r="473" spans="2:20">
      <c r="B473" s="156"/>
      <c r="C473" s="156"/>
      <c r="D473" s="156"/>
      <c r="E473" s="156"/>
      <c r="F473" s="156"/>
      <c r="G473" s="156"/>
      <c r="H473" s="156"/>
      <c r="I473" s="156"/>
      <c r="J473" s="156"/>
      <c r="K473" s="156"/>
      <c r="L473" s="156"/>
      <c r="M473" s="156"/>
      <c r="N473" s="156"/>
      <c r="O473" s="156"/>
      <c r="P473" s="156"/>
      <c r="Q473" s="156"/>
      <c r="R473" s="156"/>
      <c r="S473" s="156"/>
      <c r="T473" s="156"/>
    </row>
    <row r="474" spans="2:20">
      <c r="B474" s="156"/>
      <c r="C474" s="156"/>
      <c r="D474" s="156"/>
      <c r="E474" s="156"/>
      <c r="F474" s="156"/>
      <c r="G474" s="156"/>
      <c r="H474" s="156"/>
      <c r="I474" s="156"/>
      <c r="J474" s="156"/>
      <c r="K474" s="156"/>
      <c r="L474" s="156"/>
      <c r="M474" s="156"/>
      <c r="N474" s="156"/>
      <c r="O474" s="156"/>
      <c r="P474" s="156"/>
      <c r="Q474" s="156"/>
      <c r="R474" s="156"/>
      <c r="S474" s="156"/>
      <c r="T474" s="156"/>
    </row>
    <row r="475" spans="2:20">
      <c r="B475" s="156"/>
      <c r="C475" s="156"/>
      <c r="D475" s="156"/>
      <c r="E475" s="156"/>
      <c r="F475" s="156"/>
      <c r="G475" s="156"/>
      <c r="H475" s="156"/>
      <c r="I475" s="156"/>
      <c r="J475" s="156"/>
      <c r="K475" s="156"/>
      <c r="L475" s="156"/>
      <c r="M475" s="156"/>
      <c r="N475" s="156"/>
      <c r="O475" s="156"/>
      <c r="P475" s="156"/>
      <c r="Q475" s="156"/>
      <c r="R475" s="156"/>
      <c r="S475" s="156"/>
      <c r="T475" s="156"/>
    </row>
    <row r="476" spans="2:20">
      <c r="B476" s="156"/>
      <c r="C476" s="156"/>
      <c r="D476" s="156"/>
      <c r="E476" s="156"/>
      <c r="F476" s="156"/>
      <c r="G476" s="156"/>
      <c r="H476" s="156"/>
      <c r="I476" s="156"/>
      <c r="J476" s="156"/>
      <c r="K476" s="156"/>
      <c r="L476" s="156"/>
      <c r="M476" s="156"/>
      <c r="N476" s="156"/>
      <c r="O476" s="156"/>
      <c r="P476" s="156"/>
      <c r="Q476" s="156"/>
      <c r="R476" s="156"/>
      <c r="S476" s="156"/>
      <c r="T476" s="156"/>
    </row>
    <row r="477" spans="2:20">
      <c r="B477" s="156"/>
      <c r="C477" s="156"/>
      <c r="D477" s="156"/>
      <c r="E477" s="156"/>
      <c r="F477" s="156"/>
      <c r="G477" s="156"/>
      <c r="H477" s="156"/>
      <c r="I477" s="156"/>
      <c r="J477" s="156"/>
      <c r="K477" s="156"/>
      <c r="L477" s="156"/>
      <c r="M477" s="156"/>
      <c r="N477" s="156"/>
      <c r="O477" s="156"/>
      <c r="P477" s="156"/>
      <c r="Q477" s="156"/>
      <c r="R477" s="156"/>
      <c r="S477" s="156"/>
      <c r="T477" s="156"/>
    </row>
    <row r="478" spans="2:20">
      <c r="B478" s="156"/>
      <c r="C478" s="156"/>
      <c r="D478" s="156"/>
      <c r="E478" s="156"/>
      <c r="F478" s="156"/>
      <c r="G478" s="156"/>
      <c r="H478" s="156"/>
      <c r="I478" s="156"/>
      <c r="J478" s="156"/>
      <c r="K478" s="156"/>
      <c r="L478" s="156"/>
      <c r="M478" s="156"/>
      <c r="N478" s="156"/>
      <c r="O478" s="156"/>
      <c r="P478" s="156"/>
      <c r="Q478" s="156"/>
      <c r="R478" s="156"/>
      <c r="S478" s="156"/>
      <c r="T478" s="156"/>
    </row>
    <row r="479" spans="2:20">
      <c r="B479" s="156"/>
      <c r="C479" s="156"/>
      <c r="D479" s="156"/>
      <c r="E479" s="156"/>
      <c r="F479" s="156"/>
      <c r="G479" s="156"/>
      <c r="H479" s="156"/>
      <c r="I479" s="156"/>
      <c r="J479" s="156"/>
      <c r="K479" s="156"/>
      <c r="L479" s="156"/>
      <c r="M479" s="156"/>
      <c r="N479" s="156"/>
      <c r="O479" s="156"/>
      <c r="P479" s="156"/>
      <c r="Q479" s="156"/>
      <c r="R479" s="156"/>
      <c r="S479" s="156"/>
      <c r="T479" s="156"/>
    </row>
    <row r="480" spans="2:20">
      <c r="B480" s="156"/>
      <c r="C480" s="156"/>
      <c r="D480" s="156"/>
      <c r="E480" s="156"/>
      <c r="F480" s="156"/>
      <c r="G480" s="156"/>
      <c r="H480" s="156"/>
      <c r="I480" s="156"/>
      <c r="J480" s="156"/>
      <c r="K480" s="156"/>
      <c r="L480" s="156"/>
      <c r="M480" s="156"/>
      <c r="N480" s="156"/>
      <c r="O480" s="156"/>
      <c r="P480" s="156"/>
      <c r="Q480" s="156"/>
      <c r="R480" s="156"/>
      <c r="S480" s="156"/>
      <c r="T480" s="156"/>
    </row>
    <row r="481" spans="2:20">
      <c r="B481" s="156"/>
      <c r="C481" s="156"/>
      <c r="D481" s="156"/>
      <c r="E481" s="156"/>
      <c r="F481" s="156"/>
      <c r="G481" s="156"/>
      <c r="H481" s="156"/>
      <c r="I481" s="156"/>
      <c r="J481" s="156"/>
      <c r="K481" s="156"/>
      <c r="L481" s="156"/>
      <c r="M481" s="156"/>
      <c r="N481" s="156"/>
      <c r="O481" s="156"/>
      <c r="P481" s="156"/>
      <c r="Q481" s="156"/>
      <c r="R481" s="156"/>
      <c r="S481" s="156"/>
      <c r="T481" s="156"/>
    </row>
    <row r="482" spans="2:20">
      <c r="B482" s="156"/>
      <c r="C482" s="156"/>
      <c r="D482" s="156"/>
      <c r="E482" s="156"/>
      <c r="F482" s="156"/>
      <c r="G482" s="156"/>
      <c r="H482" s="156"/>
      <c r="I482" s="156"/>
      <c r="J482" s="156"/>
      <c r="K482" s="156"/>
      <c r="L482" s="156"/>
      <c r="M482" s="156"/>
      <c r="N482" s="156"/>
      <c r="O482" s="156"/>
      <c r="P482" s="156"/>
      <c r="Q482" s="156"/>
      <c r="R482" s="156"/>
      <c r="S482" s="156"/>
      <c r="T482" s="156"/>
    </row>
    <row r="483" spans="2:20">
      <c r="B483" s="156"/>
      <c r="C483" s="156"/>
      <c r="D483" s="156"/>
      <c r="E483" s="156"/>
      <c r="F483" s="156"/>
      <c r="G483" s="156"/>
      <c r="H483" s="156"/>
      <c r="I483" s="156"/>
      <c r="J483" s="156"/>
      <c r="K483" s="156"/>
      <c r="L483" s="156"/>
      <c r="M483" s="156"/>
      <c r="N483" s="156"/>
      <c r="O483" s="156"/>
      <c r="P483" s="156"/>
      <c r="Q483" s="156"/>
      <c r="R483" s="156"/>
      <c r="S483" s="156"/>
      <c r="T483" s="156"/>
    </row>
    <row r="484" spans="2:20">
      <c r="B484" s="156"/>
      <c r="C484" s="156"/>
      <c r="D484" s="156"/>
      <c r="E484" s="156"/>
      <c r="F484" s="156"/>
      <c r="G484" s="156"/>
      <c r="H484" s="156"/>
      <c r="I484" s="156"/>
      <c r="J484" s="156"/>
      <c r="K484" s="156"/>
      <c r="L484" s="156"/>
      <c r="M484" s="156"/>
      <c r="N484" s="156"/>
      <c r="O484" s="156"/>
      <c r="P484" s="156"/>
      <c r="Q484" s="156"/>
      <c r="R484" s="156"/>
      <c r="S484" s="156"/>
      <c r="T484" s="156"/>
    </row>
    <row r="485" spans="2:20">
      <c r="B485" s="156"/>
      <c r="C485" s="156"/>
      <c r="D485" s="156"/>
      <c r="E485" s="156"/>
      <c r="F485" s="156"/>
      <c r="G485" s="156"/>
      <c r="H485" s="156"/>
      <c r="I485" s="156"/>
      <c r="J485" s="156"/>
      <c r="K485" s="156"/>
      <c r="L485" s="156"/>
      <c r="M485" s="156"/>
      <c r="N485" s="156"/>
      <c r="O485" s="156"/>
      <c r="P485" s="156"/>
      <c r="Q485" s="156"/>
      <c r="R485" s="156"/>
      <c r="S485" s="156"/>
      <c r="T485" s="156"/>
    </row>
    <row r="486" spans="2:20">
      <c r="B486" s="156"/>
      <c r="C486" s="156"/>
      <c r="D486" s="156"/>
      <c r="E486" s="156"/>
      <c r="F486" s="156"/>
      <c r="G486" s="156"/>
      <c r="H486" s="156"/>
      <c r="I486" s="156"/>
      <c r="J486" s="156"/>
      <c r="K486" s="156"/>
      <c r="L486" s="156"/>
      <c r="M486" s="156"/>
      <c r="N486" s="156"/>
      <c r="O486" s="156"/>
      <c r="P486" s="156"/>
      <c r="Q486" s="156"/>
      <c r="R486" s="156"/>
      <c r="S486" s="156"/>
      <c r="T486" s="156"/>
    </row>
    <row r="487" spans="2:20">
      <c r="B487" s="156"/>
      <c r="C487" s="156"/>
      <c r="D487" s="156"/>
      <c r="E487" s="156"/>
      <c r="F487" s="156"/>
      <c r="G487" s="156"/>
      <c r="H487" s="156"/>
      <c r="I487" s="156"/>
      <c r="J487" s="156"/>
      <c r="K487" s="156"/>
      <c r="L487" s="156"/>
      <c r="M487" s="156"/>
      <c r="N487" s="156"/>
      <c r="O487" s="156"/>
      <c r="P487" s="156"/>
      <c r="Q487" s="156"/>
      <c r="R487" s="156"/>
      <c r="S487" s="156"/>
      <c r="T487" s="156"/>
    </row>
    <row r="488" spans="2:20">
      <c r="B488" s="156"/>
      <c r="C488" s="156"/>
      <c r="D488" s="156"/>
      <c r="E488" s="156"/>
      <c r="F488" s="156"/>
      <c r="G488" s="156"/>
      <c r="H488" s="156"/>
      <c r="I488" s="156"/>
      <c r="J488" s="156"/>
      <c r="K488" s="156"/>
      <c r="L488" s="156"/>
      <c r="M488" s="156"/>
      <c r="N488" s="156"/>
      <c r="O488" s="156"/>
      <c r="P488" s="156"/>
      <c r="Q488" s="156"/>
      <c r="R488" s="156"/>
      <c r="S488" s="156"/>
      <c r="T488" s="156"/>
    </row>
    <row r="489" spans="2:20">
      <c r="B489" s="156"/>
      <c r="C489" s="156"/>
      <c r="D489" s="156"/>
      <c r="E489" s="156"/>
      <c r="F489" s="156"/>
      <c r="G489" s="156"/>
      <c r="H489" s="156"/>
      <c r="I489" s="156"/>
      <c r="J489" s="156"/>
      <c r="K489" s="156"/>
      <c r="L489" s="156"/>
      <c r="M489" s="156"/>
      <c r="N489" s="156"/>
      <c r="O489" s="156"/>
      <c r="P489" s="156"/>
      <c r="Q489" s="156"/>
      <c r="R489" s="156"/>
      <c r="S489" s="156"/>
      <c r="T489" s="156"/>
    </row>
    <row r="490" spans="2:20">
      <c r="B490" s="156"/>
      <c r="C490" s="156"/>
      <c r="D490" s="156"/>
      <c r="E490" s="156"/>
      <c r="F490" s="156"/>
      <c r="G490" s="156"/>
      <c r="H490" s="156"/>
      <c r="I490" s="156"/>
      <c r="J490" s="156"/>
      <c r="K490" s="156"/>
      <c r="L490" s="156"/>
      <c r="M490" s="156"/>
      <c r="N490" s="156"/>
      <c r="O490" s="156"/>
      <c r="P490" s="156"/>
      <c r="Q490" s="156"/>
      <c r="R490" s="156"/>
      <c r="S490" s="156"/>
      <c r="T490" s="156"/>
    </row>
    <row r="491" spans="2:20">
      <c r="B491" s="156"/>
      <c r="C491" s="156"/>
      <c r="D491" s="156"/>
      <c r="E491" s="156"/>
      <c r="F491" s="156"/>
      <c r="G491" s="156"/>
      <c r="H491" s="156"/>
      <c r="I491" s="156"/>
      <c r="J491" s="156"/>
      <c r="K491" s="156"/>
      <c r="L491" s="156"/>
      <c r="M491" s="156"/>
      <c r="N491" s="156"/>
      <c r="O491" s="156"/>
      <c r="P491" s="156"/>
      <c r="Q491" s="156"/>
      <c r="R491" s="156"/>
      <c r="S491" s="156"/>
      <c r="T491" s="156"/>
    </row>
    <row r="492" spans="2:20">
      <c r="B492" s="156"/>
      <c r="C492" s="156"/>
      <c r="D492" s="156"/>
      <c r="E492" s="156"/>
      <c r="F492" s="156"/>
      <c r="G492" s="156"/>
      <c r="H492" s="156"/>
      <c r="I492" s="156"/>
      <c r="J492" s="156"/>
      <c r="K492" s="156"/>
      <c r="L492" s="156"/>
      <c r="M492" s="156"/>
      <c r="N492" s="156"/>
      <c r="O492" s="156"/>
      <c r="P492" s="156"/>
      <c r="Q492" s="156"/>
      <c r="R492" s="156"/>
      <c r="S492" s="156"/>
      <c r="T492" s="156"/>
    </row>
    <row r="493" spans="2:20">
      <c r="B493" s="156"/>
      <c r="C493" s="156"/>
      <c r="D493" s="156"/>
      <c r="E493" s="156"/>
      <c r="F493" s="156"/>
      <c r="G493" s="156"/>
      <c r="H493" s="156"/>
      <c r="I493" s="156"/>
      <c r="J493" s="156"/>
      <c r="K493" s="156"/>
      <c r="L493" s="156"/>
      <c r="M493" s="156"/>
      <c r="N493" s="156"/>
      <c r="O493" s="156"/>
      <c r="P493" s="156"/>
      <c r="Q493" s="156"/>
      <c r="R493" s="156"/>
      <c r="S493" s="156"/>
      <c r="T493" s="156"/>
    </row>
    <row r="494" spans="2:20">
      <c r="B494" s="156"/>
      <c r="C494" s="156"/>
      <c r="D494" s="156"/>
      <c r="E494" s="156"/>
      <c r="F494" s="156"/>
      <c r="G494" s="156"/>
      <c r="H494" s="156"/>
      <c r="I494" s="156"/>
      <c r="J494" s="156"/>
      <c r="K494" s="156"/>
      <c r="L494" s="156"/>
      <c r="M494" s="156"/>
      <c r="N494" s="156"/>
      <c r="O494" s="156"/>
      <c r="P494" s="156"/>
      <c r="Q494" s="156"/>
      <c r="R494" s="156"/>
      <c r="S494" s="156"/>
      <c r="T494" s="156"/>
    </row>
    <row r="495" spans="2:20">
      <c r="B495" s="156"/>
      <c r="C495" s="156"/>
      <c r="D495" s="156"/>
      <c r="E495" s="156"/>
      <c r="F495" s="156"/>
      <c r="G495" s="156"/>
      <c r="H495" s="156"/>
      <c r="I495" s="156"/>
      <c r="J495" s="156"/>
      <c r="K495" s="156"/>
      <c r="L495" s="156"/>
      <c r="M495" s="156"/>
      <c r="N495" s="156"/>
      <c r="O495" s="156"/>
      <c r="P495" s="156"/>
      <c r="Q495" s="156"/>
      <c r="R495" s="156"/>
      <c r="S495" s="156"/>
      <c r="T495" s="156"/>
    </row>
    <row r="496" spans="2:20">
      <c r="B496" s="156"/>
      <c r="C496" s="156"/>
      <c r="D496" s="156"/>
      <c r="E496" s="156"/>
      <c r="F496" s="156"/>
      <c r="G496" s="156"/>
      <c r="H496" s="156"/>
      <c r="I496" s="156"/>
      <c r="J496" s="156"/>
      <c r="K496" s="156"/>
      <c r="L496" s="156"/>
      <c r="M496" s="156"/>
      <c r="N496" s="156"/>
      <c r="O496" s="156"/>
      <c r="P496" s="156"/>
      <c r="Q496" s="156"/>
      <c r="R496" s="156"/>
      <c r="S496" s="156"/>
      <c r="T496" s="156"/>
    </row>
    <row r="497" spans="2:20">
      <c r="B497" s="156"/>
      <c r="C497" s="156"/>
      <c r="D497" s="156"/>
      <c r="E497" s="156"/>
      <c r="F497" s="156"/>
      <c r="G497" s="156"/>
      <c r="H497" s="156"/>
      <c r="I497" s="156"/>
      <c r="J497" s="156"/>
      <c r="K497" s="156"/>
      <c r="L497" s="156"/>
      <c r="M497" s="156"/>
      <c r="N497" s="156"/>
      <c r="O497" s="156"/>
      <c r="P497" s="156"/>
      <c r="Q497" s="156"/>
      <c r="R497" s="156"/>
      <c r="S497" s="156"/>
      <c r="T497" s="156"/>
    </row>
    <row r="498" spans="2:20">
      <c r="B498" s="156"/>
      <c r="C498" s="156"/>
      <c r="D498" s="156"/>
      <c r="E498" s="156"/>
      <c r="F498" s="156"/>
      <c r="G498" s="156"/>
      <c r="H498" s="156"/>
      <c r="I498" s="156"/>
      <c r="J498" s="156"/>
      <c r="K498" s="156"/>
      <c r="L498" s="156"/>
      <c r="M498" s="156"/>
      <c r="N498" s="156"/>
      <c r="O498" s="156"/>
      <c r="P498" s="156"/>
      <c r="Q498" s="156"/>
      <c r="R498" s="156"/>
      <c r="S498" s="156"/>
      <c r="T498" s="156"/>
    </row>
    <row r="499" spans="2:20">
      <c r="B499" s="156"/>
      <c r="C499" s="156"/>
      <c r="D499" s="156"/>
      <c r="E499" s="156"/>
      <c r="F499" s="156"/>
      <c r="G499" s="156"/>
      <c r="H499" s="156"/>
      <c r="I499" s="156"/>
      <c r="J499" s="156"/>
      <c r="K499" s="156"/>
      <c r="L499" s="156"/>
      <c r="M499" s="156"/>
      <c r="N499" s="156"/>
      <c r="O499" s="156"/>
      <c r="P499" s="156"/>
      <c r="Q499" s="156"/>
      <c r="R499" s="156"/>
      <c r="S499" s="156"/>
      <c r="T499" s="156"/>
    </row>
    <row r="500" spans="2:20">
      <c r="B500" s="156"/>
      <c r="C500" s="156"/>
      <c r="D500" s="156"/>
      <c r="E500" s="156"/>
      <c r="F500" s="156"/>
      <c r="G500" s="156"/>
      <c r="H500" s="156"/>
      <c r="I500" s="156"/>
      <c r="J500" s="156"/>
      <c r="K500" s="156"/>
      <c r="L500" s="156"/>
      <c r="M500" s="156"/>
      <c r="N500" s="156"/>
      <c r="O500" s="156"/>
      <c r="P500" s="156"/>
      <c r="Q500" s="156"/>
      <c r="R500" s="156"/>
      <c r="S500" s="156"/>
      <c r="T500" s="156"/>
    </row>
    <row r="501" spans="2:20">
      <c r="B501" s="156"/>
      <c r="C501" s="156"/>
      <c r="D501" s="156"/>
      <c r="E501" s="156"/>
      <c r="F501" s="156"/>
      <c r="G501" s="156"/>
      <c r="H501" s="156"/>
      <c r="I501" s="156"/>
      <c r="J501" s="156"/>
      <c r="K501" s="156"/>
      <c r="L501" s="156"/>
      <c r="M501" s="156"/>
      <c r="N501" s="156"/>
      <c r="O501" s="156"/>
      <c r="P501" s="156"/>
      <c r="Q501" s="156"/>
      <c r="R501" s="156"/>
      <c r="S501" s="156"/>
      <c r="T501" s="156"/>
    </row>
    <row r="502" spans="2:20">
      <c r="B502" s="156"/>
      <c r="C502" s="156"/>
      <c r="D502" s="156"/>
      <c r="E502" s="156"/>
      <c r="F502" s="156"/>
      <c r="G502" s="156"/>
      <c r="H502" s="156"/>
      <c r="I502" s="156"/>
      <c r="J502" s="156"/>
      <c r="K502" s="156"/>
      <c r="L502" s="156"/>
      <c r="M502" s="156"/>
      <c r="N502" s="156"/>
      <c r="O502" s="156"/>
      <c r="P502" s="156"/>
      <c r="Q502" s="156"/>
      <c r="R502" s="156"/>
      <c r="S502" s="156"/>
      <c r="T502" s="156"/>
    </row>
    <row r="503" spans="2:20">
      <c r="B503" s="156"/>
      <c r="C503" s="156"/>
      <c r="D503" s="156"/>
      <c r="E503" s="156"/>
      <c r="F503" s="156"/>
      <c r="G503" s="156"/>
      <c r="H503" s="156"/>
      <c r="I503" s="156"/>
      <c r="J503" s="156"/>
      <c r="K503" s="156"/>
      <c r="L503" s="156"/>
      <c r="M503" s="156"/>
      <c r="N503" s="156"/>
      <c r="O503" s="156"/>
      <c r="P503" s="156"/>
      <c r="Q503" s="156"/>
      <c r="R503" s="156"/>
      <c r="S503" s="156"/>
      <c r="T503" s="156"/>
    </row>
    <row r="504" spans="2:20">
      <c r="B504" s="156"/>
      <c r="C504" s="156"/>
      <c r="D504" s="156"/>
      <c r="E504" s="156"/>
      <c r="F504" s="156"/>
      <c r="G504" s="156"/>
      <c r="H504" s="156"/>
      <c r="I504" s="156"/>
      <c r="J504" s="156"/>
      <c r="K504" s="156"/>
      <c r="L504" s="156"/>
      <c r="M504" s="156"/>
      <c r="N504" s="156"/>
      <c r="O504" s="156"/>
      <c r="P504" s="156"/>
      <c r="Q504" s="156"/>
      <c r="R504" s="156"/>
      <c r="S504" s="156"/>
      <c r="T504" s="156"/>
    </row>
    <row r="505" spans="2:20">
      <c r="B505" s="156"/>
      <c r="C505" s="156"/>
      <c r="D505" s="156"/>
      <c r="E505" s="156"/>
      <c r="F505" s="156"/>
      <c r="G505" s="156"/>
      <c r="H505" s="156"/>
      <c r="I505" s="156"/>
      <c r="J505" s="156"/>
      <c r="K505" s="156"/>
      <c r="L505" s="156"/>
      <c r="M505" s="156"/>
      <c r="N505" s="156"/>
      <c r="O505" s="156"/>
      <c r="P505" s="156"/>
      <c r="Q505" s="156"/>
      <c r="R505" s="156"/>
      <c r="S505" s="156"/>
      <c r="T505" s="156"/>
    </row>
    <row r="506" spans="2:20">
      <c r="B506" s="156"/>
      <c r="C506" s="156"/>
      <c r="D506" s="156"/>
      <c r="E506" s="156"/>
      <c r="F506" s="156"/>
      <c r="G506" s="156"/>
      <c r="H506" s="156"/>
      <c r="I506" s="156"/>
      <c r="J506" s="156"/>
      <c r="K506" s="156"/>
      <c r="L506" s="156"/>
      <c r="M506" s="156"/>
      <c r="N506" s="156"/>
      <c r="O506" s="156"/>
      <c r="P506" s="156"/>
      <c r="Q506" s="156"/>
      <c r="R506" s="156"/>
      <c r="S506" s="156"/>
      <c r="T506" s="156"/>
    </row>
    <row r="507" spans="2:20">
      <c r="B507" s="156"/>
      <c r="C507" s="156"/>
      <c r="D507" s="156"/>
      <c r="E507" s="156"/>
      <c r="F507" s="156"/>
      <c r="G507" s="156"/>
      <c r="H507" s="156"/>
      <c r="I507" s="156"/>
      <c r="J507" s="156"/>
      <c r="K507" s="156"/>
      <c r="L507" s="156"/>
      <c r="M507" s="156"/>
      <c r="N507" s="156"/>
      <c r="O507" s="156"/>
      <c r="P507" s="156"/>
      <c r="Q507" s="156"/>
      <c r="R507" s="156"/>
      <c r="S507" s="156"/>
      <c r="T507" s="156"/>
    </row>
    <row r="508" spans="2:20">
      <c r="B508" s="156"/>
      <c r="C508" s="156"/>
      <c r="D508" s="156"/>
      <c r="E508" s="156"/>
      <c r="F508" s="156"/>
      <c r="G508" s="156"/>
      <c r="H508" s="156"/>
      <c r="I508" s="156"/>
      <c r="J508" s="156"/>
      <c r="K508" s="156"/>
      <c r="L508" s="156"/>
      <c r="M508" s="156"/>
      <c r="N508" s="156"/>
      <c r="O508" s="156"/>
      <c r="P508" s="156"/>
      <c r="Q508" s="156"/>
      <c r="R508" s="156"/>
      <c r="S508" s="156"/>
      <c r="T508" s="156"/>
    </row>
    <row r="509" spans="2:20">
      <c r="B509" s="156"/>
      <c r="C509" s="156"/>
      <c r="D509" s="156"/>
      <c r="E509" s="156"/>
      <c r="F509" s="156"/>
      <c r="G509" s="156"/>
      <c r="H509" s="156"/>
      <c r="I509" s="156"/>
      <c r="J509" s="156"/>
      <c r="K509" s="156"/>
      <c r="L509" s="156"/>
      <c r="M509" s="156"/>
      <c r="N509" s="156"/>
      <c r="O509" s="156"/>
      <c r="P509" s="156"/>
      <c r="Q509" s="156"/>
      <c r="R509" s="156"/>
      <c r="S509" s="156"/>
      <c r="T509" s="156"/>
    </row>
    <row r="510" spans="2:20">
      <c r="B510" s="156"/>
      <c r="C510" s="156"/>
      <c r="D510" s="156"/>
      <c r="E510" s="156"/>
      <c r="F510" s="156"/>
      <c r="G510" s="156"/>
      <c r="H510" s="156"/>
      <c r="I510" s="156"/>
      <c r="J510" s="156"/>
      <c r="K510" s="156"/>
      <c r="L510" s="156"/>
      <c r="M510" s="156"/>
      <c r="N510" s="156"/>
      <c r="O510" s="156"/>
      <c r="P510" s="156"/>
      <c r="Q510" s="156"/>
      <c r="R510" s="156"/>
      <c r="S510" s="156"/>
      <c r="T510" s="156"/>
    </row>
    <row r="511" spans="2:20">
      <c r="B511" s="156"/>
      <c r="C511" s="156"/>
      <c r="D511" s="156"/>
      <c r="E511" s="156"/>
      <c r="F511" s="156"/>
      <c r="G511" s="156"/>
      <c r="H511" s="156"/>
      <c r="I511" s="156"/>
      <c r="J511" s="156"/>
      <c r="K511" s="156"/>
      <c r="L511" s="156"/>
      <c r="M511" s="156"/>
      <c r="N511" s="156"/>
      <c r="O511" s="156"/>
      <c r="P511" s="156"/>
      <c r="Q511" s="156"/>
      <c r="R511" s="156"/>
      <c r="S511" s="156"/>
      <c r="T511" s="156"/>
    </row>
    <row r="512" spans="2:20">
      <c r="B512" s="156"/>
      <c r="C512" s="156"/>
      <c r="D512" s="156"/>
      <c r="E512" s="156"/>
      <c r="F512" s="156"/>
      <c r="G512" s="156"/>
      <c r="H512" s="156"/>
      <c r="I512" s="156"/>
      <c r="J512" s="156"/>
      <c r="K512" s="156"/>
      <c r="L512" s="156"/>
      <c r="M512" s="156"/>
      <c r="N512" s="156"/>
      <c r="O512" s="156"/>
      <c r="P512" s="156"/>
      <c r="Q512" s="156"/>
      <c r="R512" s="156"/>
      <c r="S512" s="156"/>
      <c r="T512" s="156"/>
    </row>
    <row r="513" spans="2:20">
      <c r="B513" s="156"/>
      <c r="C513" s="156"/>
      <c r="D513" s="156"/>
      <c r="E513" s="156"/>
      <c r="F513" s="156"/>
      <c r="G513" s="156"/>
      <c r="H513" s="156"/>
      <c r="I513" s="156"/>
      <c r="J513" s="156"/>
      <c r="K513" s="156"/>
      <c r="L513" s="156"/>
      <c r="M513" s="156"/>
      <c r="N513" s="156"/>
      <c r="O513" s="156"/>
      <c r="P513" s="156"/>
      <c r="Q513" s="156"/>
      <c r="R513" s="156"/>
      <c r="S513" s="156"/>
      <c r="T513" s="156"/>
    </row>
    <row r="514" spans="2:20">
      <c r="B514" s="156"/>
      <c r="C514" s="156"/>
      <c r="D514" s="156"/>
      <c r="E514" s="156"/>
      <c r="F514" s="156"/>
      <c r="G514" s="156"/>
      <c r="H514" s="156"/>
      <c r="I514" s="156"/>
      <c r="J514" s="156"/>
      <c r="K514" s="156"/>
      <c r="L514" s="156"/>
      <c r="M514" s="156"/>
      <c r="N514" s="156"/>
      <c r="O514" s="156"/>
      <c r="P514" s="156"/>
      <c r="Q514" s="156"/>
      <c r="R514" s="156"/>
      <c r="S514" s="156"/>
      <c r="T514" s="156"/>
    </row>
    <row r="515" spans="2:20">
      <c r="B515" s="156"/>
      <c r="C515" s="156"/>
      <c r="D515" s="156"/>
      <c r="E515" s="156"/>
      <c r="F515" s="156"/>
      <c r="G515" s="156"/>
      <c r="H515" s="156"/>
      <c r="I515" s="156"/>
      <c r="J515" s="156"/>
      <c r="K515" s="156"/>
      <c r="L515" s="156"/>
      <c r="M515" s="156"/>
      <c r="N515" s="156"/>
      <c r="O515" s="156"/>
      <c r="P515" s="156"/>
      <c r="Q515" s="156"/>
      <c r="R515" s="156"/>
      <c r="S515" s="156"/>
      <c r="T515" s="156"/>
    </row>
    <row r="516" spans="2:20">
      <c r="B516" s="156"/>
      <c r="C516" s="156"/>
      <c r="D516" s="156"/>
      <c r="E516" s="156"/>
      <c r="F516" s="156"/>
      <c r="G516" s="156"/>
      <c r="H516" s="156"/>
      <c r="I516" s="156"/>
      <c r="J516" s="156"/>
      <c r="K516" s="156"/>
      <c r="L516" s="156"/>
      <c r="M516" s="156"/>
      <c r="N516" s="156"/>
      <c r="O516" s="156"/>
      <c r="P516" s="156"/>
      <c r="Q516" s="156"/>
      <c r="R516" s="156"/>
      <c r="S516" s="156"/>
      <c r="T516" s="156"/>
    </row>
    <row r="517" spans="2:20">
      <c r="B517" s="156"/>
      <c r="C517" s="156"/>
      <c r="D517" s="156"/>
      <c r="E517" s="156"/>
      <c r="F517" s="156"/>
      <c r="G517" s="156"/>
      <c r="H517" s="156"/>
      <c r="I517" s="156"/>
      <c r="J517" s="156"/>
      <c r="K517" s="156"/>
      <c r="L517" s="156"/>
      <c r="M517" s="156"/>
      <c r="N517" s="156"/>
      <c r="O517" s="156"/>
      <c r="P517" s="156"/>
      <c r="Q517" s="156"/>
      <c r="R517" s="156"/>
      <c r="S517" s="156"/>
      <c r="T517" s="156"/>
    </row>
    <row r="518" spans="2:20">
      <c r="B518" s="156"/>
      <c r="C518" s="156"/>
      <c r="D518" s="156"/>
      <c r="E518" s="156"/>
      <c r="F518" s="156"/>
      <c r="G518" s="156"/>
      <c r="H518" s="156"/>
      <c r="I518" s="156"/>
      <c r="J518" s="156"/>
      <c r="K518" s="156"/>
      <c r="L518" s="156"/>
      <c r="M518" s="156"/>
      <c r="N518" s="156"/>
      <c r="O518" s="156"/>
      <c r="P518" s="156"/>
      <c r="Q518" s="156"/>
      <c r="R518" s="156"/>
      <c r="S518" s="156"/>
      <c r="T518" s="156"/>
    </row>
    <row r="519" spans="2:20">
      <c r="B519" s="156"/>
      <c r="C519" s="156"/>
      <c r="D519" s="156"/>
      <c r="E519" s="156"/>
      <c r="F519" s="156"/>
      <c r="G519" s="156"/>
      <c r="H519" s="156"/>
      <c r="I519" s="156"/>
      <c r="J519" s="156"/>
      <c r="K519" s="156"/>
      <c r="L519" s="156"/>
      <c r="M519" s="156"/>
      <c r="N519" s="156"/>
      <c r="O519" s="156"/>
      <c r="P519" s="156"/>
      <c r="Q519" s="156"/>
      <c r="R519" s="156"/>
      <c r="S519" s="156"/>
      <c r="T519" s="156"/>
    </row>
    <row r="520" spans="2:20">
      <c r="B520" s="156"/>
      <c r="C520" s="156"/>
      <c r="D520" s="156"/>
      <c r="E520" s="156"/>
      <c r="F520" s="156"/>
      <c r="G520" s="156"/>
      <c r="H520" s="156"/>
      <c r="I520" s="156"/>
      <c r="J520" s="156"/>
      <c r="K520" s="156"/>
      <c r="L520" s="156"/>
      <c r="M520" s="156"/>
      <c r="N520" s="156"/>
      <c r="O520" s="156"/>
      <c r="P520" s="156"/>
      <c r="Q520" s="156"/>
      <c r="R520" s="156"/>
      <c r="S520" s="156"/>
      <c r="T520" s="156"/>
    </row>
    <row r="521" spans="2:20">
      <c r="B521" s="156"/>
      <c r="C521" s="156"/>
      <c r="D521" s="156"/>
      <c r="E521" s="156"/>
      <c r="F521" s="156"/>
      <c r="G521" s="156"/>
      <c r="H521" s="156"/>
      <c r="I521" s="156"/>
      <c r="J521" s="156"/>
      <c r="K521" s="156"/>
      <c r="L521" s="156"/>
      <c r="M521" s="156"/>
      <c r="N521" s="156"/>
      <c r="O521" s="156"/>
      <c r="P521" s="156"/>
      <c r="Q521" s="156"/>
      <c r="R521" s="156"/>
      <c r="S521" s="156"/>
      <c r="T521" s="156"/>
    </row>
    <row r="522" spans="2:20">
      <c r="B522" s="156"/>
      <c r="C522" s="156"/>
      <c r="D522" s="156"/>
      <c r="E522" s="156"/>
      <c r="F522" s="156"/>
      <c r="G522" s="156"/>
      <c r="H522" s="156"/>
      <c r="I522" s="156"/>
      <c r="J522" s="156"/>
      <c r="K522" s="156"/>
      <c r="L522" s="156"/>
      <c r="M522" s="156"/>
      <c r="N522" s="156"/>
      <c r="O522" s="156"/>
      <c r="P522" s="156"/>
      <c r="Q522" s="156"/>
      <c r="R522" s="156"/>
      <c r="S522" s="156"/>
      <c r="T522" s="156"/>
    </row>
    <row r="523" spans="2:20">
      <c r="B523" s="156"/>
      <c r="C523" s="156"/>
      <c r="D523" s="156"/>
      <c r="E523" s="156"/>
      <c r="F523" s="156"/>
      <c r="G523" s="156"/>
      <c r="H523" s="156"/>
      <c r="I523" s="156"/>
      <c r="J523" s="156"/>
      <c r="K523" s="156"/>
      <c r="L523" s="156"/>
      <c r="M523" s="156"/>
      <c r="N523" s="156"/>
      <c r="O523" s="156"/>
      <c r="P523" s="156"/>
      <c r="Q523" s="156"/>
      <c r="R523" s="156"/>
      <c r="S523" s="156"/>
      <c r="T523" s="156"/>
    </row>
    <row r="524" spans="2:20">
      <c r="B524" s="156"/>
      <c r="C524" s="156"/>
      <c r="D524" s="156"/>
      <c r="E524" s="156"/>
      <c r="F524" s="156"/>
      <c r="G524" s="156"/>
      <c r="H524" s="156"/>
      <c r="I524" s="156"/>
      <c r="J524" s="156"/>
      <c r="K524" s="156"/>
      <c r="L524" s="156"/>
      <c r="M524" s="156"/>
      <c r="N524" s="156"/>
      <c r="O524" s="156"/>
      <c r="P524" s="156"/>
      <c r="Q524" s="156"/>
      <c r="R524" s="156"/>
      <c r="S524" s="156"/>
      <c r="T524" s="156"/>
    </row>
    <row r="525" spans="2:20">
      <c r="B525" s="156"/>
      <c r="C525" s="156"/>
      <c r="D525" s="156"/>
      <c r="E525" s="156"/>
      <c r="F525" s="156"/>
      <c r="G525" s="156"/>
      <c r="H525" s="156"/>
      <c r="I525" s="156"/>
      <c r="J525" s="156"/>
      <c r="K525" s="156"/>
      <c r="L525" s="156"/>
      <c r="M525" s="156"/>
      <c r="N525" s="156"/>
      <c r="O525" s="156"/>
      <c r="P525" s="156"/>
      <c r="Q525" s="156"/>
      <c r="R525" s="156"/>
      <c r="S525" s="156"/>
      <c r="T525" s="156"/>
    </row>
    <row r="526" spans="2:20">
      <c r="B526" s="156"/>
      <c r="C526" s="156"/>
      <c r="D526" s="156"/>
      <c r="E526" s="156"/>
      <c r="F526" s="156"/>
      <c r="G526" s="156"/>
      <c r="H526" s="156"/>
      <c r="I526" s="156"/>
      <c r="J526" s="156"/>
      <c r="K526" s="156"/>
      <c r="L526" s="156"/>
      <c r="M526" s="156"/>
      <c r="N526" s="156"/>
      <c r="O526" s="156"/>
      <c r="P526" s="156"/>
      <c r="Q526" s="156"/>
      <c r="R526" s="156"/>
      <c r="S526" s="156"/>
      <c r="T526" s="156"/>
    </row>
    <row r="527" spans="2:20">
      <c r="B527" s="156"/>
      <c r="C527" s="156"/>
      <c r="D527" s="156"/>
      <c r="E527" s="156"/>
      <c r="F527" s="156"/>
      <c r="G527" s="156"/>
      <c r="H527" s="156"/>
      <c r="I527" s="156"/>
      <c r="J527" s="156"/>
      <c r="K527" s="156"/>
      <c r="L527" s="156"/>
      <c r="M527" s="156"/>
      <c r="N527" s="156"/>
      <c r="O527" s="156"/>
      <c r="P527" s="156"/>
      <c r="Q527" s="156"/>
      <c r="R527" s="156"/>
      <c r="S527" s="156"/>
      <c r="T527" s="156"/>
    </row>
    <row r="528" spans="2:20">
      <c r="B528" s="156"/>
      <c r="C528" s="156"/>
      <c r="D528" s="156"/>
      <c r="E528" s="156"/>
      <c r="F528" s="156"/>
      <c r="G528" s="156"/>
      <c r="H528" s="156"/>
      <c r="I528" s="156"/>
      <c r="J528" s="156"/>
      <c r="K528" s="156"/>
      <c r="L528" s="156"/>
      <c r="M528" s="156"/>
      <c r="N528" s="156"/>
      <c r="O528" s="156"/>
      <c r="P528" s="156"/>
      <c r="Q528" s="156"/>
      <c r="R528" s="156"/>
      <c r="S528" s="156"/>
      <c r="T528" s="156"/>
    </row>
    <row r="529" spans="2:20">
      <c r="B529" s="156"/>
      <c r="C529" s="156"/>
      <c r="D529" s="156"/>
      <c r="E529" s="156"/>
      <c r="F529" s="156"/>
      <c r="G529" s="156"/>
      <c r="H529" s="156"/>
      <c r="I529" s="156"/>
      <c r="J529" s="156"/>
      <c r="K529" s="156"/>
      <c r="L529" s="156"/>
      <c r="M529" s="156"/>
      <c r="N529" s="156"/>
      <c r="O529" s="156"/>
      <c r="P529" s="156"/>
      <c r="Q529" s="156"/>
      <c r="R529" s="156"/>
      <c r="S529" s="156"/>
      <c r="T529" s="156"/>
    </row>
    <row r="530" spans="2:20">
      <c r="B530" s="156"/>
      <c r="C530" s="156"/>
      <c r="D530" s="156"/>
      <c r="E530" s="156"/>
      <c r="F530" s="156"/>
      <c r="G530" s="156"/>
      <c r="H530" s="156"/>
      <c r="I530" s="156"/>
      <c r="J530" s="156"/>
      <c r="K530" s="156"/>
      <c r="L530" s="156"/>
      <c r="M530" s="156"/>
      <c r="N530" s="156"/>
      <c r="O530" s="156"/>
      <c r="P530" s="156"/>
      <c r="Q530" s="156"/>
      <c r="R530" s="156"/>
      <c r="S530" s="156"/>
      <c r="T530" s="156"/>
    </row>
    <row r="531" spans="2:20">
      <c r="B531" s="156"/>
      <c r="C531" s="156"/>
      <c r="D531" s="156"/>
      <c r="E531" s="156"/>
      <c r="F531" s="156"/>
      <c r="G531" s="156"/>
      <c r="H531" s="156"/>
      <c r="I531" s="156"/>
      <c r="J531" s="156"/>
      <c r="K531" s="156"/>
      <c r="L531" s="156"/>
      <c r="M531" s="156"/>
      <c r="N531" s="156"/>
      <c r="O531" s="156"/>
      <c r="P531" s="156"/>
      <c r="Q531" s="156"/>
      <c r="R531" s="156"/>
      <c r="S531" s="156"/>
      <c r="T531" s="156"/>
    </row>
    <row r="532" spans="2:20">
      <c r="B532" s="156"/>
      <c r="C532" s="156"/>
      <c r="D532" s="156"/>
      <c r="E532" s="156"/>
      <c r="F532" s="156"/>
      <c r="G532" s="156"/>
      <c r="H532" s="156"/>
      <c r="I532" s="156"/>
      <c r="J532" s="156"/>
      <c r="K532" s="156"/>
      <c r="L532" s="156"/>
      <c r="M532" s="156"/>
      <c r="N532" s="156"/>
      <c r="O532" s="156"/>
      <c r="P532" s="156"/>
      <c r="Q532" s="156"/>
      <c r="R532" s="156"/>
      <c r="S532" s="156"/>
      <c r="T532" s="156"/>
    </row>
    <row r="533" spans="2:20">
      <c r="B533" s="156"/>
      <c r="C533" s="156"/>
      <c r="D533" s="156"/>
      <c r="E533" s="156"/>
      <c r="F533" s="156"/>
      <c r="G533" s="156"/>
      <c r="H533" s="156"/>
      <c r="I533" s="156"/>
      <c r="J533" s="156"/>
      <c r="K533" s="156"/>
      <c r="L533" s="156"/>
      <c r="M533" s="156"/>
      <c r="N533" s="156"/>
      <c r="O533" s="156"/>
      <c r="P533" s="156"/>
      <c r="Q533" s="156"/>
      <c r="R533" s="156"/>
      <c r="S533" s="156"/>
      <c r="T533" s="156"/>
    </row>
    <row r="534" spans="2:20">
      <c r="B534" s="156"/>
      <c r="C534" s="156"/>
      <c r="D534" s="156"/>
      <c r="E534" s="156"/>
      <c r="F534" s="156"/>
      <c r="G534" s="156"/>
      <c r="H534" s="156"/>
      <c r="I534" s="156"/>
      <c r="J534" s="156"/>
      <c r="K534" s="156"/>
      <c r="L534" s="156"/>
      <c r="M534" s="156"/>
      <c r="N534" s="156"/>
      <c r="O534" s="156"/>
      <c r="P534" s="156"/>
      <c r="Q534" s="156"/>
      <c r="R534" s="156"/>
      <c r="S534" s="156"/>
      <c r="T534" s="156"/>
    </row>
    <row r="535" spans="2:20">
      <c r="B535" s="156"/>
      <c r="C535" s="156"/>
      <c r="D535" s="156"/>
      <c r="E535" s="156"/>
      <c r="F535" s="156"/>
      <c r="G535" s="156"/>
      <c r="H535" s="156"/>
      <c r="I535" s="156"/>
      <c r="J535" s="156"/>
      <c r="K535" s="156"/>
      <c r="L535" s="156"/>
      <c r="M535" s="156"/>
      <c r="N535" s="156"/>
      <c r="O535" s="156"/>
      <c r="P535" s="156"/>
      <c r="Q535" s="156"/>
      <c r="R535" s="156"/>
      <c r="S535" s="156"/>
      <c r="T535" s="156"/>
    </row>
    <row r="536" spans="2:20">
      <c r="B536" s="156"/>
      <c r="C536" s="156"/>
      <c r="D536" s="156"/>
      <c r="E536" s="156"/>
      <c r="F536" s="156"/>
      <c r="G536" s="156"/>
      <c r="H536" s="156"/>
      <c r="I536" s="156"/>
      <c r="J536" s="156"/>
      <c r="K536" s="156"/>
      <c r="L536" s="156"/>
      <c r="M536" s="156"/>
      <c r="N536" s="156"/>
      <c r="O536" s="156"/>
      <c r="P536" s="156"/>
      <c r="Q536" s="156"/>
      <c r="R536" s="156"/>
      <c r="S536" s="156"/>
      <c r="T536" s="156"/>
    </row>
    <row r="537" spans="2:20">
      <c r="B537" s="156"/>
      <c r="C537" s="156"/>
      <c r="D537" s="156"/>
      <c r="E537" s="156"/>
      <c r="F537" s="156"/>
      <c r="G537" s="156"/>
      <c r="H537" s="156"/>
      <c r="I537" s="156"/>
      <c r="J537" s="156"/>
      <c r="K537" s="156"/>
      <c r="L537" s="156"/>
      <c r="M537" s="156"/>
      <c r="N537" s="156"/>
      <c r="O537" s="156"/>
      <c r="P537" s="156"/>
      <c r="Q537" s="156"/>
      <c r="R537" s="156"/>
      <c r="S537" s="156"/>
      <c r="T537" s="156"/>
    </row>
    <row r="538" spans="2:20">
      <c r="B538" s="156"/>
      <c r="C538" s="156"/>
      <c r="D538" s="156"/>
      <c r="E538" s="156"/>
      <c r="F538" s="156"/>
      <c r="G538" s="156"/>
      <c r="H538" s="156"/>
      <c r="I538" s="156"/>
      <c r="J538" s="156"/>
      <c r="K538" s="156"/>
      <c r="L538" s="156"/>
      <c r="M538" s="156"/>
      <c r="N538" s="156"/>
      <c r="O538" s="156"/>
      <c r="P538" s="156"/>
      <c r="Q538" s="156"/>
      <c r="R538" s="156"/>
      <c r="S538" s="156"/>
      <c r="T538" s="156"/>
    </row>
    <row r="539" spans="2:20">
      <c r="B539" s="156"/>
      <c r="C539" s="156"/>
      <c r="D539" s="156"/>
      <c r="E539" s="156"/>
      <c r="F539" s="156"/>
      <c r="G539" s="156"/>
      <c r="H539" s="156"/>
      <c r="I539" s="156"/>
      <c r="J539" s="156"/>
      <c r="K539" s="156"/>
      <c r="L539" s="156"/>
      <c r="M539" s="156"/>
      <c r="N539" s="156"/>
      <c r="O539" s="156"/>
      <c r="P539" s="156"/>
      <c r="Q539" s="156"/>
      <c r="R539" s="156"/>
      <c r="S539" s="156"/>
      <c r="T539" s="156"/>
    </row>
    <row r="540" spans="2:20">
      <c r="B540" s="156"/>
      <c r="C540" s="156"/>
      <c r="D540" s="156"/>
      <c r="E540" s="156"/>
      <c r="F540" s="156"/>
      <c r="G540" s="156"/>
      <c r="H540" s="156"/>
      <c r="I540" s="156"/>
      <c r="J540" s="156"/>
      <c r="K540" s="156"/>
      <c r="L540" s="156"/>
      <c r="M540" s="156"/>
      <c r="N540" s="156"/>
      <c r="O540" s="156"/>
      <c r="P540" s="156"/>
      <c r="Q540" s="156"/>
      <c r="R540" s="156"/>
      <c r="S540" s="156"/>
      <c r="T540" s="156"/>
    </row>
    <row r="541" spans="2:20">
      <c r="B541" s="156"/>
      <c r="C541" s="156"/>
      <c r="D541" s="156"/>
      <c r="E541" s="156"/>
      <c r="F541" s="156"/>
      <c r="G541" s="156"/>
      <c r="H541" s="156"/>
      <c r="I541" s="156"/>
      <c r="J541" s="156"/>
      <c r="K541" s="156"/>
      <c r="L541" s="156"/>
      <c r="M541" s="156"/>
      <c r="N541" s="156"/>
      <c r="O541" s="156"/>
      <c r="P541" s="156"/>
      <c r="Q541" s="156"/>
      <c r="R541" s="156"/>
      <c r="S541" s="156"/>
      <c r="T541" s="156"/>
    </row>
    <row r="542" spans="2:20">
      <c r="B542" s="156"/>
      <c r="C542" s="156"/>
      <c r="D542" s="156"/>
      <c r="E542" s="156"/>
      <c r="F542" s="156"/>
      <c r="G542" s="156"/>
      <c r="H542" s="156"/>
      <c r="I542" s="156"/>
      <c r="J542" s="156"/>
      <c r="K542" s="156"/>
      <c r="L542" s="156"/>
      <c r="M542" s="156"/>
      <c r="N542" s="156"/>
      <c r="O542" s="156"/>
      <c r="P542" s="156"/>
      <c r="Q542" s="156"/>
      <c r="R542" s="156"/>
      <c r="S542" s="156"/>
      <c r="T542" s="156"/>
    </row>
    <row r="543" spans="2:20">
      <c r="B543" s="156"/>
      <c r="C543" s="156"/>
      <c r="D543" s="156"/>
      <c r="E543" s="156"/>
      <c r="F543" s="156"/>
      <c r="G543" s="156"/>
      <c r="H543" s="156"/>
      <c r="I543" s="156"/>
      <c r="J543" s="156"/>
      <c r="K543" s="156"/>
      <c r="L543" s="156"/>
      <c r="M543" s="156"/>
      <c r="N543" s="156"/>
      <c r="O543" s="156"/>
      <c r="P543" s="156"/>
      <c r="Q543" s="156"/>
      <c r="R543" s="156"/>
      <c r="S543" s="156"/>
      <c r="T543" s="156"/>
    </row>
    <row r="544" spans="2:20">
      <c r="B544" s="156"/>
      <c r="C544" s="156"/>
      <c r="D544" s="156"/>
      <c r="E544" s="156"/>
      <c r="F544" s="156"/>
      <c r="G544" s="156"/>
      <c r="H544" s="156"/>
      <c r="I544" s="156"/>
      <c r="J544" s="156"/>
      <c r="K544" s="156"/>
      <c r="L544" s="156"/>
      <c r="M544" s="156"/>
      <c r="N544" s="156"/>
      <c r="O544" s="156"/>
      <c r="P544" s="156"/>
      <c r="Q544" s="156"/>
      <c r="R544" s="156"/>
      <c r="S544" s="156"/>
      <c r="T544" s="156"/>
    </row>
    <row r="545" spans="2:20">
      <c r="B545" s="156"/>
      <c r="C545" s="156"/>
      <c r="D545" s="156"/>
      <c r="E545" s="156"/>
      <c r="F545" s="156"/>
      <c r="G545" s="156"/>
      <c r="H545" s="156"/>
      <c r="I545" s="156"/>
      <c r="J545" s="156"/>
      <c r="K545" s="156"/>
      <c r="L545" s="156"/>
      <c r="M545" s="156"/>
      <c r="N545" s="156"/>
      <c r="O545" s="156"/>
      <c r="P545" s="156"/>
      <c r="Q545" s="156"/>
      <c r="R545" s="156"/>
      <c r="S545" s="156"/>
      <c r="T545" s="156"/>
    </row>
    <row r="546" spans="2:20">
      <c r="B546" s="156"/>
      <c r="C546" s="156"/>
      <c r="D546" s="156"/>
      <c r="E546" s="156"/>
      <c r="F546" s="156"/>
      <c r="G546" s="156"/>
      <c r="H546" s="156"/>
      <c r="I546" s="156"/>
      <c r="J546" s="156"/>
      <c r="K546" s="156"/>
      <c r="L546" s="156"/>
      <c r="M546" s="156"/>
      <c r="N546" s="156"/>
      <c r="O546" s="156"/>
      <c r="P546" s="156"/>
      <c r="Q546" s="156"/>
      <c r="R546" s="156"/>
      <c r="S546" s="156"/>
      <c r="T546" s="156"/>
    </row>
    <row r="547" spans="2:20">
      <c r="B547" s="156"/>
      <c r="C547" s="156"/>
      <c r="D547" s="156"/>
      <c r="E547" s="156"/>
      <c r="F547" s="156"/>
      <c r="G547" s="156"/>
      <c r="H547" s="156"/>
      <c r="I547" s="156"/>
      <c r="J547" s="156"/>
      <c r="K547" s="156"/>
      <c r="L547" s="156"/>
      <c r="M547" s="156"/>
      <c r="N547" s="156"/>
      <c r="O547" s="156"/>
      <c r="P547" s="156"/>
      <c r="Q547" s="156"/>
      <c r="R547" s="156"/>
      <c r="S547" s="156"/>
      <c r="T547" s="156"/>
    </row>
    <row r="548" spans="2:20">
      <c r="B548" s="156"/>
      <c r="C548" s="156"/>
      <c r="D548" s="156"/>
      <c r="E548" s="156"/>
      <c r="F548" s="156"/>
      <c r="G548" s="156"/>
      <c r="H548" s="156"/>
      <c r="I548" s="156"/>
      <c r="J548" s="156"/>
      <c r="K548" s="156"/>
      <c r="L548" s="156"/>
      <c r="M548" s="156"/>
      <c r="N548" s="156"/>
      <c r="O548" s="156"/>
      <c r="P548" s="156"/>
      <c r="Q548" s="156"/>
      <c r="R548" s="156"/>
      <c r="S548" s="156"/>
      <c r="T548" s="156"/>
    </row>
    <row r="549" spans="2:20">
      <c r="B549" s="156"/>
      <c r="C549" s="156"/>
      <c r="D549" s="156"/>
      <c r="E549" s="156"/>
      <c r="F549" s="156"/>
      <c r="G549" s="156"/>
      <c r="H549" s="156"/>
      <c r="I549" s="156"/>
      <c r="J549" s="156"/>
      <c r="K549" s="156"/>
      <c r="L549" s="156"/>
      <c r="M549" s="156"/>
      <c r="N549" s="156"/>
      <c r="O549" s="156"/>
      <c r="P549" s="156"/>
      <c r="Q549" s="156"/>
      <c r="R549" s="156"/>
      <c r="S549" s="156"/>
      <c r="T549" s="156"/>
    </row>
    <row r="550" spans="2:20">
      <c r="B550" s="156"/>
      <c r="C550" s="156"/>
      <c r="D550" s="156"/>
      <c r="E550" s="156"/>
      <c r="F550" s="156"/>
      <c r="G550" s="156"/>
      <c r="H550" s="156"/>
      <c r="I550" s="156"/>
      <c r="J550" s="156"/>
      <c r="K550" s="156"/>
      <c r="L550" s="156"/>
      <c r="M550" s="156"/>
      <c r="N550" s="156"/>
      <c r="O550" s="156"/>
      <c r="P550" s="156"/>
      <c r="Q550" s="156"/>
      <c r="R550" s="156"/>
      <c r="S550" s="156"/>
      <c r="T550" s="156"/>
    </row>
    <row r="551" spans="2:20">
      <c r="B551" s="156"/>
      <c r="C551" s="156"/>
      <c r="D551" s="156"/>
      <c r="E551" s="156"/>
      <c r="F551" s="156"/>
      <c r="G551" s="156"/>
      <c r="H551" s="156"/>
      <c r="I551" s="156"/>
      <c r="J551" s="156"/>
      <c r="K551" s="156"/>
      <c r="L551" s="156"/>
      <c r="M551" s="156"/>
      <c r="N551" s="156"/>
      <c r="O551" s="156"/>
      <c r="P551" s="156"/>
      <c r="Q551" s="156"/>
      <c r="R551" s="156"/>
      <c r="S551" s="156"/>
      <c r="T551" s="156"/>
    </row>
    <row r="552" spans="2:20">
      <c r="B552" s="156"/>
      <c r="C552" s="156"/>
      <c r="D552" s="156"/>
      <c r="E552" s="156"/>
      <c r="F552" s="156"/>
      <c r="G552" s="156"/>
      <c r="H552" s="156"/>
      <c r="I552" s="156"/>
      <c r="J552" s="156"/>
      <c r="K552" s="156"/>
      <c r="L552" s="156"/>
      <c r="M552" s="156"/>
      <c r="N552" s="156"/>
      <c r="O552" s="156"/>
      <c r="P552" s="156"/>
      <c r="Q552" s="156"/>
      <c r="R552" s="156"/>
      <c r="S552" s="156"/>
      <c r="T552" s="156"/>
    </row>
    <row r="553" spans="2:20">
      <c r="B553" s="156"/>
      <c r="C553" s="156"/>
      <c r="D553" s="156"/>
      <c r="E553" s="156"/>
      <c r="F553" s="156"/>
      <c r="G553" s="156"/>
      <c r="H553" s="156"/>
      <c r="I553" s="156"/>
      <c r="J553" s="156"/>
      <c r="K553" s="156"/>
      <c r="L553" s="156"/>
      <c r="M553" s="156"/>
      <c r="N553" s="156"/>
      <c r="O553" s="156"/>
      <c r="P553" s="156"/>
      <c r="Q553" s="156"/>
      <c r="R553" s="156"/>
      <c r="S553" s="156"/>
      <c r="T553" s="156"/>
    </row>
    <row r="554" spans="2:20">
      <c r="B554" s="156"/>
      <c r="C554" s="156"/>
      <c r="D554" s="156"/>
      <c r="E554" s="156"/>
      <c r="F554" s="156"/>
      <c r="G554" s="156"/>
      <c r="H554" s="156"/>
      <c r="I554" s="156"/>
      <c r="J554" s="156"/>
      <c r="K554" s="156"/>
      <c r="L554" s="156"/>
      <c r="M554" s="156"/>
      <c r="N554" s="156"/>
      <c r="O554" s="156"/>
      <c r="P554" s="156"/>
      <c r="Q554" s="156"/>
      <c r="R554" s="156"/>
      <c r="S554" s="156"/>
      <c r="T554" s="156"/>
    </row>
    <row r="555" spans="2:20">
      <c r="B555" s="156"/>
      <c r="C555" s="156"/>
      <c r="D555" s="156"/>
      <c r="E555" s="156"/>
      <c r="F555" s="156"/>
      <c r="G555" s="156"/>
      <c r="H555" s="156"/>
      <c r="I555" s="156"/>
      <c r="J555" s="156"/>
      <c r="K555" s="156"/>
      <c r="L555" s="156"/>
      <c r="M555" s="156"/>
      <c r="N555" s="156"/>
      <c r="O555" s="156"/>
      <c r="P555" s="156"/>
      <c r="Q555" s="156"/>
      <c r="R555" s="156"/>
      <c r="S555" s="156"/>
      <c r="T555" s="156"/>
    </row>
    <row r="556" spans="2:20">
      <c r="B556" s="156"/>
      <c r="C556" s="156"/>
      <c r="D556" s="156"/>
      <c r="E556" s="156"/>
      <c r="F556" s="156"/>
      <c r="G556" s="156"/>
      <c r="H556" s="156"/>
      <c r="I556" s="156"/>
      <c r="J556" s="156"/>
      <c r="K556" s="156"/>
      <c r="L556" s="156"/>
      <c r="M556" s="156"/>
      <c r="N556" s="156"/>
      <c r="O556" s="156"/>
      <c r="P556" s="156"/>
      <c r="Q556" s="156"/>
      <c r="R556" s="156"/>
      <c r="S556" s="156"/>
      <c r="T556" s="156"/>
    </row>
    <row r="557" spans="2:20">
      <c r="B557" s="156"/>
      <c r="C557" s="156"/>
      <c r="D557" s="156"/>
      <c r="E557" s="156"/>
      <c r="F557" s="156"/>
      <c r="G557" s="156"/>
      <c r="H557" s="156"/>
      <c r="I557" s="156"/>
      <c r="J557" s="156"/>
      <c r="K557" s="156"/>
      <c r="L557" s="156"/>
      <c r="M557" s="156"/>
      <c r="N557" s="156"/>
      <c r="O557" s="156"/>
      <c r="P557" s="156"/>
      <c r="Q557" s="156"/>
      <c r="R557" s="156"/>
      <c r="S557" s="156"/>
      <c r="T557" s="156"/>
    </row>
    <row r="558" spans="2:20">
      <c r="B558" s="156"/>
      <c r="C558" s="156"/>
      <c r="D558" s="156"/>
      <c r="E558" s="156"/>
      <c r="F558" s="156"/>
      <c r="G558" s="156"/>
      <c r="H558" s="156"/>
      <c r="I558" s="156"/>
      <c r="J558" s="156"/>
      <c r="K558" s="156"/>
      <c r="L558" s="156"/>
      <c r="M558" s="156"/>
      <c r="N558" s="156"/>
      <c r="O558" s="156"/>
      <c r="P558" s="156"/>
      <c r="Q558" s="156"/>
      <c r="R558" s="156"/>
      <c r="S558" s="156"/>
      <c r="T558" s="156"/>
    </row>
    <row r="559" spans="2:20">
      <c r="B559" s="156"/>
      <c r="C559" s="156"/>
      <c r="D559" s="156"/>
      <c r="E559" s="156"/>
      <c r="F559" s="156"/>
      <c r="G559" s="156"/>
      <c r="H559" s="156"/>
      <c r="I559" s="156"/>
      <c r="J559" s="156"/>
      <c r="K559" s="156"/>
      <c r="L559" s="156"/>
      <c r="M559" s="156"/>
      <c r="N559" s="156"/>
      <c r="O559" s="156"/>
      <c r="P559" s="156"/>
      <c r="Q559" s="156"/>
      <c r="R559" s="156"/>
      <c r="S559" s="156"/>
      <c r="T559" s="156"/>
    </row>
    <row r="560" spans="2:20">
      <c r="B560" s="156"/>
      <c r="C560" s="156"/>
      <c r="D560" s="156"/>
      <c r="E560" s="156"/>
      <c r="F560" s="156"/>
      <c r="G560" s="156"/>
      <c r="H560" s="156"/>
      <c r="I560" s="156"/>
      <c r="J560" s="156"/>
      <c r="K560" s="156"/>
      <c r="L560" s="156"/>
      <c r="M560" s="156"/>
      <c r="N560" s="156"/>
      <c r="O560" s="156"/>
      <c r="P560" s="156"/>
      <c r="Q560" s="156"/>
      <c r="R560" s="156"/>
      <c r="S560" s="156"/>
      <c r="T560" s="156"/>
    </row>
    <row r="561" spans="2:20">
      <c r="B561" s="156"/>
      <c r="C561" s="156"/>
      <c r="D561" s="156"/>
      <c r="E561" s="156"/>
      <c r="F561" s="156"/>
      <c r="G561" s="156"/>
      <c r="H561" s="156"/>
      <c r="I561" s="156"/>
      <c r="J561" s="156"/>
      <c r="K561" s="156"/>
      <c r="L561" s="156"/>
      <c r="M561" s="156"/>
      <c r="N561" s="156"/>
      <c r="O561" s="156"/>
      <c r="P561" s="156"/>
      <c r="Q561" s="156"/>
      <c r="R561" s="156"/>
      <c r="S561" s="156"/>
      <c r="T561" s="156"/>
    </row>
    <row r="562" spans="2:20">
      <c r="B562" s="156"/>
      <c r="C562" s="156"/>
      <c r="D562" s="156"/>
      <c r="E562" s="156"/>
      <c r="F562" s="156"/>
      <c r="G562" s="156"/>
      <c r="H562" s="156"/>
      <c r="I562" s="156"/>
      <c r="J562" s="156"/>
      <c r="K562" s="156"/>
      <c r="L562" s="156"/>
      <c r="M562" s="156"/>
      <c r="N562" s="156"/>
      <c r="O562" s="156"/>
      <c r="P562" s="156"/>
      <c r="Q562" s="156"/>
      <c r="R562" s="156"/>
      <c r="S562" s="156"/>
      <c r="T562" s="156"/>
    </row>
    <row r="563" spans="2:20">
      <c r="B563" s="156"/>
      <c r="C563" s="156"/>
      <c r="D563" s="156"/>
      <c r="E563" s="156"/>
      <c r="F563" s="156"/>
      <c r="G563" s="156"/>
      <c r="H563" s="156"/>
      <c r="I563" s="156"/>
      <c r="J563" s="156"/>
      <c r="K563" s="156"/>
      <c r="L563" s="156"/>
      <c r="M563" s="156"/>
      <c r="N563" s="156"/>
      <c r="O563" s="156"/>
      <c r="P563" s="156"/>
      <c r="Q563" s="156"/>
      <c r="R563" s="156"/>
      <c r="S563" s="156"/>
      <c r="T563" s="156"/>
    </row>
    <row r="564" spans="2:20">
      <c r="B564" s="156"/>
      <c r="C564" s="156"/>
      <c r="D564" s="156"/>
      <c r="E564" s="156"/>
      <c r="F564" s="156"/>
      <c r="G564" s="156"/>
      <c r="H564" s="156"/>
      <c r="I564" s="156"/>
      <c r="J564" s="156"/>
      <c r="K564" s="156"/>
      <c r="L564" s="156"/>
      <c r="M564" s="156"/>
      <c r="N564" s="156"/>
      <c r="O564" s="156"/>
      <c r="P564" s="156"/>
      <c r="Q564" s="156"/>
      <c r="R564" s="156"/>
      <c r="S564" s="156"/>
      <c r="T564" s="156"/>
    </row>
    <row r="565" spans="2:20">
      <c r="B565" s="156"/>
      <c r="C565" s="156"/>
      <c r="D565" s="156"/>
      <c r="E565" s="156"/>
      <c r="F565" s="156"/>
      <c r="G565" s="156"/>
      <c r="H565" s="156"/>
      <c r="I565" s="156"/>
      <c r="J565" s="156"/>
      <c r="K565" s="156"/>
      <c r="L565" s="156"/>
      <c r="M565" s="156"/>
      <c r="N565" s="156"/>
      <c r="O565" s="156"/>
      <c r="P565" s="156"/>
      <c r="Q565" s="156"/>
      <c r="R565" s="156"/>
      <c r="S565" s="156"/>
      <c r="T565" s="156"/>
    </row>
    <row r="566" spans="2:20">
      <c r="B566" s="156"/>
      <c r="C566" s="156"/>
      <c r="D566" s="156"/>
      <c r="E566" s="156"/>
      <c r="F566" s="156"/>
      <c r="G566" s="156"/>
      <c r="H566" s="156"/>
      <c r="I566" s="156"/>
      <c r="J566" s="156"/>
      <c r="K566" s="156"/>
      <c r="L566" s="156"/>
      <c r="O566" s="156"/>
      <c r="P566" s="156"/>
      <c r="Q566" s="156"/>
      <c r="R566" s="156"/>
      <c r="S566" s="156"/>
      <c r="T566" s="156"/>
    </row>
    <row r="567" spans="2:20">
      <c r="B567" s="156"/>
      <c r="C567" s="156"/>
      <c r="D567" s="156"/>
      <c r="E567" s="156"/>
      <c r="F567" s="156"/>
      <c r="G567" s="156"/>
      <c r="H567" s="156"/>
      <c r="I567" s="156"/>
      <c r="J567" s="156"/>
      <c r="K567" s="156"/>
      <c r="L567" s="156"/>
      <c r="O567" s="156"/>
      <c r="P567" s="156"/>
      <c r="Q567" s="156"/>
      <c r="R567" s="156"/>
      <c r="S567" s="156"/>
      <c r="T567" s="156"/>
    </row>
    <row r="568" spans="2:20">
      <c r="B568" s="156"/>
      <c r="C568" s="156"/>
      <c r="D568" s="156"/>
      <c r="E568" s="156"/>
      <c r="F568" s="156"/>
      <c r="G568" s="156"/>
      <c r="H568" s="156"/>
      <c r="I568" s="156"/>
      <c r="J568" s="156"/>
      <c r="K568" s="156"/>
      <c r="L568" s="156"/>
      <c r="O568" s="156"/>
      <c r="P568" s="156"/>
      <c r="Q568" s="156"/>
      <c r="R568" s="156"/>
      <c r="S568" s="156"/>
      <c r="T568" s="156"/>
    </row>
    <row r="569" spans="2:20">
      <c r="B569" s="156"/>
      <c r="C569" s="156"/>
      <c r="D569" s="156"/>
      <c r="E569" s="156"/>
      <c r="F569" s="156"/>
      <c r="G569" s="156"/>
      <c r="H569" s="156"/>
      <c r="I569" s="156"/>
      <c r="J569" s="156"/>
      <c r="K569" s="156"/>
      <c r="L569" s="156"/>
      <c r="O569" s="156"/>
      <c r="P569" s="156"/>
      <c r="Q569" s="156"/>
      <c r="R569" s="156"/>
      <c r="S569" s="156"/>
      <c r="T569" s="156"/>
    </row>
    <row r="570" spans="2:20">
      <c r="B570" s="156"/>
      <c r="C570" s="156"/>
      <c r="D570" s="156"/>
      <c r="E570" s="156"/>
      <c r="F570" s="156"/>
      <c r="G570" s="156"/>
      <c r="H570" s="156"/>
      <c r="I570" s="156"/>
      <c r="J570" s="156"/>
      <c r="K570" s="156"/>
      <c r="L570" s="156"/>
      <c r="O570" s="156"/>
      <c r="P570" s="156"/>
      <c r="Q570" s="156"/>
      <c r="R570" s="156"/>
      <c r="S570" s="156"/>
      <c r="T570" s="156"/>
    </row>
    <row r="571" spans="2:20">
      <c r="B571" s="156"/>
      <c r="C571" s="156"/>
      <c r="D571" s="156"/>
      <c r="E571" s="156"/>
      <c r="F571" s="156"/>
      <c r="G571" s="156"/>
      <c r="H571" s="156"/>
      <c r="I571" s="156"/>
      <c r="J571" s="156"/>
      <c r="K571" s="156"/>
      <c r="L571" s="156"/>
      <c r="O571" s="156"/>
      <c r="P571" s="156"/>
      <c r="Q571" s="156"/>
      <c r="R571" s="156"/>
      <c r="S571" s="156"/>
      <c r="T571" s="156"/>
    </row>
    <row r="572" spans="2:20">
      <c r="B572" s="156"/>
      <c r="C572" s="156"/>
      <c r="D572" s="156"/>
      <c r="E572" s="156"/>
      <c r="F572" s="156"/>
      <c r="G572" s="156"/>
      <c r="H572" s="156"/>
      <c r="I572" s="156"/>
      <c r="J572" s="156"/>
      <c r="K572" s="156"/>
      <c r="L572" s="156"/>
      <c r="O572" s="156"/>
      <c r="P572" s="156"/>
      <c r="Q572" s="156"/>
      <c r="R572" s="156"/>
      <c r="S572" s="156"/>
      <c r="T572" s="156"/>
    </row>
    <row r="573" spans="2:20">
      <c r="B573" s="156"/>
      <c r="C573" s="156"/>
      <c r="D573" s="156"/>
      <c r="E573" s="156"/>
      <c r="F573" s="156"/>
      <c r="G573" s="156"/>
      <c r="H573" s="156"/>
      <c r="I573" s="156"/>
      <c r="J573" s="156"/>
      <c r="K573" s="156"/>
      <c r="L573" s="156"/>
      <c r="O573" s="156"/>
      <c r="P573" s="156"/>
      <c r="Q573" s="156"/>
      <c r="R573" s="156"/>
      <c r="S573" s="156"/>
      <c r="T573" s="156"/>
    </row>
    <row r="574" spans="2:20">
      <c r="B574" s="156"/>
      <c r="C574" s="156"/>
      <c r="D574" s="156"/>
      <c r="E574" s="156"/>
      <c r="F574" s="156"/>
      <c r="G574" s="156"/>
      <c r="H574" s="156"/>
      <c r="I574" s="156"/>
      <c r="J574" s="156"/>
      <c r="K574" s="156"/>
      <c r="L574" s="156"/>
      <c r="O574" s="156"/>
      <c r="P574" s="156"/>
      <c r="Q574" s="156"/>
      <c r="R574" s="156"/>
      <c r="S574" s="156"/>
      <c r="T574" s="156"/>
    </row>
    <row r="575" spans="2:20">
      <c r="B575" s="156"/>
      <c r="C575" s="156"/>
      <c r="D575" s="156"/>
      <c r="E575" s="156"/>
      <c r="F575" s="156"/>
      <c r="G575" s="156"/>
      <c r="H575" s="156"/>
      <c r="I575" s="156"/>
      <c r="J575" s="156"/>
      <c r="K575" s="156"/>
      <c r="L575" s="156"/>
      <c r="O575" s="156"/>
      <c r="P575" s="156"/>
      <c r="Q575" s="156"/>
      <c r="R575" s="156"/>
      <c r="S575" s="156"/>
      <c r="T575" s="156"/>
    </row>
    <row r="576" spans="2:20">
      <c r="B576" s="156"/>
      <c r="C576" s="156"/>
      <c r="D576" s="156"/>
      <c r="E576" s="156"/>
      <c r="F576" s="156"/>
      <c r="G576" s="156"/>
      <c r="H576" s="156"/>
      <c r="I576" s="156"/>
      <c r="J576" s="156"/>
      <c r="K576" s="156"/>
      <c r="L576" s="156"/>
      <c r="O576" s="156"/>
      <c r="P576" s="156"/>
      <c r="Q576" s="156"/>
      <c r="R576" s="156"/>
      <c r="S576" s="156"/>
      <c r="T576" s="156"/>
    </row>
    <row r="577" spans="2:20">
      <c r="B577" s="156"/>
      <c r="C577" s="156"/>
      <c r="D577" s="156"/>
      <c r="E577" s="156"/>
      <c r="F577" s="156"/>
      <c r="G577" s="156"/>
      <c r="H577" s="156"/>
      <c r="I577" s="156"/>
      <c r="J577" s="156"/>
      <c r="K577" s="156"/>
      <c r="L577" s="156"/>
      <c r="O577" s="156"/>
      <c r="P577" s="156"/>
      <c r="Q577" s="156"/>
      <c r="R577" s="156"/>
      <c r="S577" s="156"/>
      <c r="T577" s="156"/>
    </row>
    <row r="578" spans="2:20">
      <c r="B578" s="156"/>
      <c r="C578" s="156"/>
      <c r="D578" s="156"/>
      <c r="E578" s="156"/>
      <c r="F578" s="156"/>
      <c r="G578" s="156"/>
      <c r="H578" s="156"/>
      <c r="I578" s="156"/>
      <c r="J578" s="156"/>
      <c r="K578" s="156"/>
      <c r="L578" s="156"/>
      <c r="O578" s="156"/>
      <c r="P578" s="156"/>
      <c r="Q578" s="156"/>
      <c r="R578" s="156"/>
      <c r="S578" s="156"/>
      <c r="T578" s="156"/>
    </row>
    <row r="579" spans="2:20">
      <c r="B579" s="156"/>
      <c r="C579" s="156"/>
      <c r="D579" s="156"/>
      <c r="E579" s="156"/>
      <c r="F579" s="156"/>
      <c r="G579" s="156"/>
      <c r="H579" s="156"/>
      <c r="I579" s="156"/>
      <c r="J579" s="156"/>
      <c r="K579" s="156"/>
      <c r="L579" s="156"/>
      <c r="O579" s="156"/>
      <c r="P579" s="156"/>
      <c r="Q579" s="156"/>
      <c r="R579" s="156"/>
      <c r="S579" s="156"/>
      <c r="T579" s="156"/>
    </row>
    <row r="580" spans="2:20">
      <c r="B580" s="156"/>
      <c r="C580" s="156"/>
      <c r="D580" s="156"/>
      <c r="E580" s="156"/>
      <c r="F580" s="156"/>
      <c r="G580" s="156"/>
      <c r="H580" s="156"/>
      <c r="I580" s="156"/>
      <c r="J580" s="156"/>
      <c r="K580" s="156"/>
      <c r="L580" s="156"/>
      <c r="O580" s="156"/>
      <c r="P580" s="156"/>
      <c r="Q580" s="156"/>
      <c r="R580" s="156"/>
      <c r="S580" s="156"/>
      <c r="T580" s="156"/>
    </row>
    <row r="581" spans="2:20">
      <c r="B581" s="156"/>
      <c r="C581" s="156"/>
      <c r="D581" s="156"/>
      <c r="E581" s="156"/>
      <c r="F581" s="156"/>
      <c r="G581" s="156"/>
      <c r="H581" s="156"/>
      <c r="I581" s="156"/>
      <c r="J581" s="156"/>
      <c r="K581" s="156"/>
      <c r="L581" s="156"/>
      <c r="O581" s="156"/>
      <c r="P581" s="156"/>
      <c r="Q581" s="156"/>
      <c r="R581" s="156"/>
      <c r="S581" s="156"/>
      <c r="T581" s="156"/>
    </row>
    <row r="582" spans="2:20">
      <c r="B582" s="156"/>
      <c r="C582" s="156"/>
      <c r="D582" s="156"/>
      <c r="E582" s="156"/>
      <c r="F582" s="156"/>
      <c r="G582" s="156"/>
      <c r="H582" s="156"/>
      <c r="I582" s="156"/>
      <c r="J582" s="156"/>
      <c r="K582" s="156"/>
      <c r="L582" s="156"/>
      <c r="O582" s="156"/>
      <c r="P582" s="156"/>
      <c r="Q582" s="156"/>
      <c r="R582" s="156"/>
      <c r="S582" s="156"/>
      <c r="T582" s="156"/>
    </row>
    <row r="583" spans="2:20">
      <c r="B583" s="156"/>
      <c r="C583" s="156"/>
      <c r="D583" s="156"/>
      <c r="E583" s="156"/>
      <c r="F583" s="156"/>
      <c r="G583" s="156"/>
      <c r="H583" s="156"/>
      <c r="I583" s="156"/>
      <c r="J583" s="156"/>
      <c r="K583" s="156"/>
      <c r="L583" s="156"/>
      <c r="O583" s="156"/>
      <c r="P583" s="156"/>
      <c r="Q583" s="156"/>
      <c r="R583" s="156"/>
      <c r="S583" s="156"/>
      <c r="T583" s="156"/>
    </row>
    <row r="584" spans="2:20">
      <c r="B584" s="156"/>
      <c r="C584" s="156"/>
      <c r="D584" s="156"/>
      <c r="E584" s="156"/>
      <c r="F584" s="156"/>
      <c r="G584" s="156"/>
      <c r="H584" s="156"/>
      <c r="I584" s="156"/>
      <c r="J584" s="156"/>
      <c r="K584" s="156"/>
      <c r="L584" s="156"/>
      <c r="O584" s="156"/>
      <c r="P584" s="156"/>
      <c r="Q584" s="156"/>
      <c r="R584" s="156"/>
      <c r="S584" s="156"/>
      <c r="T584" s="156"/>
    </row>
    <row r="585" spans="2:20">
      <c r="B585" s="156"/>
      <c r="C585" s="156"/>
      <c r="D585" s="156"/>
      <c r="E585" s="156"/>
      <c r="F585" s="156"/>
      <c r="G585" s="156"/>
      <c r="H585" s="156"/>
      <c r="I585" s="156"/>
      <c r="J585" s="156"/>
      <c r="K585" s="156"/>
      <c r="L585" s="156"/>
      <c r="O585" s="156"/>
      <c r="P585" s="156"/>
      <c r="Q585" s="156"/>
      <c r="R585" s="156"/>
      <c r="S585" s="156"/>
      <c r="T585" s="156"/>
    </row>
    <row r="586" spans="2:20">
      <c r="B586" s="156"/>
      <c r="C586" s="156"/>
      <c r="D586" s="156"/>
      <c r="E586" s="156"/>
      <c r="F586" s="156"/>
      <c r="G586" s="156"/>
      <c r="H586" s="156"/>
      <c r="I586" s="156"/>
      <c r="J586" s="156"/>
      <c r="K586" s="156"/>
      <c r="L586" s="156"/>
      <c r="O586" s="156"/>
      <c r="P586" s="156"/>
      <c r="Q586" s="156"/>
      <c r="R586" s="156"/>
      <c r="S586" s="156"/>
      <c r="T586" s="156"/>
    </row>
    <row r="587" spans="2:20">
      <c r="B587" s="156"/>
      <c r="C587" s="156"/>
      <c r="D587" s="156"/>
      <c r="E587" s="156"/>
      <c r="F587" s="156"/>
      <c r="G587" s="156"/>
      <c r="H587" s="156"/>
      <c r="I587" s="156"/>
      <c r="J587" s="156"/>
      <c r="K587" s="156"/>
      <c r="L587" s="156"/>
      <c r="O587" s="156"/>
      <c r="P587" s="156"/>
      <c r="Q587" s="156"/>
      <c r="R587" s="156"/>
      <c r="S587" s="156"/>
      <c r="T587" s="156"/>
    </row>
    <row r="588" spans="2:20">
      <c r="B588" s="156"/>
      <c r="C588" s="156"/>
      <c r="D588" s="156"/>
      <c r="E588" s="156"/>
      <c r="F588" s="156"/>
      <c r="G588" s="156"/>
      <c r="H588" s="156"/>
      <c r="I588" s="156"/>
      <c r="J588" s="156"/>
      <c r="K588" s="156"/>
      <c r="L588" s="156"/>
      <c r="O588" s="156"/>
      <c r="P588" s="156"/>
      <c r="Q588" s="156"/>
      <c r="R588" s="156"/>
      <c r="S588" s="156"/>
      <c r="T588" s="156"/>
    </row>
    <row r="589" spans="2:20">
      <c r="B589" s="156"/>
      <c r="C589" s="156"/>
      <c r="D589" s="156"/>
      <c r="E589" s="156"/>
      <c r="F589" s="156"/>
      <c r="G589" s="156"/>
      <c r="H589" s="156"/>
      <c r="I589" s="156"/>
      <c r="J589" s="156"/>
      <c r="K589" s="156"/>
      <c r="L589" s="156"/>
      <c r="O589" s="156"/>
      <c r="P589" s="156"/>
      <c r="Q589" s="156"/>
      <c r="R589" s="156"/>
      <c r="S589" s="156"/>
      <c r="T589" s="156"/>
    </row>
    <row r="590" spans="2:20">
      <c r="B590" s="156"/>
      <c r="C590" s="156"/>
      <c r="D590" s="156"/>
      <c r="E590" s="156"/>
      <c r="F590" s="156"/>
      <c r="G590" s="156"/>
      <c r="H590" s="156"/>
      <c r="I590" s="156"/>
      <c r="J590" s="156"/>
      <c r="K590" s="156"/>
      <c r="L590" s="156"/>
      <c r="O590" s="156"/>
      <c r="P590" s="156"/>
      <c r="Q590" s="156"/>
      <c r="R590" s="156"/>
      <c r="S590" s="156"/>
      <c r="T590" s="156"/>
    </row>
    <row r="591" spans="2:20">
      <c r="B591" s="156"/>
      <c r="C591" s="156"/>
      <c r="D591" s="156"/>
      <c r="E591" s="156"/>
      <c r="F591" s="156"/>
      <c r="G591" s="156"/>
      <c r="H591" s="156"/>
      <c r="I591" s="156"/>
      <c r="J591" s="156"/>
      <c r="K591" s="156"/>
      <c r="L591" s="156"/>
      <c r="O591" s="156"/>
      <c r="P591" s="156"/>
      <c r="Q591" s="156"/>
      <c r="R591" s="156"/>
      <c r="S591" s="156"/>
      <c r="T591" s="156"/>
    </row>
    <row r="592" spans="2:20">
      <c r="B592" s="156"/>
      <c r="C592" s="156"/>
      <c r="D592" s="156"/>
      <c r="E592" s="156"/>
      <c r="F592" s="156"/>
      <c r="G592" s="156"/>
      <c r="H592" s="156"/>
      <c r="I592" s="156"/>
      <c r="J592" s="156"/>
      <c r="K592" s="156"/>
      <c r="L592" s="156"/>
      <c r="O592" s="156"/>
      <c r="P592" s="156"/>
      <c r="Q592" s="156"/>
      <c r="R592" s="156"/>
      <c r="S592" s="156"/>
      <c r="T592" s="156"/>
    </row>
    <row r="593" spans="2:20">
      <c r="B593" s="156"/>
      <c r="C593" s="156"/>
      <c r="D593" s="156"/>
      <c r="E593" s="156"/>
      <c r="F593" s="156"/>
      <c r="G593" s="156"/>
      <c r="H593" s="156"/>
      <c r="I593" s="156"/>
      <c r="J593" s="156"/>
      <c r="K593" s="156"/>
      <c r="L593" s="156"/>
      <c r="O593" s="156"/>
      <c r="P593" s="156"/>
      <c r="Q593" s="156"/>
      <c r="R593" s="156"/>
      <c r="S593" s="156"/>
      <c r="T593" s="156"/>
    </row>
    <row r="594" spans="2:20">
      <c r="B594" s="156"/>
      <c r="C594" s="156"/>
      <c r="D594" s="156"/>
      <c r="E594" s="156"/>
      <c r="F594" s="156"/>
      <c r="G594" s="156"/>
      <c r="H594" s="156"/>
      <c r="I594" s="156"/>
      <c r="J594" s="156"/>
      <c r="K594" s="156"/>
      <c r="L594" s="156"/>
      <c r="O594" s="156"/>
      <c r="P594" s="156"/>
      <c r="Q594" s="156"/>
      <c r="R594" s="156"/>
      <c r="S594" s="156"/>
      <c r="T594" s="156"/>
    </row>
    <row r="595" spans="2:20">
      <c r="B595" s="156"/>
      <c r="C595" s="156"/>
      <c r="D595" s="156"/>
      <c r="E595" s="156"/>
      <c r="F595" s="156"/>
      <c r="G595" s="156"/>
      <c r="H595" s="156"/>
      <c r="I595" s="156"/>
      <c r="J595" s="156"/>
      <c r="K595" s="156"/>
      <c r="L595" s="156"/>
      <c r="O595" s="156"/>
      <c r="P595" s="156"/>
      <c r="Q595" s="156"/>
      <c r="R595" s="156"/>
      <c r="S595" s="156"/>
      <c r="T595" s="156"/>
    </row>
  </sheetData>
  <mergeCells count="32">
    <mergeCell ref="B296:K296"/>
    <mergeCell ref="B290:K290"/>
    <mergeCell ref="B291:K291"/>
    <mergeCell ref="B292:K292"/>
    <mergeCell ref="E294:K294"/>
    <mergeCell ref="E295:K295"/>
    <mergeCell ref="B285:K285"/>
    <mergeCell ref="B286:K286"/>
    <mergeCell ref="B287:K287"/>
    <mergeCell ref="B288:K288"/>
    <mergeCell ref="B289:K289"/>
    <mergeCell ref="H1:L1"/>
    <mergeCell ref="C274:D274"/>
    <mergeCell ref="B282:K282"/>
    <mergeCell ref="B283:K283"/>
    <mergeCell ref="B284:K284"/>
    <mergeCell ref="I4:K4"/>
    <mergeCell ref="B307:K307"/>
    <mergeCell ref="B308:K308"/>
    <mergeCell ref="B309:K309"/>
    <mergeCell ref="B310:K310"/>
    <mergeCell ref="I274:K274"/>
    <mergeCell ref="B302:K302"/>
    <mergeCell ref="B303:K303"/>
    <mergeCell ref="B304:K304"/>
    <mergeCell ref="B305:K305"/>
    <mergeCell ref="B306:K306"/>
    <mergeCell ref="B297:K297"/>
    <mergeCell ref="B298:K298"/>
    <mergeCell ref="B299:K299"/>
    <mergeCell ref="B300:K300"/>
    <mergeCell ref="B301:K301"/>
  </mergeCells>
  <phoneticPr fontId="2" type="noConversion"/>
  <pageMargins left="0.75" right="0.25" top="0.5" bottom="0.5" header="0.5" footer="0.5"/>
  <pageSetup scale="49" fitToHeight="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3:AW65"/>
  <sheetViews>
    <sheetView showGridLines="0" zoomScaleNormal="75" workbookViewId="0">
      <selection activeCell="L63" sqref="L63"/>
    </sheetView>
  </sheetViews>
  <sheetFormatPr defaultColWidth="9.140625" defaultRowHeight="12.75"/>
  <cols>
    <col min="1" max="2" width="9.140625" style="2"/>
    <col min="3" max="3" width="2.140625" style="2" customWidth="1"/>
    <col min="4" max="4" width="1.85546875" style="2" customWidth="1"/>
    <col min="5" max="5" width="44.42578125" style="2" customWidth="1"/>
    <col min="6" max="6" width="18.28515625" style="3" customWidth="1"/>
    <col min="7" max="8" width="1.42578125" style="3" customWidth="1"/>
    <col min="9" max="9" width="20.140625" style="2" bestFit="1" customWidth="1"/>
    <col min="10" max="10" width="22.5703125" style="2" bestFit="1" customWidth="1"/>
    <col min="11" max="11" width="23" style="4" bestFit="1" customWidth="1"/>
    <col min="12" max="12" width="24.42578125" style="2" bestFit="1" customWidth="1"/>
    <col min="13" max="13" width="8.5703125" style="2" customWidth="1"/>
    <col min="14" max="14" width="11.28515625" style="2" bestFit="1" customWidth="1"/>
    <col min="15" max="15" width="13.140625" style="2" bestFit="1" customWidth="1"/>
    <col min="16" max="16" width="12.140625" style="2" bestFit="1" customWidth="1"/>
    <col min="17" max="17" width="14.85546875" style="2" bestFit="1" customWidth="1"/>
    <col min="18" max="18" width="11.28515625" style="2" bestFit="1" customWidth="1"/>
    <col min="19" max="19" width="11.85546875" style="2" bestFit="1" customWidth="1"/>
    <col min="20" max="20" width="10.28515625" style="2" bestFit="1" customWidth="1"/>
    <col min="21" max="21" width="11.28515625" style="2" bestFit="1" customWidth="1"/>
    <col min="22" max="22" width="10.28515625" style="2" bestFit="1" customWidth="1"/>
    <col min="23" max="23" width="9.140625" style="2"/>
    <col min="24" max="24" width="10.28515625" style="2" bestFit="1" customWidth="1"/>
    <col min="25" max="25" width="7" style="2" bestFit="1" customWidth="1"/>
    <col min="26" max="26" width="10.28515625" style="2" bestFit="1" customWidth="1"/>
    <col min="27" max="27" width="9.140625" style="2"/>
    <col min="28" max="28" width="9.28515625" style="2" bestFit="1" customWidth="1"/>
    <col min="29" max="29" width="9.140625" style="2"/>
    <col min="30" max="30" width="10.28515625" style="2" bestFit="1" customWidth="1"/>
    <col min="31" max="31" width="9.140625" style="2"/>
    <col min="32" max="32" width="10.28515625" style="2" bestFit="1" customWidth="1"/>
    <col min="33" max="33" width="9.140625" style="2"/>
    <col min="34" max="34" width="10.28515625" style="2" bestFit="1" customWidth="1"/>
    <col min="35" max="35" width="9.140625" style="2"/>
    <col min="36" max="37" width="10.7109375" style="2" customWidth="1"/>
    <col min="38" max="38" width="10.28515625" style="2" bestFit="1" customWidth="1"/>
    <col min="39" max="39" width="9.140625" style="2"/>
    <col min="40" max="40" width="9.42578125" style="2" bestFit="1" customWidth="1"/>
    <col min="41" max="41" width="9.140625" style="2"/>
    <col min="42" max="42" width="10.28515625" style="2" customWidth="1"/>
    <col min="43" max="43" width="9.140625" style="2"/>
    <col min="44" max="44" width="10.28515625" style="2" customWidth="1"/>
    <col min="45" max="45" width="9.140625" style="2"/>
    <col min="46" max="46" width="9.5703125" style="2" customWidth="1"/>
    <col min="47" max="47" width="9.140625" style="2"/>
    <col min="48" max="48" width="10.28515625" style="2" customWidth="1"/>
    <col min="49" max="16384" width="9.140625" style="2"/>
  </cols>
  <sheetData>
    <row r="3" spans="4:11" ht="5.25" customHeight="1" thickBot="1">
      <c r="D3" s="336"/>
      <c r="E3" s="336"/>
      <c r="F3" s="336"/>
      <c r="G3" s="336"/>
      <c r="H3" s="336"/>
      <c r="I3" s="336"/>
      <c r="J3" s="336"/>
      <c r="K3" s="336"/>
    </row>
    <row r="4" spans="4:11">
      <c r="D4" s="363"/>
      <c r="E4" s="364"/>
      <c r="F4" s="365"/>
      <c r="G4" s="366"/>
      <c r="H4" s="336"/>
      <c r="I4" s="336"/>
      <c r="J4" s="336"/>
      <c r="K4" s="336"/>
    </row>
    <row r="5" spans="4:11" ht="15.75">
      <c r="D5" s="367"/>
      <c r="E5" s="362" t="s">
        <v>588</v>
      </c>
      <c r="F5" s="361"/>
      <c r="G5" s="368"/>
      <c r="H5" s="336"/>
      <c r="I5" s="336"/>
      <c r="J5" s="336"/>
      <c r="K5" s="336"/>
    </row>
    <row r="6" spans="4:11">
      <c r="D6" s="367"/>
      <c r="E6" s="337"/>
      <c r="F6" s="361"/>
      <c r="G6" s="368"/>
      <c r="H6" s="336"/>
      <c r="I6" s="336"/>
      <c r="J6" s="336"/>
      <c r="K6" s="336"/>
    </row>
    <row r="7" spans="4:11" ht="42.75" customHeight="1">
      <c r="D7" s="367"/>
      <c r="E7" s="338" t="s">
        <v>325</v>
      </c>
      <c r="F7" s="340"/>
      <c r="G7" s="368"/>
      <c r="H7" s="361"/>
      <c r="I7" s="336"/>
      <c r="J7" s="375"/>
      <c r="K7" s="373"/>
    </row>
    <row r="8" spans="4:11" ht="61.5" customHeight="1">
      <c r="D8" s="367"/>
      <c r="E8" s="339" t="s">
        <v>321</v>
      </c>
      <c r="F8" s="556">
        <f>N40</f>
        <v>55829.749999999993</v>
      </c>
      <c r="G8" s="368"/>
      <c r="H8" s="361"/>
      <c r="I8" s="343"/>
      <c r="J8" s="376"/>
      <c r="K8" s="373"/>
    </row>
    <row r="9" spans="4:11" ht="42.75" customHeight="1">
      <c r="D9" s="367"/>
      <c r="E9" s="339" t="s">
        <v>322</v>
      </c>
      <c r="F9" s="556">
        <f>O40</f>
        <v>5565.01</v>
      </c>
      <c r="G9" s="368"/>
      <c r="H9" s="361"/>
      <c r="I9" s="343"/>
      <c r="J9" s="376"/>
      <c r="K9" s="373"/>
    </row>
    <row r="10" spans="4:11" ht="42.75" customHeight="1">
      <c r="D10" s="367"/>
      <c r="E10" s="339" t="s">
        <v>323</v>
      </c>
      <c r="F10" s="556">
        <f>P40</f>
        <v>59143.67</v>
      </c>
      <c r="G10" s="368"/>
      <c r="H10" s="361"/>
      <c r="I10" s="343"/>
      <c r="J10" s="376"/>
      <c r="K10" s="373"/>
    </row>
    <row r="11" spans="4:11" ht="42.75" customHeight="1">
      <c r="D11" s="367"/>
      <c r="E11" s="339" t="s">
        <v>326</v>
      </c>
      <c r="F11" s="556">
        <v>0</v>
      </c>
      <c r="G11" s="368"/>
      <c r="H11" s="361"/>
      <c r="I11" s="336"/>
      <c r="J11" s="376"/>
      <c r="K11" s="373"/>
    </row>
    <row r="12" spans="4:11" ht="42.75" customHeight="1">
      <c r="D12" s="367"/>
      <c r="E12" s="342"/>
      <c r="F12" s="557">
        <v>0</v>
      </c>
      <c r="G12" s="374"/>
      <c r="H12" s="373"/>
      <c r="I12" s="336"/>
      <c r="J12" s="337"/>
      <c r="K12" s="373"/>
    </row>
    <row r="13" spans="4:11" ht="42.75" customHeight="1">
      <c r="D13" s="367"/>
      <c r="E13" s="342" t="s">
        <v>324</v>
      </c>
      <c r="F13" s="556">
        <f>SUM(F8:F12)</f>
        <v>120538.43</v>
      </c>
      <c r="G13" s="368"/>
      <c r="H13" s="361"/>
      <c r="I13" s="343">
        <f>55830+64709</f>
        <v>120539</v>
      </c>
      <c r="J13" s="441" t="s">
        <v>950</v>
      </c>
      <c r="K13" s="373"/>
    </row>
    <row r="14" spans="4:11" ht="13.5" thickBot="1">
      <c r="D14" s="369"/>
      <c r="E14" s="370"/>
      <c r="F14" s="371"/>
      <c r="G14" s="372"/>
      <c r="H14" s="336"/>
      <c r="I14" s="380" t="s">
        <v>364</v>
      </c>
      <c r="J14" s="550" t="s">
        <v>364</v>
      </c>
      <c r="K14" s="373"/>
    </row>
    <row r="15" spans="4:11" ht="7.5" customHeight="1">
      <c r="D15" s="336"/>
      <c r="E15" s="336"/>
      <c r="F15" s="336"/>
      <c r="G15" s="336"/>
      <c r="H15" s="336"/>
      <c r="I15" s="336"/>
      <c r="J15" s="336"/>
      <c r="K15" s="336"/>
    </row>
    <row r="17" spans="5:20">
      <c r="E17" s="377" t="s">
        <v>1005</v>
      </c>
      <c r="F17" s="336"/>
      <c r="G17" s="336"/>
      <c r="H17" s="336"/>
      <c r="I17" s="336"/>
      <c r="J17" s="336"/>
      <c r="K17" s="336"/>
      <c r="L17" s="336"/>
      <c r="M17" s="336"/>
      <c r="N17" s="336"/>
      <c r="O17" s="336"/>
      <c r="P17" s="336"/>
      <c r="Q17" s="336"/>
      <c r="R17" s="336"/>
      <c r="S17" s="336"/>
    </row>
    <row r="18" spans="5:20" ht="12" customHeight="1" thickBot="1">
      <c r="E18" s="345"/>
      <c r="F18" s="336"/>
      <c r="G18" s="336"/>
      <c r="H18" s="336"/>
      <c r="I18" s="336"/>
      <c r="J18" s="336"/>
      <c r="K18" s="336"/>
      <c r="L18" s="336"/>
      <c r="M18" s="336"/>
      <c r="N18" s="336"/>
      <c r="O18" s="336"/>
      <c r="P18" s="336"/>
      <c r="Q18" s="336"/>
      <c r="R18" s="336"/>
      <c r="S18" s="336"/>
    </row>
    <row r="19" spans="5:20" ht="20.25" customHeight="1">
      <c r="E19" s="346" t="s">
        <v>327</v>
      </c>
      <c r="F19" s="347" t="s">
        <v>328</v>
      </c>
      <c r="G19" s="347"/>
      <c r="H19" s="347"/>
      <c r="I19" s="348" t="s">
        <v>329</v>
      </c>
      <c r="J19" s="348" t="s">
        <v>330</v>
      </c>
      <c r="K19" s="360" t="s">
        <v>331</v>
      </c>
      <c r="L19" s="348" t="s">
        <v>332</v>
      </c>
      <c r="M19" s="348"/>
      <c r="N19" s="349" t="s">
        <v>321</v>
      </c>
      <c r="O19" s="349" t="s">
        <v>322</v>
      </c>
      <c r="P19" s="349" t="s">
        <v>323</v>
      </c>
      <c r="Q19" s="349" t="s">
        <v>326</v>
      </c>
      <c r="R19" s="350"/>
      <c r="S19" s="336"/>
    </row>
    <row r="20" spans="5:20" ht="20.25" customHeight="1">
      <c r="E20" s="351" t="s">
        <v>39</v>
      </c>
      <c r="F20" s="558">
        <f>+T58</f>
        <v>15419.830000000002</v>
      </c>
      <c r="G20" s="559"/>
      <c r="H20" s="559"/>
      <c r="I20" s="560">
        <f>+U50</f>
        <v>0.35236380686427798</v>
      </c>
      <c r="J20" s="560">
        <f>+U51</f>
        <v>9.2270796759756739E-3</v>
      </c>
      <c r="K20" s="561">
        <f>+U57</f>
        <v>0.63840911345974627</v>
      </c>
      <c r="L20" s="562"/>
      <c r="M20" s="562"/>
      <c r="N20" s="378">
        <f>$F20*I20</f>
        <v>5433.39</v>
      </c>
      <c r="O20" s="378">
        <f t="shared" ref="O20:Q20" si="0">$F20*J20</f>
        <v>142.28</v>
      </c>
      <c r="P20" s="378">
        <f t="shared" si="0"/>
        <v>9844.16</v>
      </c>
      <c r="Q20" s="378">
        <f t="shared" si="0"/>
        <v>0</v>
      </c>
      <c r="R20" s="352">
        <v>0</v>
      </c>
      <c r="S20" s="357">
        <f>Q20+P20+O20+N20</f>
        <v>15419.830000000002</v>
      </c>
      <c r="T20" s="459">
        <f>F20-S20</f>
        <v>0</v>
      </c>
    </row>
    <row r="21" spans="5:20" ht="20.25" customHeight="1">
      <c r="E21" s="351" t="s">
        <v>40</v>
      </c>
      <c r="F21" s="558">
        <f>+V58</f>
        <v>18407.559999999998</v>
      </c>
      <c r="G21" s="559"/>
      <c r="H21" s="559"/>
      <c r="I21" s="560">
        <f>+W50</f>
        <v>0.45647766461171391</v>
      </c>
      <c r="J21" s="560">
        <f>+W51</f>
        <v>0</v>
      </c>
      <c r="K21" s="563">
        <f>+W57</f>
        <v>0.54352233538828609</v>
      </c>
      <c r="L21" s="562"/>
      <c r="M21" s="562"/>
      <c r="N21" s="378">
        <f t="shared" ref="N21:N32" si="1">$F21*I21</f>
        <v>8402.64</v>
      </c>
      <c r="O21" s="378">
        <f t="shared" ref="O21:O32" si="2">$F21*J21</f>
        <v>0</v>
      </c>
      <c r="P21" s="378">
        <f t="shared" ref="P21:P32" si="3">$F21*K21</f>
        <v>10004.919999999998</v>
      </c>
      <c r="Q21" s="378">
        <f t="shared" ref="Q21:Q32" si="4">$F21*L21</f>
        <v>0</v>
      </c>
      <c r="R21" s="352">
        <v>0</v>
      </c>
      <c r="S21" s="357">
        <f t="shared" ref="S21:S32" si="5">Q21+P21+O21+N21</f>
        <v>18407.559999999998</v>
      </c>
      <c r="T21" s="459">
        <f t="shared" ref="T21:T32" si="6">F21-S21</f>
        <v>0</v>
      </c>
    </row>
    <row r="22" spans="5:20" ht="20.25" customHeight="1">
      <c r="E22" s="351" t="s">
        <v>41</v>
      </c>
      <c r="F22" s="564">
        <f>+X58</f>
        <v>0</v>
      </c>
      <c r="G22" s="556"/>
      <c r="H22" s="556"/>
      <c r="I22" s="562">
        <v>0</v>
      </c>
      <c r="J22" s="560">
        <v>0</v>
      </c>
      <c r="K22" s="565">
        <v>0</v>
      </c>
      <c r="L22" s="562"/>
      <c r="M22" s="562"/>
      <c r="N22" s="378">
        <f t="shared" si="1"/>
        <v>0</v>
      </c>
      <c r="O22" s="378">
        <f t="shared" si="2"/>
        <v>0</v>
      </c>
      <c r="P22" s="378">
        <f t="shared" si="3"/>
        <v>0</v>
      </c>
      <c r="Q22" s="378">
        <f t="shared" si="4"/>
        <v>0</v>
      </c>
      <c r="R22" s="352">
        <v>0</v>
      </c>
      <c r="S22" s="357">
        <f t="shared" si="5"/>
        <v>0</v>
      </c>
      <c r="T22" s="459">
        <f t="shared" si="6"/>
        <v>0</v>
      </c>
    </row>
    <row r="23" spans="5:20" ht="20.25" customHeight="1">
      <c r="E23" s="351" t="s">
        <v>42</v>
      </c>
      <c r="F23" s="558">
        <f>+Z58</f>
        <v>8537.0399999999991</v>
      </c>
      <c r="G23" s="559"/>
      <c r="H23" s="559"/>
      <c r="I23" s="560">
        <f>+AA50</f>
        <v>0.4543413173652695</v>
      </c>
      <c r="J23" s="560">
        <f>+AA51</f>
        <v>3.4431137724550899E-2</v>
      </c>
      <c r="K23" s="563">
        <f>+AA57</f>
        <v>0.51122754491017974</v>
      </c>
      <c r="L23" s="562"/>
      <c r="M23" s="562"/>
      <c r="N23" s="378">
        <f t="shared" si="1"/>
        <v>3878.73</v>
      </c>
      <c r="O23" s="378">
        <f t="shared" si="2"/>
        <v>293.94</v>
      </c>
      <c r="P23" s="378">
        <f t="shared" si="3"/>
        <v>4364.3700000000008</v>
      </c>
      <c r="Q23" s="378">
        <f t="shared" si="4"/>
        <v>0</v>
      </c>
      <c r="R23" s="352">
        <v>0</v>
      </c>
      <c r="S23" s="357">
        <f t="shared" si="5"/>
        <v>8537.0400000000009</v>
      </c>
      <c r="T23" s="459">
        <f t="shared" si="6"/>
        <v>0</v>
      </c>
    </row>
    <row r="24" spans="5:20" ht="20.25" customHeight="1">
      <c r="E24" s="351" t="s">
        <v>43</v>
      </c>
      <c r="F24" s="558">
        <f>+AB58</f>
        <v>5795.7300000000005</v>
      </c>
      <c r="G24" s="559"/>
      <c r="H24" s="559"/>
      <c r="I24" s="560">
        <f>+AC50</f>
        <v>0.60198456449834603</v>
      </c>
      <c r="J24" s="560">
        <f>+AC51</f>
        <v>6.1742006615214985E-2</v>
      </c>
      <c r="K24" s="563">
        <f>+AC57</f>
        <v>0.3362734288864388</v>
      </c>
      <c r="L24" s="562"/>
      <c r="M24" s="562"/>
      <c r="N24" s="378">
        <f t="shared" si="1"/>
        <v>3488.9399999999991</v>
      </c>
      <c r="O24" s="378">
        <f t="shared" si="2"/>
        <v>357.84</v>
      </c>
      <c r="P24" s="378">
        <f t="shared" si="3"/>
        <v>1948.95</v>
      </c>
      <c r="Q24" s="378">
        <f t="shared" si="4"/>
        <v>0</v>
      </c>
      <c r="R24" s="352">
        <v>0</v>
      </c>
      <c r="S24" s="357">
        <f t="shared" si="5"/>
        <v>5795.73</v>
      </c>
      <c r="T24" s="459">
        <f t="shared" si="6"/>
        <v>0</v>
      </c>
    </row>
    <row r="25" spans="5:20" ht="20.25" customHeight="1">
      <c r="E25" s="351" t="s">
        <v>44</v>
      </c>
      <c r="F25" s="558">
        <f>+AD58</f>
        <v>5913.54</v>
      </c>
      <c r="G25" s="559"/>
      <c r="H25" s="559"/>
      <c r="I25" s="560">
        <f>+AE50</f>
        <v>0.74586119312628307</v>
      </c>
      <c r="J25" s="560">
        <f>+AE51</f>
        <v>0</v>
      </c>
      <c r="K25" s="563">
        <f>+AE57</f>
        <v>0.25413880687371693</v>
      </c>
      <c r="L25" s="562"/>
      <c r="M25" s="562"/>
      <c r="N25" s="378">
        <f t="shared" si="1"/>
        <v>4410.68</v>
      </c>
      <c r="O25" s="378">
        <f t="shared" si="2"/>
        <v>0</v>
      </c>
      <c r="P25" s="378">
        <f t="shared" si="3"/>
        <v>1502.86</v>
      </c>
      <c r="Q25" s="378">
        <f t="shared" si="4"/>
        <v>0</v>
      </c>
      <c r="R25" s="352">
        <v>0</v>
      </c>
      <c r="S25" s="357">
        <f t="shared" si="5"/>
        <v>5913.54</v>
      </c>
      <c r="T25" s="459">
        <f t="shared" si="6"/>
        <v>0</v>
      </c>
    </row>
    <row r="26" spans="5:20" ht="20.25" customHeight="1">
      <c r="E26" s="351" t="s">
        <v>45</v>
      </c>
      <c r="F26" s="558">
        <f>+AF58</f>
        <v>11444.85</v>
      </c>
      <c r="G26" s="559"/>
      <c r="H26" s="559"/>
      <c r="I26" s="560">
        <f>+AG50</f>
        <v>0.36829665744854673</v>
      </c>
      <c r="J26" s="560">
        <f>+AG51</f>
        <v>9.3238443492051001E-3</v>
      </c>
      <c r="K26" s="563">
        <f>+AG57</f>
        <v>0.62237949820224814</v>
      </c>
      <c r="L26" s="562"/>
      <c r="M26" s="562"/>
      <c r="N26" s="378">
        <f t="shared" si="1"/>
        <v>4215.1000000000004</v>
      </c>
      <c r="O26" s="378">
        <f t="shared" si="2"/>
        <v>106.71</v>
      </c>
      <c r="P26" s="378">
        <f t="shared" si="3"/>
        <v>7123.04</v>
      </c>
      <c r="Q26" s="378">
        <f t="shared" si="4"/>
        <v>0</v>
      </c>
      <c r="R26" s="352">
        <v>0</v>
      </c>
      <c r="S26" s="357">
        <f t="shared" si="5"/>
        <v>11444.85</v>
      </c>
      <c r="T26" s="459">
        <f t="shared" si="6"/>
        <v>0</v>
      </c>
    </row>
    <row r="27" spans="5:20" ht="20.25" customHeight="1">
      <c r="E27" s="351" t="s">
        <v>46</v>
      </c>
      <c r="F27" s="558">
        <f>+AH58</f>
        <v>6129.2000000000007</v>
      </c>
      <c r="G27" s="559"/>
      <c r="H27" s="559"/>
      <c r="I27" s="560">
        <f>+AI50</f>
        <v>3.5175879396984924E-2</v>
      </c>
      <c r="J27" s="560">
        <f>+AI51</f>
        <v>0.30653266331658285</v>
      </c>
      <c r="K27" s="563">
        <f>+AI57</f>
        <v>0.65829145728643201</v>
      </c>
      <c r="L27" s="562"/>
      <c r="M27" s="562"/>
      <c r="N27" s="378">
        <f t="shared" si="1"/>
        <v>215.60000000000002</v>
      </c>
      <c r="O27" s="378">
        <f t="shared" si="2"/>
        <v>1878.8</v>
      </c>
      <c r="P27" s="378">
        <f t="shared" si="3"/>
        <v>4034.7999999999997</v>
      </c>
      <c r="Q27" s="378">
        <f t="shared" si="4"/>
        <v>0</v>
      </c>
      <c r="R27" s="352">
        <v>0</v>
      </c>
      <c r="S27" s="357">
        <f t="shared" si="5"/>
        <v>6129.2</v>
      </c>
      <c r="T27" s="459">
        <f t="shared" si="6"/>
        <v>0</v>
      </c>
    </row>
    <row r="28" spans="5:20" ht="20.25" customHeight="1">
      <c r="E28" s="351" t="s">
        <v>47</v>
      </c>
      <c r="F28" s="558">
        <f>+AJ58</f>
        <v>17304.939999999999</v>
      </c>
      <c r="G28" s="559"/>
      <c r="H28" s="559"/>
      <c r="I28" s="560">
        <f>+AK50</f>
        <v>0.28674066480438537</v>
      </c>
      <c r="J28" s="560">
        <f>+AK51</f>
        <v>0.11510701568453864</v>
      </c>
      <c r="K28" s="563">
        <f>+AK57</f>
        <v>0.59815231951107606</v>
      </c>
      <c r="L28" s="562"/>
      <c r="M28" s="562"/>
      <c r="N28" s="378">
        <f t="shared" si="1"/>
        <v>4962.03</v>
      </c>
      <c r="O28" s="378">
        <f t="shared" si="2"/>
        <v>1991.92</v>
      </c>
      <c r="P28" s="378">
        <f t="shared" si="3"/>
        <v>10350.99</v>
      </c>
      <c r="Q28" s="378">
        <f t="shared" si="4"/>
        <v>0</v>
      </c>
      <c r="R28" s="352">
        <v>0</v>
      </c>
      <c r="S28" s="357">
        <f t="shared" si="5"/>
        <v>17304.939999999999</v>
      </c>
      <c r="T28" s="459">
        <f t="shared" si="6"/>
        <v>0</v>
      </c>
    </row>
    <row r="29" spans="5:20" ht="20.25" customHeight="1">
      <c r="E29" s="458" t="s">
        <v>1002</v>
      </c>
      <c r="F29" s="558">
        <f>+AL58</f>
        <v>107.04</v>
      </c>
      <c r="G29" s="559"/>
      <c r="H29" s="559"/>
      <c r="I29" s="560">
        <f>+AM50</f>
        <v>0</v>
      </c>
      <c r="J29" s="560">
        <f>+AM51</f>
        <v>0</v>
      </c>
      <c r="K29" s="563">
        <f>+AM57</f>
        <v>1</v>
      </c>
      <c r="L29" s="562"/>
      <c r="M29" s="562"/>
      <c r="N29" s="378">
        <f t="shared" si="1"/>
        <v>0</v>
      </c>
      <c r="O29" s="378">
        <f t="shared" si="2"/>
        <v>0</v>
      </c>
      <c r="P29" s="378">
        <f t="shared" si="3"/>
        <v>107.04</v>
      </c>
      <c r="Q29" s="378">
        <f t="shared" si="4"/>
        <v>0</v>
      </c>
      <c r="R29" s="352">
        <v>0</v>
      </c>
      <c r="S29" s="357">
        <f t="shared" si="5"/>
        <v>107.04</v>
      </c>
      <c r="T29" s="459">
        <f t="shared" si="6"/>
        <v>0</v>
      </c>
    </row>
    <row r="30" spans="5:20" ht="20.25" customHeight="1">
      <c r="E30" s="458" t="s">
        <v>1024</v>
      </c>
      <c r="F30" s="558">
        <f>+AN58</f>
        <v>535.20000000000005</v>
      </c>
      <c r="G30" s="559"/>
      <c r="H30" s="559"/>
      <c r="I30" s="560">
        <f>+AO50</f>
        <v>1</v>
      </c>
      <c r="J30" s="560">
        <f>+AO51</f>
        <v>0</v>
      </c>
      <c r="K30" s="563">
        <f>+AO57</f>
        <v>0</v>
      </c>
      <c r="L30" s="562"/>
      <c r="M30" s="562"/>
      <c r="N30" s="378">
        <f>$F30*I30</f>
        <v>535.20000000000005</v>
      </c>
      <c r="O30" s="378">
        <f>$F30*J30</f>
        <v>0</v>
      </c>
      <c r="P30" s="378">
        <f>$F30*K30</f>
        <v>0</v>
      </c>
      <c r="Q30" s="378">
        <f>$F30*L30</f>
        <v>0</v>
      </c>
      <c r="R30" s="352">
        <v>0</v>
      </c>
      <c r="S30" s="357">
        <f>Q30+P30+O30+N30</f>
        <v>535.20000000000005</v>
      </c>
      <c r="T30" s="459">
        <f>F30-S30</f>
        <v>0</v>
      </c>
    </row>
    <row r="31" spans="5:20" ht="20.25" customHeight="1">
      <c r="E31" s="351" t="s">
        <v>906</v>
      </c>
      <c r="F31" s="558">
        <f>+AP58</f>
        <v>12986.2</v>
      </c>
      <c r="G31" s="559"/>
      <c r="H31" s="559"/>
      <c r="I31" s="560">
        <f>+AQ50</f>
        <v>1</v>
      </c>
      <c r="J31" s="560">
        <f>+AQ51</f>
        <v>0</v>
      </c>
      <c r="K31" s="563">
        <f>+AQ57</f>
        <v>0</v>
      </c>
      <c r="L31" s="562"/>
      <c r="M31" s="562"/>
      <c r="N31" s="378">
        <f t="shared" si="1"/>
        <v>12986.2</v>
      </c>
      <c r="O31" s="378">
        <f t="shared" si="2"/>
        <v>0</v>
      </c>
      <c r="P31" s="378">
        <f t="shared" si="3"/>
        <v>0</v>
      </c>
      <c r="Q31" s="378">
        <f t="shared" si="4"/>
        <v>0</v>
      </c>
      <c r="R31" s="352">
        <v>0</v>
      </c>
      <c r="S31" s="357">
        <f t="shared" si="5"/>
        <v>12986.2</v>
      </c>
      <c r="T31" s="459">
        <f t="shared" si="6"/>
        <v>0</v>
      </c>
    </row>
    <row r="32" spans="5:20" ht="20.25" customHeight="1">
      <c r="E32" s="351" t="s">
        <v>919</v>
      </c>
      <c r="F32" s="558">
        <f>+AR58</f>
        <v>14921.800000000003</v>
      </c>
      <c r="G32" s="559"/>
      <c r="H32" s="559"/>
      <c r="I32" s="560">
        <f>+AS50</f>
        <v>0.36471739334396647</v>
      </c>
      <c r="J32" s="560">
        <f>+AS51</f>
        <v>4.7080110978568256E-2</v>
      </c>
      <c r="K32" s="563">
        <f>+AS57</f>
        <v>0.58820249567746508</v>
      </c>
      <c r="L32" s="562"/>
      <c r="M32" s="562"/>
      <c r="N32" s="378">
        <f t="shared" si="1"/>
        <v>5442.24</v>
      </c>
      <c r="O32" s="378">
        <f t="shared" si="2"/>
        <v>702.52</v>
      </c>
      <c r="P32" s="378">
        <f t="shared" si="3"/>
        <v>8777.0400000000009</v>
      </c>
      <c r="Q32" s="378">
        <f t="shared" si="4"/>
        <v>0</v>
      </c>
      <c r="R32" s="352">
        <v>0</v>
      </c>
      <c r="S32" s="357">
        <f t="shared" si="5"/>
        <v>14921.800000000001</v>
      </c>
      <c r="T32" s="459">
        <f t="shared" si="6"/>
        <v>0</v>
      </c>
    </row>
    <row r="33" spans="5:49" ht="20.25" customHeight="1">
      <c r="E33" s="351" t="s">
        <v>1025</v>
      </c>
      <c r="F33" s="564">
        <f>+AT58</f>
        <v>2252.25</v>
      </c>
      <c r="G33" s="556"/>
      <c r="H33" s="556"/>
      <c r="I33" s="562">
        <f>+AU50</f>
        <v>0.7056277056277056</v>
      </c>
      <c r="J33" s="562">
        <f>+AU51</f>
        <v>0</v>
      </c>
      <c r="K33" s="565">
        <f>+AU57</f>
        <v>0.2943722943722944</v>
      </c>
      <c r="L33" s="562"/>
      <c r="M33" s="562"/>
      <c r="N33" s="378">
        <f t="shared" ref="N33:N34" si="7">$F33*I33</f>
        <v>1589.25</v>
      </c>
      <c r="O33" s="378">
        <f t="shared" ref="O33:O34" si="8">$F33*J33</f>
        <v>0</v>
      </c>
      <c r="P33" s="378">
        <f t="shared" ref="P33:P34" si="9">$F33*K33</f>
        <v>663</v>
      </c>
      <c r="Q33" s="378">
        <f t="shared" ref="Q33:Q34" si="10">$F33*L33</f>
        <v>0</v>
      </c>
      <c r="R33" s="352">
        <v>1</v>
      </c>
      <c r="S33" s="357">
        <f t="shared" ref="S33:S34" si="11">Q33+P33+O33+N33</f>
        <v>2252.25</v>
      </c>
      <c r="T33" s="459">
        <f t="shared" ref="T33:T34" si="12">F33-S33</f>
        <v>0</v>
      </c>
      <c r="U33" s="336"/>
      <c r="V33" s="336"/>
      <c r="W33" s="336"/>
      <c r="X33" s="336"/>
      <c r="Y33" s="336"/>
      <c r="Z33" s="336"/>
      <c r="AA33" s="336"/>
      <c r="AB33" s="336"/>
      <c r="AC33" s="336"/>
      <c r="AD33" s="336"/>
      <c r="AE33" s="336"/>
      <c r="AF33" s="336"/>
      <c r="AG33" s="336"/>
      <c r="AH33" s="336"/>
      <c r="AI33" s="336"/>
      <c r="AJ33" s="336"/>
      <c r="AK33" s="336"/>
      <c r="AL33" s="336"/>
      <c r="AM33" s="336"/>
    </row>
    <row r="34" spans="5:49" ht="20.25" customHeight="1">
      <c r="E34" s="351" t="s">
        <v>1026</v>
      </c>
      <c r="F34" s="564">
        <f>+AV58</f>
        <v>783.25</v>
      </c>
      <c r="G34" s="556"/>
      <c r="H34" s="556"/>
      <c r="I34" s="562">
        <f>+AW50</f>
        <v>0.34439834024896265</v>
      </c>
      <c r="J34" s="562">
        <f>+AW51</f>
        <v>0.11618257261410789</v>
      </c>
      <c r="K34" s="565">
        <f>+AW57</f>
        <v>0.53941908713692943</v>
      </c>
      <c r="L34" s="562"/>
      <c r="M34" s="562"/>
      <c r="N34" s="378">
        <f t="shared" si="7"/>
        <v>269.75</v>
      </c>
      <c r="O34" s="378">
        <f t="shared" si="8"/>
        <v>91</v>
      </c>
      <c r="P34" s="378">
        <f t="shared" si="9"/>
        <v>422.5</v>
      </c>
      <c r="Q34" s="378">
        <f t="shared" si="10"/>
        <v>0</v>
      </c>
      <c r="R34" s="352">
        <v>2</v>
      </c>
      <c r="S34" s="357">
        <f t="shared" si="11"/>
        <v>783.25</v>
      </c>
      <c r="T34" s="459">
        <f t="shared" si="12"/>
        <v>0</v>
      </c>
      <c r="U34" s="336"/>
      <c r="V34" s="336"/>
      <c r="W34" s="336"/>
      <c r="X34" s="336"/>
      <c r="Y34" s="336"/>
      <c r="Z34" s="336"/>
      <c r="AA34" s="336"/>
      <c r="AB34" s="336"/>
      <c r="AC34" s="336"/>
      <c r="AD34" s="336"/>
      <c r="AE34" s="336"/>
      <c r="AF34" s="336"/>
      <c r="AG34" s="336"/>
      <c r="AH34" s="336"/>
      <c r="AI34" s="336"/>
      <c r="AJ34" s="336"/>
      <c r="AK34" s="336"/>
      <c r="AL34" s="336"/>
      <c r="AM34" s="336"/>
    </row>
    <row r="35" spans="5:49" ht="20.25" customHeight="1">
      <c r="E35" s="351"/>
      <c r="F35" s="564"/>
      <c r="G35" s="556"/>
      <c r="H35" s="556"/>
      <c r="I35" s="562"/>
      <c r="J35" s="562"/>
      <c r="K35" s="565"/>
      <c r="L35" s="562"/>
      <c r="M35" s="562"/>
      <c r="N35" s="378">
        <v>0</v>
      </c>
      <c r="O35" s="378">
        <v>0</v>
      </c>
      <c r="P35" s="378">
        <v>0</v>
      </c>
      <c r="Q35" s="340">
        <v>0</v>
      </c>
      <c r="R35" s="352">
        <v>0</v>
      </c>
      <c r="S35" s="357"/>
      <c r="T35" s="336"/>
      <c r="U35" s="336"/>
      <c r="V35" s="336"/>
      <c r="W35" s="336"/>
      <c r="X35" s="336"/>
      <c r="Y35" s="336"/>
      <c r="Z35" s="336"/>
      <c r="AA35" s="336"/>
      <c r="AB35" s="336"/>
      <c r="AC35" s="336"/>
      <c r="AD35" s="336"/>
      <c r="AE35" s="336"/>
      <c r="AF35" s="336"/>
      <c r="AG35" s="336"/>
      <c r="AH35" s="336"/>
      <c r="AI35" s="336"/>
      <c r="AJ35" s="336"/>
      <c r="AK35" s="336"/>
      <c r="AL35" s="336"/>
      <c r="AM35" s="336"/>
    </row>
    <row r="36" spans="5:49" ht="20.25" customHeight="1">
      <c r="E36" s="351"/>
      <c r="F36" s="564"/>
      <c r="G36" s="556"/>
      <c r="H36" s="556"/>
      <c r="I36" s="562"/>
      <c r="J36" s="562"/>
      <c r="K36" s="565"/>
      <c r="L36" s="562"/>
      <c r="M36" s="562"/>
      <c r="N36" s="378">
        <v>0</v>
      </c>
      <c r="O36" s="378">
        <v>0</v>
      </c>
      <c r="P36" s="378">
        <v>0</v>
      </c>
      <c r="Q36" s="340">
        <v>0</v>
      </c>
      <c r="R36" s="352">
        <v>0</v>
      </c>
      <c r="S36" s="357"/>
      <c r="T36" s="336"/>
      <c r="U36" s="336"/>
      <c r="V36" s="336"/>
      <c r="W36" s="336"/>
      <c r="X36" s="336"/>
      <c r="Y36" s="336"/>
      <c r="Z36" s="336"/>
      <c r="AA36" s="336"/>
      <c r="AB36" s="336"/>
      <c r="AC36" s="336"/>
      <c r="AD36" s="336"/>
      <c r="AE36" s="336"/>
      <c r="AF36" s="336"/>
      <c r="AG36" s="336"/>
      <c r="AH36" s="336"/>
      <c r="AI36" s="336"/>
      <c r="AJ36" s="336"/>
      <c r="AK36" s="336"/>
      <c r="AL36" s="336"/>
      <c r="AM36" s="336"/>
    </row>
    <row r="37" spans="5:49" ht="20.25" customHeight="1">
      <c r="E37" s="351"/>
      <c r="F37" s="564"/>
      <c r="G37" s="556"/>
      <c r="H37" s="556"/>
      <c r="I37" s="562"/>
      <c r="J37" s="562"/>
      <c r="K37" s="565"/>
      <c r="L37" s="562"/>
      <c r="M37" s="562"/>
      <c r="N37" s="378">
        <v>0</v>
      </c>
      <c r="O37" s="378">
        <v>0</v>
      </c>
      <c r="P37" s="378">
        <v>0</v>
      </c>
      <c r="Q37" s="340">
        <v>0</v>
      </c>
      <c r="R37" s="352">
        <v>0</v>
      </c>
      <c r="S37" s="357"/>
      <c r="T37" s="336"/>
      <c r="U37" s="336"/>
      <c r="V37" s="336"/>
      <c r="W37" s="336"/>
      <c r="X37" s="336"/>
      <c r="Y37" s="336"/>
      <c r="Z37" s="336"/>
      <c r="AA37" s="336"/>
      <c r="AB37" s="336"/>
      <c r="AC37" s="336"/>
      <c r="AD37" s="336"/>
      <c r="AE37" s="336"/>
      <c r="AF37" s="336"/>
      <c r="AG37" s="336"/>
      <c r="AH37" s="336"/>
      <c r="AI37" s="336"/>
      <c r="AJ37" s="336"/>
      <c r="AK37" s="336"/>
      <c r="AL37" s="336"/>
      <c r="AM37" s="336"/>
    </row>
    <row r="38" spans="5:49" ht="20.25" customHeight="1">
      <c r="E38" s="351"/>
      <c r="F38" s="564"/>
      <c r="G38" s="556"/>
      <c r="H38" s="556"/>
      <c r="I38" s="562"/>
      <c r="J38" s="562"/>
      <c r="K38" s="565"/>
      <c r="L38" s="562"/>
      <c r="M38" s="562"/>
      <c r="N38" s="378">
        <v>0</v>
      </c>
      <c r="O38" s="378">
        <v>0</v>
      </c>
      <c r="P38" s="378">
        <v>0</v>
      </c>
      <c r="Q38" s="340">
        <v>0</v>
      </c>
      <c r="R38" s="352">
        <v>0</v>
      </c>
      <c r="S38" s="357"/>
      <c r="T38" s="336"/>
      <c r="U38" s="336"/>
      <c r="V38" s="336"/>
      <c r="W38" s="336"/>
      <c r="X38" s="336"/>
      <c r="Y38" s="336"/>
      <c r="Z38" s="336"/>
      <c r="AA38" s="336"/>
      <c r="AB38" s="336"/>
      <c r="AC38" s="336"/>
      <c r="AD38" s="336"/>
      <c r="AE38" s="336"/>
      <c r="AF38" s="336"/>
      <c r="AG38" s="336"/>
      <c r="AH38" s="336"/>
      <c r="AI38" s="336"/>
      <c r="AJ38" s="336"/>
      <c r="AK38" s="336"/>
      <c r="AL38" s="336"/>
      <c r="AM38" s="336"/>
    </row>
    <row r="39" spans="5:49" ht="20.25" customHeight="1" thickBot="1">
      <c r="E39" s="353"/>
      <c r="F39" s="566"/>
      <c r="G39" s="567"/>
      <c r="H39" s="567"/>
      <c r="I39" s="568"/>
      <c r="J39" s="568"/>
      <c r="K39" s="568"/>
      <c r="L39" s="568"/>
      <c r="M39" s="568"/>
      <c r="N39" s="378">
        <v>0</v>
      </c>
      <c r="O39" s="378">
        <v>0</v>
      </c>
      <c r="P39" s="378">
        <v>0</v>
      </c>
      <c r="Q39" s="340">
        <v>0</v>
      </c>
      <c r="R39" s="352">
        <v>0</v>
      </c>
      <c r="S39" s="357"/>
      <c r="T39" s="336"/>
      <c r="U39" s="336"/>
      <c r="V39" s="336"/>
      <c r="W39" s="336"/>
      <c r="X39" s="336"/>
      <c r="Y39" s="336"/>
      <c r="Z39" s="336"/>
      <c r="AA39" s="336"/>
      <c r="AB39" s="336"/>
      <c r="AC39" s="336"/>
      <c r="AD39" s="336"/>
      <c r="AE39" s="336"/>
      <c r="AF39" s="336"/>
      <c r="AG39" s="336"/>
      <c r="AH39" s="336"/>
      <c r="AI39" s="336"/>
      <c r="AJ39" s="336"/>
      <c r="AK39" s="336"/>
      <c r="AL39" s="336"/>
      <c r="AM39" s="336"/>
    </row>
    <row r="40" spans="5:49" ht="17.25" thickTop="1" thickBot="1">
      <c r="E40" s="354" t="s">
        <v>324</v>
      </c>
      <c r="F40" s="379">
        <f>SUM(F20:F39)</f>
        <v>120538.43</v>
      </c>
      <c r="G40" s="355"/>
      <c r="H40" s="355"/>
      <c r="I40" s="356"/>
      <c r="J40" s="356"/>
      <c r="K40" s="356"/>
      <c r="L40" s="356"/>
      <c r="M40" s="356"/>
      <c r="N40" s="379">
        <f t="shared" ref="N40:S40" si="13">SUM(N20:N39)</f>
        <v>55829.749999999993</v>
      </c>
      <c r="O40" s="379">
        <f t="shared" si="13"/>
        <v>5565.01</v>
      </c>
      <c r="P40" s="379">
        <f t="shared" si="13"/>
        <v>59143.67</v>
      </c>
      <c r="Q40" s="379">
        <f t="shared" si="13"/>
        <v>0</v>
      </c>
      <c r="R40" s="379">
        <f t="shared" si="13"/>
        <v>3</v>
      </c>
      <c r="S40" s="357">
        <f t="shared" si="13"/>
        <v>120538.43</v>
      </c>
      <c r="T40" s="336"/>
      <c r="U40" s="336"/>
      <c r="V40" s="336"/>
      <c r="W40" s="336"/>
      <c r="X40" s="336"/>
      <c r="Y40" s="336"/>
      <c r="Z40" s="336"/>
      <c r="AA40" s="336"/>
      <c r="AB40" s="336"/>
      <c r="AC40" s="336"/>
      <c r="AD40" s="336"/>
      <c r="AE40" s="336"/>
      <c r="AF40" s="336"/>
      <c r="AG40" s="336"/>
      <c r="AH40" s="336"/>
      <c r="AI40" s="336"/>
      <c r="AJ40" s="336"/>
      <c r="AK40" s="336"/>
      <c r="AL40" s="336"/>
      <c r="AM40" s="336"/>
    </row>
    <row r="41" spans="5:49" ht="6.75" customHeight="1">
      <c r="E41" s="336"/>
      <c r="F41" s="336"/>
      <c r="G41" s="336"/>
      <c r="H41" s="336"/>
      <c r="I41" s="358"/>
      <c r="J41" s="358"/>
      <c r="K41" s="344"/>
      <c r="L41" s="358"/>
      <c r="M41" s="358"/>
      <c r="N41" s="359"/>
      <c r="O41" s="359"/>
      <c r="P41" s="359"/>
      <c r="Q41" s="359"/>
      <c r="R41" s="336"/>
      <c r="S41" s="336"/>
      <c r="T41" s="336"/>
      <c r="U41" s="336"/>
      <c r="V41" s="336"/>
      <c r="W41" s="336"/>
      <c r="X41" s="336"/>
      <c r="Y41" s="336"/>
      <c r="Z41" s="336"/>
      <c r="AA41" s="336"/>
      <c r="AB41" s="336"/>
      <c r="AC41" s="336"/>
      <c r="AD41" s="336"/>
      <c r="AE41" s="336"/>
      <c r="AF41" s="336"/>
      <c r="AG41" s="336"/>
      <c r="AH41" s="336"/>
      <c r="AI41" s="336"/>
      <c r="AJ41" s="336"/>
      <c r="AK41" s="336"/>
      <c r="AL41" s="336"/>
      <c r="AM41" s="336"/>
    </row>
    <row r="42" spans="5:49">
      <c r="E42" s="336"/>
      <c r="F42" s="336"/>
      <c r="G42" s="336"/>
      <c r="H42" s="336"/>
      <c r="I42" s="358"/>
      <c r="J42" s="358"/>
      <c r="K42" s="344"/>
      <c r="L42" s="358"/>
      <c r="M42" s="358"/>
      <c r="N42" s="359"/>
      <c r="O42" s="359"/>
      <c r="P42" s="359"/>
      <c r="Q42" s="359"/>
      <c r="R42" s="336"/>
      <c r="S42" s="336"/>
      <c r="T42" s="336"/>
      <c r="U42" s="336"/>
      <c r="V42" s="336"/>
      <c r="W42" s="336"/>
      <c r="X42" s="336"/>
      <c r="Y42" s="336"/>
      <c r="Z42" s="336"/>
      <c r="AA42" s="336"/>
      <c r="AB42" s="336"/>
      <c r="AC42" s="336"/>
      <c r="AD42" s="336"/>
      <c r="AE42" s="336"/>
      <c r="AF42" s="336"/>
      <c r="AG42" s="336"/>
      <c r="AH42" s="336"/>
      <c r="AI42" s="336"/>
      <c r="AJ42" s="336"/>
      <c r="AK42" s="336"/>
      <c r="AL42" s="336"/>
      <c r="AM42" s="336"/>
    </row>
    <row r="43" spans="5:49">
      <c r="E43" s="336"/>
      <c r="F43" s="336"/>
      <c r="G43" s="336"/>
      <c r="H43" s="336"/>
      <c r="I43" s="358"/>
      <c r="J43" s="358"/>
      <c r="K43" s="344"/>
      <c r="L43" s="358"/>
      <c r="M43" s="358"/>
      <c r="N43" s="359"/>
      <c r="O43" s="359"/>
      <c r="P43" s="359"/>
      <c r="Q43" s="359"/>
      <c r="R43" s="336"/>
      <c r="S43" s="384" t="s">
        <v>838</v>
      </c>
      <c r="T43" s="381">
        <v>2</v>
      </c>
      <c r="U43" s="381" t="s">
        <v>758</v>
      </c>
      <c r="V43" s="381">
        <v>4</v>
      </c>
      <c r="W43" s="381" t="s">
        <v>758</v>
      </c>
      <c r="X43" s="381">
        <v>11</v>
      </c>
      <c r="Y43" s="381" t="s">
        <v>758</v>
      </c>
      <c r="Z43" s="381">
        <v>17</v>
      </c>
      <c r="AA43" s="381" t="s">
        <v>758</v>
      </c>
      <c r="AB43" s="381">
        <v>19</v>
      </c>
      <c r="AC43" s="381" t="s">
        <v>758</v>
      </c>
      <c r="AD43" s="381">
        <v>24</v>
      </c>
      <c r="AE43" s="381" t="s">
        <v>758</v>
      </c>
      <c r="AF43" s="381">
        <v>29</v>
      </c>
      <c r="AG43" s="381" t="s">
        <v>758</v>
      </c>
      <c r="AH43" s="381">
        <v>42</v>
      </c>
      <c r="AI43" s="381" t="s">
        <v>758</v>
      </c>
      <c r="AJ43" s="381">
        <v>45</v>
      </c>
      <c r="AK43" s="381" t="s">
        <v>758</v>
      </c>
      <c r="AL43" s="1">
        <v>47</v>
      </c>
      <c r="AM43" s="381" t="s">
        <v>758</v>
      </c>
      <c r="AN43" s="381">
        <v>50</v>
      </c>
      <c r="AO43" s="381" t="s">
        <v>758</v>
      </c>
      <c r="AP43" s="1">
        <v>52</v>
      </c>
      <c r="AQ43" s="381" t="s">
        <v>758</v>
      </c>
      <c r="AR43" s="29">
        <v>53</v>
      </c>
      <c r="AS43" s="2" t="s">
        <v>758</v>
      </c>
      <c r="AT43" s="29">
        <v>55</v>
      </c>
      <c r="AU43" s="2" t="s">
        <v>758</v>
      </c>
      <c r="AV43" s="29">
        <v>56</v>
      </c>
      <c r="AW43" s="2" t="s">
        <v>758</v>
      </c>
    </row>
    <row r="44" spans="5:49">
      <c r="E44" s="336"/>
      <c r="F44" s="336"/>
      <c r="G44" s="336"/>
      <c r="H44" s="336"/>
      <c r="I44" s="358"/>
      <c r="J44" s="336"/>
      <c r="K44" s="336"/>
      <c r="L44" s="578" t="s">
        <v>364</v>
      </c>
      <c r="M44" s="570"/>
      <c r="N44" s="571">
        <v>2266.17</v>
      </c>
      <c r="O44" s="571"/>
      <c r="P44" s="571"/>
      <c r="Q44" s="572"/>
      <c r="R44" s="573">
        <f>+T44+V44+X44+Z44+AB44+AD44+AF44+AH44+AN44+AJ44+AL44+AP44+AR44+AT44+AV44</f>
        <v>2266.17</v>
      </c>
      <c r="S44" s="572"/>
      <c r="T44" s="571">
        <v>320.13</v>
      </c>
      <c r="U44" s="574"/>
      <c r="V44" s="571">
        <v>686.7</v>
      </c>
      <c r="W44" s="574"/>
      <c r="X44" s="575">
        <v>0</v>
      </c>
      <c r="Y44" s="574"/>
      <c r="Z44" s="575">
        <v>0</v>
      </c>
      <c r="AA44" s="574"/>
      <c r="AB44" s="575">
        <v>281.16000000000003</v>
      </c>
      <c r="AC44" s="574"/>
      <c r="AD44" s="575">
        <v>177.85</v>
      </c>
      <c r="AE44" s="574"/>
      <c r="AF44" s="575">
        <v>355.7</v>
      </c>
      <c r="AG44" s="574"/>
      <c r="AH44" s="575">
        <v>0</v>
      </c>
      <c r="AI44" s="574"/>
      <c r="AJ44" s="575">
        <v>0</v>
      </c>
      <c r="AK44" s="574"/>
      <c r="AL44" s="575"/>
      <c r="AM44" s="249"/>
      <c r="AN44" s="575">
        <v>0</v>
      </c>
      <c r="AO44" s="574"/>
      <c r="AP44" s="575"/>
      <c r="AQ44" s="249"/>
      <c r="AR44" s="28">
        <v>444.63</v>
      </c>
      <c r="AS44" s="28"/>
      <c r="AT44" s="575">
        <v>0</v>
      </c>
      <c r="AU44" s="28"/>
      <c r="AV44" s="575">
        <v>0</v>
      </c>
      <c r="AW44" s="28"/>
    </row>
    <row r="45" spans="5:49">
      <c r="E45" s="336"/>
      <c r="F45" s="336"/>
      <c r="G45" s="336"/>
      <c r="H45" s="336"/>
      <c r="I45" s="358"/>
      <c r="J45" s="336"/>
      <c r="K45" s="336"/>
      <c r="L45" s="569" t="s">
        <v>834</v>
      </c>
      <c r="M45" s="570"/>
      <c r="N45" s="571">
        <v>50.93</v>
      </c>
      <c r="O45" s="571"/>
      <c r="P45" s="571"/>
      <c r="Q45" s="572"/>
      <c r="R45" s="573">
        <f t="shared" ref="R45:R57" si="14">+T45+V45+X45+Z45+AB45+AD45+AF45+AH45+AN45+AJ45+AL45+AP45+AR45+AT45+AV45</f>
        <v>50.93</v>
      </c>
      <c r="S45" s="572"/>
      <c r="T45" s="571">
        <v>0</v>
      </c>
      <c r="U45" s="574"/>
      <c r="V45" s="571">
        <v>38.15</v>
      </c>
      <c r="W45" s="574"/>
      <c r="X45" s="575">
        <v>0</v>
      </c>
      <c r="Y45" s="574"/>
      <c r="Z45" s="575">
        <v>12.78</v>
      </c>
      <c r="AA45" s="574"/>
      <c r="AB45" s="575">
        <v>0</v>
      </c>
      <c r="AC45" s="574"/>
      <c r="AD45" s="575">
        <v>0</v>
      </c>
      <c r="AE45" s="574"/>
      <c r="AF45" s="575">
        <v>0</v>
      </c>
      <c r="AG45" s="574"/>
      <c r="AH45" s="575">
        <v>0</v>
      </c>
      <c r="AI45" s="574"/>
      <c r="AJ45" s="575">
        <v>0</v>
      </c>
      <c r="AK45" s="574"/>
      <c r="AL45" s="575"/>
      <c r="AM45" s="249"/>
      <c r="AN45" s="575">
        <v>0</v>
      </c>
      <c r="AO45" s="574"/>
      <c r="AP45" s="575"/>
      <c r="AQ45" s="249"/>
      <c r="AR45" s="28">
        <v>0</v>
      </c>
      <c r="AS45" s="28"/>
      <c r="AT45" s="575">
        <v>0</v>
      </c>
      <c r="AU45" s="28"/>
      <c r="AV45" s="575">
        <v>0</v>
      </c>
      <c r="AW45" s="28"/>
    </row>
    <row r="46" spans="5:49">
      <c r="E46" s="336"/>
      <c r="F46" s="336"/>
      <c r="G46" s="336"/>
      <c r="H46" s="336"/>
      <c r="I46" s="358"/>
      <c r="J46" s="336"/>
      <c r="K46" s="336"/>
      <c r="L46" s="569" t="s">
        <v>835</v>
      </c>
      <c r="M46" s="576"/>
      <c r="N46" s="571">
        <v>11508.7</v>
      </c>
      <c r="O46" s="571"/>
      <c r="P46" s="571"/>
      <c r="Q46" s="572"/>
      <c r="R46" s="573">
        <f t="shared" si="14"/>
        <v>11508.699999999999</v>
      </c>
      <c r="S46" s="577"/>
      <c r="T46" s="571">
        <v>1618.43</v>
      </c>
      <c r="U46" s="574"/>
      <c r="V46" s="571">
        <v>228.9</v>
      </c>
      <c r="W46" s="574"/>
      <c r="X46" s="575">
        <v>0</v>
      </c>
      <c r="Y46" s="574"/>
      <c r="Z46" s="575">
        <v>217.26</v>
      </c>
      <c r="AA46" s="574"/>
      <c r="AB46" s="575">
        <v>715.68</v>
      </c>
      <c r="AC46" s="574"/>
      <c r="AD46" s="575">
        <v>853.68</v>
      </c>
      <c r="AE46" s="574"/>
      <c r="AF46" s="575">
        <v>320.14</v>
      </c>
      <c r="AG46" s="574"/>
      <c r="AH46" s="575">
        <v>92.4</v>
      </c>
      <c r="AI46" s="574"/>
      <c r="AJ46" s="575">
        <v>1760.72</v>
      </c>
      <c r="AK46" s="574"/>
      <c r="AL46" s="575"/>
      <c r="AM46" s="249"/>
      <c r="AN46" s="575">
        <v>0</v>
      </c>
      <c r="AO46" s="574"/>
      <c r="AP46" s="575">
        <v>3887.41</v>
      </c>
      <c r="AQ46" s="249"/>
      <c r="AR46" s="28">
        <v>1814.08</v>
      </c>
      <c r="AS46" s="28"/>
      <c r="AT46" s="575">
        <v>0</v>
      </c>
      <c r="AU46" s="28"/>
      <c r="AV46" s="575">
        <v>0</v>
      </c>
      <c r="AW46" s="28"/>
    </row>
    <row r="47" spans="5:49">
      <c r="E47" s="336"/>
      <c r="F47" s="336"/>
      <c r="G47" s="336"/>
      <c r="H47" s="336"/>
      <c r="I47" s="358"/>
      <c r="J47" s="336"/>
      <c r="K47" s="336"/>
      <c r="L47" s="569" t="s">
        <v>836</v>
      </c>
      <c r="M47" s="576"/>
      <c r="N47" s="571">
        <v>21387.47</v>
      </c>
      <c r="O47" s="571"/>
      <c r="P47" s="571"/>
      <c r="Q47" s="572"/>
      <c r="R47" s="573">
        <f t="shared" si="14"/>
        <v>21387.47</v>
      </c>
      <c r="S47" s="577"/>
      <c r="T47" s="571">
        <v>1138.24</v>
      </c>
      <c r="U47" s="574"/>
      <c r="V47" s="571">
        <v>2451.16</v>
      </c>
      <c r="W47" s="574"/>
      <c r="X47" s="575">
        <v>0</v>
      </c>
      <c r="Y47" s="574"/>
      <c r="Z47" s="575">
        <v>1987.29</v>
      </c>
      <c r="AA47" s="574"/>
      <c r="AB47" s="575">
        <v>817.92</v>
      </c>
      <c r="AC47" s="574"/>
      <c r="AD47" s="575">
        <v>1031.53</v>
      </c>
      <c r="AE47" s="574"/>
      <c r="AF47" s="575">
        <v>924.83</v>
      </c>
      <c r="AG47" s="574"/>
      <c r="AH47" s="575">
        <v>0</v>
      </c>
      <c r="AI47" s="574"/>
      <c r="AJ47" s="575">
        <v>1796.29</v>
      </c>
      <c r="AK47" s="574"/>
      <c r="AL47" s="575"/>
      <c r="AM47" s="249"/>
      <c r="AN47" s="575">
        <v>0</v>
      </c>
      <c r="AO47" s="574"/>
      <c r="AP47" s="575">
        <v>9098.7900000000009</v>
      </c>
      <c r="AQ47" s="249"/>
      <c r="AR47" s="28">
        <v>1351.67</v>
      </c>
      <c r="AS47" s="28"/>
      <c r="AT47" s="575">
        <v>689</v>
      </c>
      <c r="AU47" s="28"/>
      <c r="AV47" s="575">
        <v>100.75</v>
      </c>
      <c r="AW47" s="28"/>
    </row>
    <row r="48" spans="5:49">
      <c r="E48" s="336"/>
      <c r="F48" s="336"/>
      <c r="G48" s="336"/>
      <c r="H48" s="336"/>
      <c r="I48" s="358"/>
      <c r="J48" s="336"/>
      <c r="K48" s="336"/>
      <c r="L48" s="569" t="s">
        <v>825</v>
      </c>
      <c r="M48" s="570"/>
      <c r="N48" s="571">
        <v>14350.02</v>
      </c>
      <c r="O48" s="571"/>
      <c r="P48" s="571"/>
      <c r="Q48" s="572"/>
      <c r="R48" s="573">
        <f t="shared" si="14"/>
        <v>14350.02</v>
      </c>
      <c r="S48" s="577"/>
      <c r="T48" s="571">
        <v>1316.15</v>
      </c>
      <c r="U48" s="574"/>
      <c r="V48" s="571">
        <v>3319.12</v>
      </c>
      <c r="W48" s="574"/>
      <c r="X48" s="575">
        <v>0</v>
      </c>
      <c r="Y48" s="574"/>
      <c r="Z48" s="575">
        <v>920.16</v>
      </c>
      <c r="AA48" s="574"/>
      <c r="AB48" s="575">
        <v>1597.5</v>
      </c>
      <c r="AC48" s="574"/>
      <c r="AD48" s="575">
        <v>2347.62</v>
      </c>
      <c r="AE48" s="574"/>
      <c r="AF48" s="575">
        <v>2169.79</v>
      </c>
      <c r="AG48" s="574"/>
      <c r="AH48" s="575">
        <v>0</v>
      </c>
      <c r="AI48" s="574"/>
      <c r="AJ48" s="575">
        <v>320.13</v>
      </c>
      <c r="AK48" s="574"/>
      <c r="AL48" s="575"/>
      <c r="AM48" s="249"/>
      <c r="AN48" s="575">
        <v>535.20000000000005</v>
      </c>
      <c r="AO48" s="574"/>
      <c r="AP48" s="575"/>
      <c r="AQ48" s="249"/>
      <c r="AR48" s="28">
        <v>1067.0999999999999</v>
      </c>
      <c r="AS48" s="28"/>
      <c r="AT48" s="575">
        <v>757.25</v>
      </c>
      <c r="AU48" s="28"/>
      <c r="AV48" s="575">
        <v>0</v>
      </c>
      <c r="AW48" s="28"/>
    </row>
    <row r="49" spans="5:49">
      <c r="E49" s="336"/>
      <c r="F49" s="336"/>
      <c r="G49" s="336"/>
      <c r="H49" s="336"/>
      <c r="I49" s="358"/>
      <c r="J49" s="336"/>
      <c r="K49" s="336"/>
      <c r="L49" s="569" t="s">
        <v>837</v>
      </c>
      <c r="M49" s="570"/>
      <c r="N49" s="571">
        <v>1319.55</v>
      </c>
      <c r="O49" s="571"/>
      <c r="P49" s="571"/>
      <c r="Q49" s="572"/>
      <c r="R49" s="573">
        <f t="shared" si="14"/>
        <v>1319.55</v>
      </c>
      <c r="S49" s="577"/>
      <c r="T49" s="571">
        <v>284.57</v>
      </c>
      <c r="U49" s="574"/>
      <c r="V49" s="571">
        <v>0</v>
      </c>
      <c r="W49" s="574"/>
      <c r="X49" s="571">
        <v>0</v>
      </c>
      <c r="Y49" s="574"/>
      <c r="Z49" s="571">
        <v>447.3</v>
      </c>
      <c r="AA49" s="574"/>
      <c r="AB49" s="571">
        <v>76.680000000000007</v>
      </c>
      <c r="AC49" s="574"/>
      <c r="AD49" s="571">
        <v>0</v>
      </c>
      <c r="AE49" s="574"/>
      <c r="AF49" s="571">
        <v>17.79</v>
      </c>
      <c r="AG49" s="574"/>
      <c r="AH49" s="571">
        <v>30.8</v>
      </c>
      <c r="AI49" s="574"/>
      <c r="AJ49" s="571">
        <v>320.13</v>
      </c>
      <c r="AK49" s="574"/>
      <c r="AL49" s="571"/>
      <c r="AM49" s="249"/>
      <c r="AN49" s="571">
        <v>0</v>
      </c>
      <c r="AO49" s="574"/>
      <c r="AP49" s="571"/>
      <c r="AQ49" s="249"/>
      <c r="AR49" s="28">
        <v>142.28</v>
      </c>
      <c r="AS49" s="28"/>
      <c r="AT49" s="571">
        <v>0</v>
      </c>
      <c r="AU49" s="28"/>
      <c r="AV49" s="571">
        <v>0</v>
      </c>
      <c r="AW49" s="28"/>
    </row>
    <row r="50" spans="5:49">
      <c r="E50" s="336"/>
      <c r="F50" s="336"/>
      <c r="G50" s="336"/>
      <c r="H50" s="336"/>
      <c r="I50" s="358"/>
      <c r="J50" s="336"/>
      <c r="K50" s="336"/>
      <c r="L50" s="569" t="s">
        <v>826</v>
      </c>
      <c r="M50" s="570"/>
      <c r="N50" s="571">
        <v>4946.91</v>
      </c>
      <c r="O50" s="571"/>
      <c r="P50" s="571"/>
      <c r="Q50" s="572"/>
      <c r="R50" s="573">
        <f t="shared" si="14"/>
        <v>4946.91</v>
      </c>
      <c r="S50" s="572"/>
      <c r="T50" s="571">
        <v>755.87</v>
      </c>
      <c r="U50" s="574">
        <f>SUM(T44:T50)/T58</f>
        <v>0.35236380686427798</v>
      </c>
      <c r="V50" s="571">
        <v>1678.61</v>
      </c>
      <c r="W50" s="574">
        <f>SUM(V44:V50)/V58</f>
        <v>0.45647766461171391</v>
      </c>
      <c r="X50" s="571">
        <v>0</v>
      </c>
      <c r="Y50" s="574" t="e">
        <f>SUM(X44:X50)/X58</f>
        <v>#DIV/0!</v>
      </c>
      <c r="Z50" s="571">
        <v>293.94</v>
      </c>
      <c r="AA50" s="574">
        <f>SUM(Z44:Z50)/Z58</f>
        <v>0.4543413173652695</v>
      </c>
      <c r="AB50" s="571">
        <v>0</v>
      </c>
      <c r="AC50" s="574">
        <f>SUM(AB44:AB50)/AB58</f>
        <v>0.60198456449834603</v>
      </c>
      <c r="AD50" s="571">
        <v>0</v>
      </c>
      <c r="AE50" s="574">
        <f>SUM(AD44:AD50)/AD58</f>
        <v>0.74586119312628307</v>
      </c>
      <c r="AF50" s="571">
        <v>426.85</v>
      </c>
      <c r="AG50" s="574">
        <f>SUM(AF44:AF50)/AF58</f>
        <v>0.36829665744854673</v>
      </c>
      <c r="AH50" s="571">
        <v>92.4</v>
      </c>
      <c r="AI50" s="574">
        <f>SUM(AH44:AH50)/AH58</f>
        <v>3.5175879396984924E-2</v>
      </c>
      <c r="AJ50" s="571">
        <v>764.76</v>
      </c>
      <c r="AK50" s="574">
        <f>SUM(AJ44:AJ50)/AJ58</f>
        <v>0.28674066480438537</v>
      </c>
      <c r="AL50" s="571"/>
      <c r="AM50" s="574">
        <f>SUM(AL44:AL50)/AL58</f>
        <v>0</v>
      </c>
      <c r="AN50" s="571">
        <v>0</v>
      </c>
      <c r="AO50" s="574">
        <f>SUM(AN44:AN50)/AN58</f>
        <v>1</v>
      </c>
      <c r="AP50" s="571"/>
      <c r="AQ50" s="574">
        <f>SUM(AP44:AP50)/AP58</f>
        <v>1</v>
      </c>
      <c r="AR50" s="28">
        <v>622.48</v>
      </c>
      <c r="AS50" s="574">
        <f>SUM(AR44:AR50)/AR58</f>
        <v>0.36471739334396647</v>
      </c>
      <c r="AT50" s="571">
        <v>143</v>
      </c>
      <c r="AU50" s="574">
        <f>SUM(AT44:AT50)/AT58</f>
        <v>0.7056277056277056</v>
      </c>
      <c r="AV50" s="571">
        <v>169</v>
      </c>
      <c r="AW50" s="574">
        <f>SUM(AV44:AV50)/AV58</f>
        <v>0.34439834024896265</v>
      </c>
    </row>
    <row r="51" spans="5:49">
      <c r="E51" s="336"/>
      <c r="F51" s="336"/>
      <c r="G51" s="336"/>
      <c r="H51" s="336"/>
      <c r="I51" s="358"/>
      <c r="J51" s="336"/>
      <c r="K51" s="336"/>
      <c r="L51" s="569" t="s">
        <v>827</v>
      </c>
      <c r="M51" s="570"/>
      <c r="N51" s="571"/>
      <c r="O51" s="571">
        <v>5565.01</v>
      </c>
      <c r="P51" s="571">
        <v>0</v>
      </c>
      <c r="Q51" s="572"/>
      <c r="R51" s="573">
        <f t="shared" si="14"/>
        <v>5565.01</v>
      </c>
      <c r="S51" s="572"/>
      <c r="T51" s="571">
        <v>142.28</v>
      </c>
      <c r="U51" s="574">
        <f>+T51/T58</f>
        <v>9.2270796759756739E-3</v>
      </c>
      <c r="V51" s="571">
        <v>0</v>
      </c>
      <c r="W51" s="574">
        <f>+V51/V58</f>
        <v>0</v>
      </c>
      <c r="X51" s="575">
        <v>0</v>
      </c>
      <c r="Y51" s="574" t="e">
        <f>+X51/X58</f>
        <v>#DIV/0!</v>
      </c>
      <c r="Z51" s="575">
        <v>293.94</v>
      </c>
      <c r="AA51" s="574">
        <f>+Z51/Z58</f>
        <v>3.4431137724550899E-2</v>
      </c>
      <c r="AB51" s="575">
        <v>357.84</v>
      </c>
      <c r="AC51" s="574">
        <f>+AB51/AB58</f>
        <v>6.1742006615214985E-2</v>
      </c>
      <c r="AD51" s="575">
        <v>0</v>
      </c>
      <c r="AE51" s="574">
        <f>+AD51/AD58</f>
        <v>0</v>
      </c>
      <c r="AF51" s="575">
        <v>106.71</v>
      </c>
      <c r="AG51" s="574">
        <f>+AF51/AF58</f>
        <v>9.3238443492051001E-3</v>
      </c>
      <c r="AH51" s="575">
        <v>1878.8</v>
      </c>
      <c r="AI51" s="574">
        <f>+AH51/AH58</f>
        <v>0.30653266331658285</v>
      </c>
      <c r="AJ51" s="575">
        <v>1991.92</v>
      </c>
      <c r="AK51" s="574">
        <f>+AJ51/AJ58</f>
        <v>0.11510701568453864</v>
      </c>
      <c r="AL51" s="575"/>
      <c r="AM51" s="574">
        <f>+AL51/AL58</f>
        <v>0</v>
      </c>
      <c r="AN51" s="575">
        <v>0</v>
      </c>
      <c r="AO51" s="574">
        <f>+AN51/AN58</f>
        <v>0</v>
      </c>
      <c r="AP51" s="575"/>
      <c r="AQ51" s="574">
        <f>+AP51/AP58</f>
        <v>0</v>
      </c>
      <c r="AR51" s="28">
        <v>702.52</v>
      </c>
      <c r="AS51" s="574">
        <f>+AR51/AR58</f>
        <v>4.7080110978568256E-2</v>
      </c>
      <c r="AT51" s="575">
        <v>0</v>
      </c>
      <c r="AU51" s="574">
        <f>+AT51/AT58</f>
        <v>0</v>
      </c>
      <c r="AV51" s="575">
        <v>91</v>
      </c>
      <c r="AW51" s="574">
        <f>+AV51/AV58</f>
        <v>0.11618257261410789</v>
      </c>
    </row>
    <row r="52" spans="5:49">
      <c r="E52" s="336"/>
      <c r="F52" s="336"/>
      <c r="G52" s="336"/>
      <c r="H52" s="336"/>
      <c r="I52" s="358"/>
      <c r="J52" s="336"/>
      <c r="K52" s="336"/>
      <c r="L52" s="569" t="s">
        <v>828</v>
      </c>
      <c r="M52" s="572"/>
      <c r="N52" s="571"/>
      <c r="O52" s="571"/>
      <c r="P52" s="571">
        <v>27211.33</v>
      </c>
      <c r="Q52" s="572"/>
      <c r="R52" s="573">
        <f t="shared" si="14"/>
        <v>27211.33</v>
      </c>
      <c r="S52" s="577"/>
      <c r="T52" s="571">
        <v>4730.8900000000003</v>
      </c>
      <c r="U52" s="574"/>
      <c r="V52" s="571">
        <v>4368.24</v>
      </c>
      <c r="W52" s="574"/>
      <c r="X52" s="575">
        <v>0</v>
      </c>
      <c r="Y52" s="574"/>
      <c r="Z52" s="575">
        <v>1942.56</v>
      </c>
      <c r="AA52" s="574"/>
      <c r="AB52" s="575">
        <v>715.68</v>
      </c>
      <c r="AC52" s="574"/>
      <c r="AD52" s="575">
        <v>818.12</v>
      </c>
      <c r="AE52" s="574"/>
      <c r="AF52" s="575">
        <v>2827.86</v>
      </c>
      <c r="AG52" s="574"/>
      <c r="AH52" s="575">
        <v>231</v>
      </c>
      <c r="AI52" s="574"/>
      <c r="AJ52" s="575">
        <v>4828.7</v>
      </c>
      <c r="AK52" s="574"/>
      <c r="AL52" s="575">
        <v>107.04</v>
      </c>
      <c r="AM52" s="574"/>
      <c r="AN52" s="575">
        <v>0</v>
      </c>
      <c r="AO52" s="574"/>
      <c r="AP52" s="575"/>
      <c r="AQ52" s="574"/>
      <c r="AR52" s="28">
        <v>5984.74</v>
      </c>
      <c r="AS52" s="574"/>
      <c r="AT52" s="575">
        <v>357.5</v>
      </c>
      <c r="AU52" s="574"/>
      <c r="AV52" s="575">
        <v>299</v>
      </c>
      <c r="AW52" s="574"/>
    </row>
    <row r="53" spans="5:49">
      <c r="I53" s="358"/>
      <c r="J53" s="336"/>
      <c r="K53" s="336"/>
      <c r="L53" s="569" t="s">
        <v>829</v>
      </c>
      <c r="M53" s="572"/>
      <c r="N53" s="571"/>
      <c r="O53" s="571"/>
      <c r="P53" s="571">
        <v>8218.18</v>
      </c>
      <c r="Q53" s="572"/>
      <c r="R53" s="573">
        <f t="shared" si="14"/>
        <v>8218.18</v>
      </c>
      <c r="S53" s="577"/>
      <c r="T53" s="571">
        <v>515.79</v>
      </c>
      <c r="U53" s="574"/>
      <c r="V53" s="571">
        <v>3815</v>
      </c>
      <c r="W53" s="574"/>
      <c r="X53" s="575">
        <v>0</v>
      </c>
      <c r="Y53" s="574"/>
      <c r="Z53" s="575">
        <v>1757.25</v>
      </c>
      <c r="AA53" s="574"/>
      <c r="AB53" s="575">
        <v>364.23</v>
      </c>
      <c r="AC53" s="574"/>
      <c r="AD53" s="575">
        <v>186.76</v>
      </c>
      <c r="AE53" s="574"/>
      <c r="AF53" s="575">
        <v>613.6</v>
      </c>
      <c r="AG53" s="574"/>
      <c r="AH53" s="575">
        <v>0</v>
      </c>
      <c r="AI53" s="574"/>
      <c r="AJ53" s="575">
        <v>453.52</v>
      </c>
      <c r="AK53" s="574"/>
      <c r="AL53" s="575"/>
      <c r="AM53" s="574"/>
      <c r="AN53" s="575">
        <v>0</v>
      </c>
      <c r="AO53" s="574"/>
      <c r="AP53" s="575"/>
      <c r="AQ53" s="574"/>
      <c r="AR53" s="28">
        <v>453.53</v>
      </c>
      <c r="AS53" s="574"/>
      <c r="AT53" s="575">
        <v>13</v>
      </c>
      <c r="AU53" s="574"/>
      <c r="AV53" s="575">
        <v>45.5</v>
      </c>
      <c r="AW53" s="574"/>
    </row>
    <row r="54" spans="5:49">
      <c r="I54" s="358"/>
      <c r="J54" s="336"/>
      <c r="K54" s="336"/>
      <c r="L54" s="569" t="s">
        <v>830</v>
      </c>
      <c r="M54" s="572"/>
      <c r="N54" s="571"/>
      <c r="O54" s="571"/>
      <c r="P54" s="571">
        <v>14270.62</v>
      </c>
      <c r="Q54" s="572"/>
      <c r="R54" s="573">
        <f t="shared" si="14"/>
        <v>14270.619999999999</v>
      </c>
      <c r="S54" s="577"/>
      <c r="T54" s="571">
        <v>2712.24</v>
      </c>
      <c r="U54" s="574"/>
      <c r="V54" s="571">
        <v>1220.8</v>
      </c>
      <c r="W54" s="574"/>
      <c r="X54" s="575">
        <v>0</v>
      </c>
      <c r="Y54" s="574"/>
      <c r="Z54" s="575">
        <v>383.4</v>
      </c>
      <c r="AA54" s="574"/>
      <c r="AB54" s="575">
        <v>562.32000000000005</v>
      </c>
      <c r="AC54" s="574"/>
      <c r="AD54" s="575">
        <v>248.99</v>
      </c>
      <c r="AE54" s="574"/>
      <c r="AF54" s="575">
        <v>1440.59</v>
      </c>
      <c r="AG54" s="574"/>
      <c r="AH54" s="575">
        <v>3280.2</v>
      </c>
      <c r="AI54" s="574"/>
      <c r="AJ54" s="575">
        <v>3450.31</v>
      </c>
      <c r="AK54" s="574"/>
      <c r="AL54" s="575"/>
      <c r="AM54" s="574"/>
      <c r="AN54" s="575">
        <v>0</v>
      </c>
      <c r="AO54" s="574"/>
      <c r="AP54" s="575"/>
      <c r="AQ54" s="574"/>
      <c r="AR54" s="28">
        <v>640.27</v>
      </c>
      <c r="AS54" s="574"/>
      <c r="AT54" s="575">
        <v>253.5</v>
      </c>
      <c r="AU54" s="574"/>
      <c r="AV54" s="575">
        <v>78</v>
      </c>
      <c r="AW54" s="574"/>
    </row>
    <row r="55" spans="5:49">
      <c r="I55" s="358"/>
      <c r="J55" s="336"/>
      <c r="K55" s="336"/>
      <c r="L55" s="569" t="s">
        <v>831</v>
      </c>
      <c r="M55" s="572"/>
      <c r="N55" s="571"/>
      <c r="O55" s="571"/>
      <c r="P55" s="571">
        <v>6918.09</v>
      </c>
      <c r="Q55" s="572"/>
      <c r="R55" s="573">
        <f t="shared" si="14"/>
        <v>6918.09</v>
      </c>
      <c r="S55" s="577"/>
      <c r="T55" s="571">
        <v>1689.6</v>
      </c>
      <c r="U55" s="574"/>
      <c r="V55" s="571">
        <v>600.88</v>
      </c>
      <c r="W55" s="574"/>
      <c r="X55" s="575">
        <v>0</v>
      </c>
      <c r="Y55" s="574"/>
      <c r="Z55" s="575">
        <v>25.56</v>
      </c>
      <c r="AA55" s="574"/>
      <c r="AB55" s="575">
        <v>178.92</v>
      </c>
      <c r="AC55" s="574"/>
      <c r="AD55" s="575">
        <v>35.57</v>
      </c>
      <c r="AE55" s="574"/>
      <c r="AF55" s="575">
        <v>1867.5</v>
      </c>
      <c r="AG55" s="574"/>
      <c r="AH55" s="575">
        <v>0</v>
      </c>
      <c r="AI55" s="574"/>
      <c r="AJ55" s="575">
        <v>978.2</v>
      </c>
      <c r="AK55" s="574"/>
      <c r="AL55" s="575"/>
      <c r="AM55" s="574"/>
      <c r="AN55" s="575">
        <v>0</v>
      </c>
      <c r="AO55" s="574"/>
      <c r="AP55" s="575"/>
      <c r="AQ55" s="574"/>
      <c r="AR55" s="28">
        <v>1502.86</v>
      </c>
      <c r="AS55" s="574"/>
      <c r="AT55" s="575">
        <v>39</v>
      </c>
      <c r="AU55" s="574"/>
      <c r="AV55" s="575">
        <v>0</v>
      </c>
      <c r="AW55" s="574"/>
    </row>
    <row r="56" spans="5:49">
      <c r="I56" s="358"/>
      <c r="J56" s="336"/>
      <c r="K56" s="336"/>
      <c r="L56" s="569" t="s">
        <v>832</v>
      </c>
      <c r="M56" s="572"/>
      <c r="N56" s="571"/>
      <c r="O56" s="571"/>
      <c r="P56" s="571">
        <v>2164.21</v>
      </c>
      <c r="Q56" s="572"/>
      <c r="R56" s="573">
        <f t="shared" si="14"/>
        <v>2164.2100000000005</v>
      </c>
      <c r="S56" s="577"/>
      <c r="T56" s="571">
        <v>88.93</v>
      </c>
      <c r="U56" s="574"/>
      <c r="V56" s="571">
        <v>0</v>
      </c>
      <c r="W56" s="574"/>
      <c r="X56" s="575">
        <v>0</v>
      </c>
      <c r="Y56" s="574"/>
      <c r="Z56" s="575">
        <v>178.92</v>
      </c>
      <c r="AA56" s="574"/>
      <c r="AB56" s="575">
        <v>127.8</v>
      </c>
      <c r="AC56" s="574"/>
      <c r="AD56" s="575">
        <v>213.42</v>
      </c>
      <c r="AE56" s="574"/>
      <c r="AF56" s="575">
        <v>337.92</v>
      </c>
      <c r="AG56" s="574"/>
      <c r="AH56" s="575">
        <v>523.6</v>
      </c>
      <c r="AI56" s="574"/>
      <c r="AJ56" s="575">
        <v>640.26</v>
      </c>
      <c r="AK56" s="574"/>
      <c r="AL56" s="575"/>
      <c r="AM56" s="574"/>
      <c r="AN56" s="575">
        <v>0</v>
      </c>
      <c r="AO56" s="574"/>
      <c r="AP56" s="575">
        <v>0</v>
      </c>
      <c r="AQ56" s="574"/>
      <c r="AR56" s="28">
        <v>53.36</v>
      </c>
      <c r="AS56" s="574"/>
      <c r="AT56" s="575">
        <v>0</v>
      </c>
      <c r="AU56" s="574"/>
      <c r="AV56" s="575">
        <v>0</v>
      </c>
      <c r="AW56" s="574"/>
    </row>
    <row r="57" spans="5:49">
      <c r="I57" s="358"/>
      <c r="J57" s="336"/>
      <c r="K57" s="336"/>
      <c r="L57" s="569" t="s">
        <v>833</v>
      </c>
      <c r="M57" s="572"/>
      <c r="N57" s="571"/>
      <c r="O57" s="571"/>
      <c r="P57" s="571">
        <v>361.24</v>
      </c>
      <c r="Q57" s="572"/>
      <c r="R57" s="573">
        <f t="shared" si="14"/>
        <v>361.24</v>
      </c>
      <c r="S57" s="572"/>
      <c r="T57" s="571">
        <v>106.71</v>
      </c>
      <c r="U57" s="574">
        <f>SUM(T52:T57)/T58</f>
        <v>0.63840911345974627</v>
      </c>
      <c r="V57" s="571">
        <v>0</v>
      </c>
      <c r="W57" s="574">
        <f>SUM(V52:V57)/V58</f>
        <v>0.54352233538828609</v>
      </c>
      <c r="X57" s="575">
        <v>0</v>
      </c>
      <c r="Y57" s="574" t="e">
        <f>SUM(X52:X57)/X58</f>
        <v>#DIV/0!</v>
      </c>
      <c r="Z57" s="575">
        <v>76.680000000000007</v>
      </c>
      <c r="AA57" s="574">
        <f>SUM(Z52:Z57)/Z58</f>
        <v>0.51122754491017974</v>
      </c>
      <c r="AB57" s="575">
        <v>0</v>
      </c>
      <c r="AC57" s="574">
        <f>SUM(AB52:AB57)/AB58</f>
        <v>0.3362734288864388</v>
      </c>
      <c r="AD57" s="575">
        <v>0</v>
      </c>
      <c r="AE57" s="574">
        <f>SUM(AD52:AD57)/AD58</f>
        <v>0.25413880687371693</v>
      </c>
      <c r="AF57" s="575">
        <v>35.57</v>
      </c>
      <c r="AG57" s="574">
        <f>SUM(AF52:AF57)/AF58</f>
        <v>0.62237949820224814</v>
      </c>
      <c r="AH57" s="575">
        <v>0</v>
      </c>
      <c r="AI57" s="574">
        <f>SUM(AH52:AH57)/AH58</f>
        <v>0.65829145728643201</v>
      </c>
      <c r="AJ57" s="575">
        <v>0</v>
      </c>
      <c r="AK57" s="574">
        <f>SUM(AJ52:AJ57)/AJ58</f>
        <v>0.59815231951107606</v>
      </c>
      <c r="AL57" s="575">
        <v>0</v>
      </c>
      <c r="AM57" s="574">
        <f>SUM(AL52:AL57)/AL58</f>
        <v>1</v>
      </c>
      <c r="AN57" s="575">
        <v>0</v>
      </c>
      <c r="AO57" s="574">
        <f>SUM(AN52:AN57)/AN58</f>
        <v>0</v>
      </c>
      <c r="AP57" s="575">
        <v>0</v>
      </c>
      <c r="AQ57" s="574">
        <f>SUM(AP52:AP57)/AP58</f>
        <v>0</v>
      </c>
      <c r="AR57" s="28">
        <v>142.28</v>
      </c>
      <c r="AS57" s="574">
        <f>SUM(AR52:AR57)/AR58</f>
        <v>0.58820249567746508</v>
      </c>
      <c r="AT57" s="575">
        <v>0</v>
      </c>
      <c r="AU57" s="574">
        <f>SUM(AT52:AT57)/AT58</f>
        <v>0.2943722943722944</v>
      </c>
      <c r="AV57" s="575">
        <v>0</v>
      </c>
      <c r="AW57" s="574">
        <f>SUM(AV52:AV57)/AV58</f>
        <v>0.53941908713692943</v>
      </c>
    </row>
    <row r="58" spans="5:49">
      <c r="I58" s="358"/>
      <c r="J58" s="336"/>
      <c r="K58" s="336"/>
      <c r="L58" s="336"/>
      <c r="M58" s="385"/>
      <c r="N58" s="357">
        <f t="shared" ref="N58:P58" si="15">SUM(N44:N57)</f>
        <v>55829.750000000015</v>
      </c>
      <c r="O58" s="357">
        <f t="shared" si="15"/>
        <v>5565.01</v>
      </c>
      <c r="P58" s="357">
        <f t="shared" si="15"/>
        <v>59143.67</v>
      </c>
      <c r="Q58" s="357"/>
      <c r="R58" s="357">
        <f>SUM(R44:R57)</f>
        <v>120538.43000000002</v>
      </c>
      <c r="S58" s="336"/>
      <c r="T58" s="382">
        <f>SUM(T44:T57)</f>
        <v>15419.830000000002</v>
      </c>
      <c r="U58" s="383">
        <f t="shared" ref="U58:AS58" si="16">SUM(U44:U57)</f>
        <v>1</v>
      </c>
      <c r="V58" s="382">
        <f t="shared" si="16"/>
        <v>18407.559999999998</v>
      </c>
      <c r="W58" s="383">
        <f t="shared" si="16"/>
        <v>1</v>
      </c>
      <c r="X58" s="382">
        <f t="shared" si="16"/>
        <v>0</v>
      </c>
      <c r="Y58" s="383" t="e">
        <f t="shared" si="16"/>
        <v>#DIV/0!</v>
      </c>
      <c r="Z58" s="382">
        <f t="shared" si="16"/>
        <v>8537.0399999999991</v>
      </c>
      <c r="AA58" s="383">
        <f t="shared" si="16"/>
        <v>1.0000000000000002</v>
      </c>
      <c r="AB58" s="382">
        <f t="shared" si="16"/>
        <v>5795.7300000000005</v>
      </c>
      <c r="AC58" s="383">
        <f t="shared" si="16"/>
        <v>0.99999999999999978</v>
      </c>
      <c r="AD58" s="382">
        <f t="shared" si="16"/>
        <v>5913.54</v>
      </c>
      <c r="AE58" s="383">
        <f t="shared" si="16"/>
        <v>1</v>
      </c>
      <c r="AF58" s="382">
        <f t="shared" si="16"/>
        <v>11444.85</v>
      </c>
      <c r="AG58" s="383">
        <f t="shared" si="16"/>
        <v>1</v>
      </c>
      <c r="AH58" s="382">
        <f t="shared" si="16"/>
        <v>6129.2000000000007</v>
      </c>
      <c r="AI58" s="383">
        <f t="shared" si="16"/>
        <v>0.99999999999999978</v>
      </c>
      <c r="AJ58" s="382">
        <f t="shared" si="16"/>
        <v>17304.939999999999</v>
      </c>
      <c r="AK58" s="383">
        <f t="shared" si="16"/>
        <v>1</v>
      </c>
      <c r="AL58" s="382">
        <f t="shared" si="16"/>
        <v>107.04</v>
      </c>
      <c r="AM58" s="383">
        <f t="shared" si="16"/>
        <v>1</v>
      </c>
      <c r="AN58" s="382">
        <f>SUM(AN44:AN57)</f>
        <v>535.20000000000005</v>
      </c>
      <c r="AO58" s="383">
        <f>SUM(AO44:AO57)</f>
        <v>1</v>
      </c>
      <c r="AP58" s="382">
        <f t="shared" si="16"/>
        <v>12986.2</v>
      </c>
      <c r="AQ58" s="383">
        <f t="shared" si="16"/>
        <v>1</v>
      </c>
      <c r="AR58" s="2">
        <f t="shared" si="16"/>
        <v>14921.800000000003</v>
      </c>
      <c r="AS58" s="383">
        <f t="shared" si="16"/>
        <v>0.99999999999999978</v>
      </c>
      <c r="AT58" s="2">
        <f t="shared" ref="AT58" si="17">SUM(AT44:AT57)</f>
        <v>2252.25</v>
      </c>
      <c r="AU58" s="383">
        <f t="shared" ref="AU58" si="18">SUM(AU44:AU57)</f>
        <v>1</v>
      </c>
      <c r="AV58" s="2">
        <f t="shared" ref="AV58" si="19">SUM(AV44:AV57)</f>
        <v>783.25</v>
      </c>
      <c r="AW58" s="383">
        <f t="shared" ref="AW58" si="20">SUM(AW44:AW57)</f>
        <v>1</v>
      </c>
    </row>
    <row r="59" spans="5:49">
      <c r="I59" s="358"/>
      <c r="J59" s="336"/>
      <c r="K59" s="341"/>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c r="AO59"/>
    </row>
    <row r="60" spans="5:49">
      <c r="I60" s="358"/>
      <c r="J60" s="336"/>
      <c r="K60" s="341"/>
      <c r="L60" s="461" t="s">
        <v>1027</v>
      </c>
      <c r="M60" s="336"/>
      <c r="N60" s="336">
        <v>55830</v>
      </c>
      <c r="O60" s="336"/>
      <c r="P60" s="336">
        <v>64709</v>
      </c>
      <c r="Q60" s="336">
        <f>+P60+N60</f>
        <v>120539</v>
      </c>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c r="AO60"/>
    </row>
    <row r="61" spans="5:49">
      <c r="I61" s="358"/>
      <c r="J61" s="336"/>
      <c r="K61" s="341"/>
      <c r="L61" s="336"/>
      <c r="M61" s="336"/>
      <c r="N61" s="385">
        <f>+N60-N58</f>
        <v>0.24999999998544808</v>
      </c>
      <c r="O61" s="336"/>
      <c r="P61" s="385">
        <f>+P60-P58-O58</f>
        <v>0.32000000000152795</v>
      </c>
      <c r="Q61" s="385">
        <f>+Q60-R58</f>
        <v>0.56999999997788109</v>
      </c>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c r="AO61"/>
    </row>
    <row r="62" spans="5:49">
      <c r="I62" s="358"/>
      <c r="J62" s="336"/>
      <c r="K62" s="341"/>
      <c r="L62" s="336"/>
      <c r="M62" s="336"/>
      <c r="N62" s="336"/>
      <c r="O62" s="336"/>
      <c r="P62" s="336"/>
      <c r="Q62" s="336" t="s">
        <v>842</v>
      </c>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c r="AO62"/>
    </row>
    <row r="63" spans="5:49">
      <c r="I63" s="336"/>
      <c r="J63" s="336"/>
      <c r="K63" s="341"/>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c r="AO63"/>
    </row>
    <row r="64" spans="5:49">
      <c r="I64" s="336"/>
      <c r="J64" s="336"/>
      <c r="K64" s="341"/>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row>
    <row r="65" spans="9:39">
      <c r="I65" s="336"/>
      <c r="J65" s="336"/>
      <c r="K65" s="341"/>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row>
  </sheetData>
  <phoneticPr fontId="2" type="noConversion"/>
  <pageMargins left="0.25" right="0" top="0.5" bottom="0.5" header="0.5" footer="0.5"/>
  <pageSetup scale="3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K22"/>
  <sheetViews>
    <sheetView showGridLines="0" zoomScale="75" workbookViewId="0">
      <selection activeCell="M34" sqref="M34"/>
    </sheetView>
  </sheetViews>
  <sheetFormatPr defaultColWidth="11.42578125" defaultRowHeight="15.75"/>
  <cols>
    <col min="1" max="1" width="9.140625" style="6" customWidth="1"/>
    <col min="2" max="2" width="0.85546875" style="6" customWidth="1"/>
    <col min="3" max="3" width="1.140625" style="6" customWidth="1"/>
    <col min="4" max="4" width="11.42578125" style="6" customWidth="1"/>
    <col min="5" max="5" width="31.28515625" style="6" customWidth="1"/>
    <col min="6" max="6" width="22.28515625" style="7" customWidth="1"/>
    <col min="7" max="7" width="24.7109375" style="7" customWidth="1"/>
    <col min="8" max="8" width="0.85546875" style="7" customWidth="1"/>
    <col min="9" max="9" width="1.42578125" style="6" customWidth="1"/>
    <col min="10" max="16384" width="11.42578125" style="6"/>
  </cols>
  <sheetData>
    <row r="2" spans="3:11" ht="4.5" customHeight="1"/>
    <row r="3" spans="3:11" ht="4.5" customHeight="1" thickBot="1"/>
    <row r="4" spans="3:11" ht="3.75" customHeight="1">
      <c r="C4" s="8"/>
      <c r="D4" s="9"/>
      <c r="E4" s="9"/>
      <c r="F4" s="10"/>
      <c r="G4" s="10"/>
      <c r="H4" s="11"/>
    </row>
    <row r="5" spans="3:11">
      <c r="C5" s="12"/>
      <c r="D5" s="13" t="s">
        <v>336</v>
      </c>
      <c r="E5" s="14"/>
      <c r="F5" s="15"/>
      <c r="G5" s="15"/>
      <c r="H5" s="16"/>
    </row>
    <row r="6" spans="3:11">
      <c r="C6" s="12"/>
      <c r="D6" s="14"/>
      <c r="E6" s="14"/>
      <c r="F6" s="15"/>
      <c r="G6" s="333" t="s">
        <v>589</v>
      </c>
      <c r="H6" s="16"/>
    </row>
    <row r="7" spans="3:11">
      <c r="C7" s="12"/>
      <c r="D7" s="14"/>
      <c r="E7" s="14"/>
      <c r="F7" s="17"/>
      <c r="G7" s="334">
        <v>2014</v>
      </c>
      <c r="H7" s="16"/>
      <c r="J7" s="307"/>
    </row>
    <row r="8" spans="3:11">
      <c r="C8" s="12"/>
      <c r="D8" s="14"/>
      <c r="E8" s="14"/>
      <c r="F8" s="18" t="s">
        <v>333</v>
      </c>
      <c r="G8" s="18" t="s">
        <v>334</v>
      </c>
      <c r="H8" s="16"/>
      <c r="J8" s="307"/>
      <c r="K8" s="307"/>
    </row>
    <row r="9" spans="3:11">
      <c r="C9" s="12"/>
      <c r="D9" s="14"/>
      <c r="E9" s="14"/>
      <c r="F9" s="15"/>
      <c r="G9" s="19"/>
      <c r="H9" s="16"/>
    </row>
    <row r="10" spans="3:11">
      <c r="C10" s="12"/>
      <c r="D10" s="14"/>
      <c r="E10" s="20" t="s">
        <v>321</v>
      </c>
      <c r="F10" s="21">
        <f>'DS5_Plant Detail 2014'!C382</f>
        <v>8607735.2299999986</v>
      </c>
      <c r="G10" s="21">
        <f>'DS5_Plant Detail 2014'!F382</f>
        <v>259693.20000000004</v>
      </c>
      <c r="H10" s="16"/>
    </row>
    <row r="11" spans="3:11">
      <c r="C11" s="12"/>
      <c r="D11" s="14"/>
      <c r="E11" s="20" t="s">
        <v>322</v>
      </c>
      <c r="F11" s="21">
        <f>'DS5_Plant Detail 2014'!C383</f>
        <v>2738705.6799999997</v>
      </c>
      <c r="G11" s="21">
        <f>'DS5_Plant Detail 2014'!F383</f>
        <v>89470.199999999983</v>
      </c>
      <c r="H11" s="16"/>
    </row>
    <row r="12" spans="3:11">
      <c r="C12" s="12"/>
      <c r="D12" s="14"/>
      <c r="E12" s="20" t="s">
        <v>323</v>
      </c>
      <c r="F12" s="21">
        <f>'DS5_Plant Detail 2014'!C384</f>
        <v>5864492.5099999988</v>
      </c>
      <c r="G12" s="21">
        <f>'DS5_Plant Detail 2014'!F384+'DS5_Plant Detail 2014'!F438</f>
        <v>156307.14999999997</v>
      </c>
      <c r="H12" s="16"/>
    </row>
    <row r="13" spans="3:11">
      <c r="C13" s="12"/>
      <c r="D13" s="14"/>
      <c r="E13" s="20" t="s">
        <v>335</v>
      </c>
      <c r="F13" s="21">
        <f>'DS5_Plant Detail 2014'!C385</f>
        <v>1854761.0100000002</v>
      </c>
      <c r="G13" s="21">
        <f>'DS5_Plant Detail 2014'!F385+'DS5_Plant Detail 2014'!F439</f>
        <v>113447.58999999998</v>
      </c>
      <c r="H13" s="16" t="e">
        <f>F13-G13-#REF!</f>
        <v>#REF!</v>
      </c>
    </row>
    <row r="14" spans="3:11">
      <c r="C14" s="12"/>
      <c r="D14" s="14"/>
      <c r="E14" s="20" t="s">
        <v>324</v>
      </c>
      <c r="F14" s="21">
        <f>SUM(F10:F13)</f>
        <v>19065694.43</v>
      </c>
      <c r="G14" s="21">
        <f>SUM(G10:G13)</f>
        <v>618918.14</v>
      </c>
      <c r="H14" s="16"/>
    </row>
    <row r="15" spans="3:11">
      <c r="C15" s="12"/>
      <c r="D15" s="14"/>
      <c r="E15" s="14"/>
      <c r="F15" s="15"/>
      <c r="G15" s="15"/>
      <c r="H15" s="16"/>
      <c r="J15" s="307" t="s">
        <v>364</v>
      </c>
    </row>
    <row r="16" spans="3:11">
      <c r="C16" s="12"/>
      <c r="D16" s="14"/>
      <c r="E16" s="20"/>
      <c r="F16" s="15"/>
      <c r="G16" s="21"/>
      <c r="H16" s="16"/>
    </row>
    <row r="17" spans="3:8">
      <c r="C17" s="12"/>
      <c r="D17" s="14"/>
      <c r="E17" s="20"/>
      <c r="F17" s="15"/>
      <c r="G17" s="15"/>
      <c r="H17" s="16"/>
    </row>
    <row r="18" spans="3:8">
      <c r="C18" s="12"/>
      <c r="D18" s="14"/>
      <c r="E18" s="20"/>
      <c r="F18" s="15"/>
      <c r="G18" s="21"/>
      <c r="H18" s="16"/>
    </row>
    <row r="19" spans="3:8">
      <c r="C19" s="12"/>
      <c r="D19" s="14"/>
      <c r="E19" s="14"/>
      <c r="F19" s="15"/>
      <c r="G19" s="15"/>
      <c r="H19" s="16"/>
    </row>
    <row r="20" spans="3:8">
      <c r="C20" s="12"/>
      <c r="D20" s="14"/>
      <c r="E20" s="14"/>
      <c r="F20" s="15"/>
      <c r="G20" s="15"/>
      <c r="H20" s="16"/>
    </row>
    <row r="21" spans="3:8" ht="4.5" customHeight="1" thickBot="1">
      <c r="C21" s="22"/>
      <c r="D21" s="23"/>
      <c r="E21" s="23"/>
      <c r="F21" s="24"/>
      <c r="G21" s="24"/>
      <c r="H21" s="25"/>
    </row>
    <row r="22" spans="3:8" ht="4.5" customHeight="1"/>
  </sheetData>
  <phoneticPr fontId="10" type="noConversion"/>
  <pageMargins left="0.75" right="0.75" top="1" bottom="1" header="0.5" footer="0.5"/>
  <pageSetup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D2:U578"/>
  <sheetViews>
    <sheetView showGridLines="0" topLeftCell="H1" workbookViewId="0">
      <selection activeCell="S23" sqref="S23"/>
    </sheetView>
  </sheetViews>
  <sheetFormatPr defaultColWidth="9.140625" defaultRowHeight="12.75"/>
  <cols>
    <col min="1" max="2" width="9.140625" style="2"/>
    <col min="3" max="3" width="14.140625" style="2" customWidth="1"/>
    <col min="4" max="4" width="13.28515625" style="2" customWidth="1"/>
    <col min="5" max="5" width="21.42578125" style="2" customWidth="1"/>
    <col min="6" max="11" width="17.140625" style="2" customWidth="1"/>
    <col min="12" max="12" width="16" style="2" customWidth="1"/>
    <col min="13" max="13" width="13.140625" style="2" customWidth="1"/>
    <col min="14" max="16384" width="9.140625" style="2"/>
  </cols>
  <sheetData>
    <row r="2" spans="4:21" ht="45">
      <c r="D2" s="432" t="s">
        <v>885</v>
      </c>
      <c r="E2" s="433" t="s">
        <v>886</v>
      </c>
      <c r="F2" s="434" t="s">
        <v>578</v>
      </c>
      <c r="G2" s="434" t="s">
        <v>887</v>
      </c>
      <c r="H2" s="434" t="s">
        <v>888</v>
      </c>
      <c r="I2" s="434" t="s">
        <v>889</v>
      </c>
      <c r="J2" s="434" t="s">
        <v>942</v>
      </c>
      <c r="K2" s="434" t="s">
        <v>943</v>
      </c>
      <c r="L2" s="603" t="s">
        <v>890</v>
      </c>
      <c r="M2" s="434" t="s">
        <v>891</v>
      </c>
      <c r="N2" s="434" t="s">
        <v>892</v>
      </c>
      <c r="O2" s="434" t="s">
        <v>944</v>
      </c>
      <c r="P2" s="434" t="s">
        <v>945</v>
      </c>
      <c r="R2" s="29">
        <v>2012</v>
      </c>
      <c r="S2" s="29">
        <v>2013</v>
      </c>
      <c r="T2" s="29">
        <v>2014</v>
      </c>
      <c r="U2" s="29">
        <v>2015</v>
      </c>
    </row>
    <row r="3" spans="4:21">
      <c r="D3" s="602" t="s">
        <v>551</v>
      </c>
      <c r="E3" s="435" t="s">
        <v>893</v>
      </c>
      <c r="F3" s="436">
        <v>40927</v>
      </c>
      <c r="G3" s="437">
        <f t="shared" ref="G3:G66" si="0">YEAR(F3)</f>
        <v>2012</v>
      </c>
      <c r="H3" s="437">
        <f t="shared" ref="H3:H66" si="1">MONTH(F3)</f>
        <v>1</v>
      </c>
      <c r="I3" s="438">
        <v>19</v>
      </c>
      <c r="J3" s="438">
        <v>7.6239999999999997</v>
      </c>
      <c r="K3" s="438">
        <v>0</v>
      </c>
      <c r="L3" s="604">
        <v>7.6239999999999997</v>
      </c>
      <c r="M3" s="438">
        <v>6604</v>
      </c>
      <c r="N3" s="439">
        <v>1.1999999999999999E-3</v>
      </c>
      <c r="O3" s="438">
        <v>7.4189999999999996</v>
      </c>
      <c r="P3" s="438">
        <v>0</v>
      </c>
      <c r="Q3" s="2" t="s">
        <v>946</v>
      </c>
    </row>
    <row r="4" spans="4:21">
      <c r="D4" s="602" t="s">
        <v>551</v>
      </c>
      <c r="E4" s="435" t="s">
        <v>893</v>
      </c>
      <c r="F4" s="436">
        <v>40967</v>
      </c>
      <c r="G4" s="437">
        <f t="shared" si="0"/>
        <v>2012</v>
      </c>
      <c r="H4" s="437">
        <f t="shared" si="1"/>
        <v>2</v>
      </c>
      <c r="I4" s="438">
        <v>19</v>
      </c>
      <c r="J4" s="438">
        <v>6.66</v>
      </c>
      <c r="K4" s="438">
        <v>0.54400000000000004</v>
      </c>
      <c r="L4" s="604">
        <v>7.2039999999999997</v>
      </c>
      <c r="M4" s="438">
        <v>6178</v>
      </c>
      <c r="N4" s="439">
        <v>1.1999999999999999E-3</v>
      </c>
      <c r="O4" s="438">
        <v>6.4729999999999999</v>
      </c>
      <c r="P4" s="438">
        <v>0.54400000000000004</v>
      </c>
      <c r="Q4" s="2" t="s">
        <v>947</v>
      </c>
      <c r="R4" s="2">
        <f>AVERAGE(L51:L62)</f>
        <v>9.3786666666666676</v>
      </c>
      <c r="S4" s="2">
        <f>AVERAGE(L63:L74)</f>
        <v>9.5654166666666693</v>
      </c>
      <c r="T4" s="2">
        <f>AVERAGE(L75:L86)</f>
        <v>9.28541666666667</v>
      </c>
      <c r="U4" s="2">
        <f>AVERAGE(L87:L98)</f>
        <v>9.8222500000000004</v>
      </c>
    </row>
    <row r="5" spans="4:21">
      <c r="D5" s="602" t="s">
        <v>551</v>
      </c>
      <c r="E5" s="435" t="s">
        <v>893</v>
      </c>
      <c r="F5" s="436">
        <v>40987</v>
      </c>
      <c r="G5" s="437">
        <f t="shared" si="0"/>
        <v>2012</v>
      </c>
      <c r="H5" s="437">
        <f t="shared" si="1"/>
        <v>3</v>
      </c>
      <c r="I5" s="438">
        <v>14</v>
      </c>
      <c r="J5" s="438">
        <v>5.2949999999999999</v>
      </c>
      <c r="K5" s="438">
        <v>2.3420000000000001</v>
      </c>
      <c r="L5" s="604">
        <v>7.6369999999999996</v>
      </c>
      <c r="M5" s="438">
        <v>6170</v>
      </c>
      <c r="N5" s="439">
        <v>1.1999999999999999E-3</v>
      </c>
      <c r="O5" s="438">
        <v>5.0960000000000001</v>
      </c>
      <c r="P5" s="438">
        <v>2.3420000000000001</v>
      </c>
    </row>
    <row r="6" spans="4:21">
      <c r="D6" s="602" t="s">
        <v>551</v>
      </c>
      <c r="E6" s="435" t="s">
        <v>893</v>
      </c>
      <c r="F6" s="436">
        <v>41024</v>
      </c>
      <c r="G6" s="437">
        <f t="shared" si="0"/>
        <v>2012</v>
      </c>
      <c r="H6" s="437">
        <f t="shared" si="1"/>
        <v>4</v>
      </c>
      <c r="I6" s="438">
        <v>15</v>
      </c>
      <c r="J6" s="438">
        <v>7.3550000000000004</v>
      </c>
      <c r="K6" s="438">
        <v>6.7000000000000004E-2</v>
      </c>
      <c r="L6" s="604">
        <v>7.4219999999999997</v>
      </c>
      <c r="M6" s="438">
        <v>5813</v>
      </c>
      <c r="N6" s="439">
        <v>1.2999999999999999E-3</v>
      </c>
      <c r="O6" s="438">
        <v>7.1589999999999998</v>
      </c>
      <c r="P6" s="438">
        <v>6.7000000000000004E-2</v>
      </c>
    </row>
    <row r="7" spans="4:21">
      <c r="D7" s="602" t="s">
        <v>551</v>
      </c>
      <c r="E7" s="435" t="s">
        <v>893</v>
      </c>
      <c r="F7" s="436">
        <v>41047</v>
      </c>
      <c r="G7" s="437">
        <f t="shared" si="0"/>
        <v>2012</v>
      </c>
      <c r="H7" s="437">
        <f t="shared" si="1"/>
        <v>5</v>
      </c>
      <c r="I7" s="438">
        <v>17</v>
      </c>
      <c r="J7" s="438">
        <v>7.3330000000000002</v>
      </c>
      <c r="K7" s="438">
        <v>1.6539999999999999</v>
      </c>
      <c r="L7" s="604">
        <v>8.9870000000000001</v>
      </c>
      <c r="M7" s="438">
        <v>7203</v>
      </c>
      <c r="N7" s="439">
        <v>1.1999999999999999E-3</v>
      </c>
      <c r="O7" s="438">
        <v>7.1539999999999999</v>
      </c>
      <c r="P7" s="438">
        <v>1.6539999999999999</v>
      </c>
    </row>
    <row r="8" spans="4:21">
      <c r="D8" s="602" t="s">
        <v>551</v>
      </c>
      <c r="E8" s="435" t="s">
        <v>893</v>
      </c>
      <c r="F8" s="436">
        <v>41087</v>
      </c>
      <c r="G8" s="437">
        <f t="shared" si="0"/>
        <v>2012</v>
      </c>
      <c r="H8" s="437">
        <f t="shared" si="1"/>
        <v>6</v>
      </c>
      <c r="I8" s="438">
        <v>17</v>
      </c>
      <c r="J8" s="438">
        <v>11.933</v>
      </c>
      <c r="K8" s="438">
        <v>0.46200000000000002</v>
      </c>
      <c r="L8" s="604">
        <v>12.395</v>
      </c>
      <c r="M8" s="438">
        <v>8833</v>
      </c>
      <c r="N8" s="439">
        <v>1.4E-3</v>
      </c>
      <c r="O8" s="438">
        <v>11.686999999999999</v>
      </c>
      <c r="P8" s="438">
        <v>0.46200000000000002</v>
      </c>
    </row>
    <row r="9" spans="4:21">
      <c r="D9" s="602" t="s">
        <v>551</v>
      </c>
      <c r="E9" s="435" t="s">
        <v>893</v>
      </c>
      <c r="F9" s="436">
        <v>41092</v>
      </c>
      <c r="G9" s="437">
        <f t="shared" si="0"/>
        <v>2012</v>
      </c>
      <c r="H9" s="437">
        <f t="shared" si="1"/>
        <v>7</v>
      </c>
      <c r="I9" s="438">
        <v>17</v>
      </c>
      <c r="J9" s="438">
        <v>10.741</v>
      </c>
      <c r="K9" s="438">
        <v>1.319</v>
      </c>
      <c r="L9" s="604">
        <v>12.06</v>
      </c>
      <c r="M9" s="438">
        <v>9682</v>
      </c>
      <c r="N9" s="439">
        <v>1.1999999999999999E-3</v>
      </c>
      <c r="O9" s="438">
        <v>10.555</v>
      </c>
      <c r="P9" s="438">
        <v>1.319</v>
      </c>
    </row>
    <row r="10" spans="4:21">
      <c r="D10" s="602" t="s">
        <v>551</v>
      </c>
      <c r="E10" s="435" t="s">
        <v>893</v>
      </c>
      <c r="F10" s="436">
        <v>41122</v>
      </c>
      <c r="G10" s="437">
        <f t="shared" si="0"/>
        <v>2012</v>
      </c>
      <c r="H10" s="437">
        <f t="shared" si="1"/>
        <v>8</v>
      </c>
      <c r="I10" s="438">
        <v>17</v>
      </c>
      <c r="J10" s="438">
        <v>13.132999999999999</v>
      </c>
      <c r="K10" s="438">
        <v>0.185</v>
      </c>
      <c r="L10" s="604">
        <v>13.318</v>
      </c>
      <c r="M10" s="438">
        <v>8979</v>
      </c>
      <c r="N10" s="439">
        <v>1.5E-3</v>
      </c>
      <c r="O10" s="438">
        <v>12.858000000000001</v>
      </c>
      <c r="P10" s="438">
        <v>0.185</v>
      </c>
      <c r="R10" s="2" t="s">
        <v>364</v>
      </c>
      <c r="T10" s="2" t="s">
        <v>364</v>
      </c>
    </row>
    <row r="11" spans="4:21">
      <c r="D11" s="602" t="s">
        <v>551</v>
      </c>
      <c r="E11" s="435" t="s">
        <v>893</v>
      </c>
      <c r="F11" s="436">
        <v>41156</v>
      </c>
      <c r="G11" s="437">
        <f t="shared" si="0"/>
        <v>2012</v>
      </c>
      <c r="H11" s="437">
        <f t="shared" si="1"/>
        <v>9</v>
      </c>
      <c r="I11" s="438">
        <v>16</v>
      </c>
      <c r="J11" s="438">
        <v>11.564</v>
      </c>
      <c r="K11" s="438">
        <v>0</v>
      </c>
      <c r="L11" s="604">
        <v>11.564</v>
      </c>
      <c r="M11" s="438">
        <v>8521</v>
      </c>
      <c r="N11" s="439">
        <v>1.4E-3</v>
      </c>
      <c r="O11" s="438">
        <v>11.27</v>
      </c>
      <c r="P11" s="438">
        <v>0</v>
      </c>
    </row>
    <row r="12" spans="4:21">
      <c r="D12" s="602" t="s">
        <v>551</v>
      </c>
      <c r="E12" s="435" t="s">
        <v>893</v>
      </c>
      <c r="F12" s="436">
        <v>41185</v>
      </c>
      <c r="G12" s="437">
        <f t="shared" si="0"/>
        <v>2012</v>
      </c>
      <c r="H12" s="437">
        <f t="shared" si="1"/>
        <v>10</v>
      </c>
      <c r="I12" s="438">
        <v>14</v>
      </c>
      <c r="J12" s="438">
        <v>7.1589999999999998</v>
      </c>
      <c r="K12" s="438">
        <v>0.80300000000000005</v>
      </c>
      <c r="L12" s="604">
        <v>7.9619999999999997</v>
      </c>
      <c r="M12" s="438">
        <v>6122</v>
      </c>
      <c r="N12" s="439">
        <v>1.2999999999999999E-3</v>
      </c>
      <c r="O12" s="438">
        <v>6.992</v>
      </c>
      <c r="P12" s="438">
        <v>0.80300000000000005</v>
      </c>
    </row>
    <row r="13" spans="4:21">
      <c r="D13" s="602" t="s">
        <v>551</v>
      </c>
      <c r="E13" s="435" t="s">
        <v>893</v>
      </c>
      <c r="F13" s="436">
        <v>41239</v>
      </c>
      <c r="G13" s="437">
        <f t="shared" si="0"/>
        <v>2012</v>
      </c>
      <c r="H13" s="437">
        <f t="shared" si="1"/>
        <v>11</v>
      </c>
      <c r="I13" s="438">
        <v>18</v>
      </c>
      <c r="J13" s="438">
        <v>6.391</v>
      </c>
      <c r="K13" s="438">
        <v>0.22900000000000001</v>
      </c>
      <c r="L13" s="604">
        <v>6.62</v>
      </c>
      <c r="M13" s="438">
        <v>6416</v>
      </c>
      <c r="N13" s="439">
        <v>1E-3</v>
      </c>
      <c r="O13" s="438">
        <v>6.1639999999999997</v>
      </c>
      <c r="P13" s="438">
        <v>0.22900000000000001</v>
      </c>
    </row>
    <row r="14" spans="4:21">
      <c r="D14" s="602" t="s">
        <v>551</v>
      </c>
      <c r="E14" s="435" t="s">
        <v>893</v>
      </c>
      <c r="F14" s="436">
        <v>41253</v>
      </c>
      <c r="G14" s="437">
        <f t="shared" si="0"/>
        <v>2012</v>
      </c>
      <c r="H14" s="437">
        <f t="shared" si="1"/>
        <v>12</v>
      </c>
      <c r="I14" s="438">
        <v>18</v>
      </c>
      <c r="J14" s="438">
        <v>8.1850000000000005</v>
      </c>
      <c r="K14" s="438">
        <v>0</v>
      </c>
      <c r="L14" s="604">
        <v>8.1850000000000005</v>
      </c>
      <c r="M14" s="438">
        <v>6609</v>
      </c>
      <c r="N14" s="439">
        <v>1.1999999999999999E-3</v>
      </c>
      <c r="O14" s="438">
        <v>7.9580000000000002</v>
      </c>
      <c r="P14" s="438">
        <v>0</v>
      </c>
    </row>
    <row r="15" spans="4:21">
      <c r="D15" s="602" t="s">
        <v>551</v>
      </c>
      <c r="E15" s="435" t="s">
        <v>893</v>
      </c>
      <c r="F15" s="436">
        <v>41295</v>
      </c>
      <c r="G15" s="437">
        <f t="shared" si="0"/>
        <v>2013</v>
      </c>
      <c r="H15" s="437">
        <f t="shared" si="1"/>
        <v>1</v>
      </c>
      <c r="I15" s="438">
        <v>19</v>
      </c>
      <c r="J15" s="438">
        <v>7.181</v>
      </c>
      <c r="K15" s="438">
        <v>0.60599999999999998</v>
      </c>
      <c r="L15" s="604">
        <v>7.7869999999999999</v>
      </c>
      <c r="M15" s="438">
        <v>6846</v>
      </c>
      <c r="N15" s="439">
        <v>1.1000000000000001E-3</v>
      </c>
      <c r="O15" s="438">
        <v>6.9729999999999999</v>
      </c>
      <c r="P15" s="438">
        <v>0.60599999999999998</v>
      </c>
    </row>
    <row r="16" spans="4:21">
      <c r="D16" s="602" t="s">
        <v>551</v>
      </c>
      <c r="E16" s="435" t="s">
        <v>893</v>
      </c>
      <c r="F16" s="436">
        <v>41324</v>
      </c>
      <c r="G16" s="437">
        <f t="shared" si="0"/>
        <v>2013</v>
      </c>
      <c r="H16" s="437">
        <f t="shared" si="1"/>
        <v>2</v>
      </c>
      <c r="I16" s="438">
        <v>19</v>
      </c>
      <c r="J16" s="438">
        <v>7.7690000000000001</v>
      </c>
      <c r="K16" s="438">
        <v>1.085</v>
      </c>
      <c r="L16" s="604">
        <v>8.8539999999999992</v>
      </c>
      <c r="M16" s="438">
        <v>6511</v>
      </c>
      <c r="N16" s="439">
        <v>1.4E-3</v>
      </c>
      <c r="O16" s="438">
        <v>7.5659999999999998</v>
      </c>
      <c r="P16" s="438">
        <v>1.085</v>
      </c>
    </row>
    <row r="17" spans="4:16">
      <c r="D17" s="602" t="s">
        <v>551</v>
      </c>
      <c r="E17" s="435" t="s">
        <v>893</v>
      </c>
      <c r="F17" s="436">
        <v>41337</v>
      </c>
      <c r="G17" s="437">
        <f t="shared" si="0"/>
        <v>2013</v>
      </c>
      <c r="H17" s="437">
        <f t="shared" si="1"/>
        <v>3</v>
      </c>
      <c r="I17" s="438">
        <v>19</v>
      </c>
      <c r="J17" s="438">
        <v>7.1639999999999997</v>
      </c>
      <c r="K17" s="438">
        <v>0.318</v>
      </c>
      <c r="L17" s="604">
        <v>7.4820000000000002</v>
      </c>
      <c r="M17" s="438">
        <v>6172</v>
      </c>
      <c r="N17" s="439">
        <v>1.1999999999999999E-3</v>
      </c>
      <c r="O17" s="438">
        <v>6.9290000000000003</v>
      </c>
      <c r="P17" s="438">
        <v>0.318</v>
      </c>
    </row>
    <row r="18" spans="4:16">
      <c r="D18" s="602" t="s">
        <v>551</v>
      </c>
      <c r="E18" s="435" t="s">
        <v>893</v>
      </c>
      <c r="F18" s="436">
        <v>41382</v>
      </c>
      <c r="G18" s="437">
        <f t="shared" si="0"/>
        <v>2013</v>
      </c>
      <c r="H18" s="437">
        <f t="shared" si="1"/>
        <v>4</v>
      </c>
      <c r="I18" s="438">
        <v>12</v>
      </c>
      <c r="J18" s="438">
        <v>5.7640000000000002</v>
      </c>
      <c r="K18" s="438">
        <v>1.1990000000000001</v>
      </c>
      <c r="L18" s="604">
        <v>6.9630000000000001</v>
      </c>
      <c r="M18" s="438">
        <v>5851</v>
      </c>
      <c r="N18" s="439">
        <v>1.1999999999999999E-3</v>
      </c>
      <c r="O18" s="438">
        <v>5.62</v>
      </c>
      <c r="P18" s="438">
        <v>1.1990000000000001</v>
      </c>
    </row>
    <row r="19" spans="4:16">
      <c r="D19" s="602" t="s">
        <v>551</v>
      </c>
      <c r="E19" s="435" t="s">
        <v>893</v>
      </c>
      <c r="F19" s="436">
        <v>41408</v>
      </c>
      <c r="G19" s="437">
        <f t="shared" si="0"/>
        <v>2013</v>
      </c>
      <c r="H19" s="437">
        <f t="shared" si="1"/>
        <v>5</v>
      </c>
      <c r="I19" s="438">
        <v>17</v>
      </c>
      <c r="J19" s="438">
        <v>7.1429999999999998</v>
      </c>
      <c r="K19" s="438">
        <v>1.67</v>
      </c>
      <c r="L19" s="604">
        <v>8.8130000000000006</v>
      </c>
      <c r="M19" s="438">
        <v>6516</v>
      </c>
      <c r="N19" s="439">
        <v>1.4E-3</v>
      </c>
      <c r="O19" s="438">
        <v>6.9829999999999997</v>
      </c>
      <c r="P19" s="438">
        <v>1.67</v>
      </c>
    </row>
    <row r="20" spans="4:16">
      <c r="D20" s="602" t="s">
        <v>551</v>
      </c>
      <c r="E20" s="435" t="s">
        <v>893</v>
      </c>
      <c r="F20" s="436">
        <v>41451</v>
      </c>
      <c r="G20" s="437">
        <f t="shared" si="0"/>
        <v>2013</v>
      </c>
      <c r="H20" s="437">
        <f t="shared" si="1"/>
        <v>6</v>
      </c>
      <c r="I20" s="438">
        <v>16</v>
      </c>
      <c r="J20" s="438">
        <v>9.1560000000000006</v>
      </c>
      <c r="K20" s="438">
        <v>1.7450000000000001</v>
      </c>
      <c r="L20" s="604">
        <v>10.901</v>
      </c>
      <c r="M20" s="438">
        <v>8280</v>
      </c>
      <c r="N20" s="439">
        <v>1.2999999999999999E-3</v>
      </c>
      <c r="O20" s="438">
        <v>8.952</v>
      </c>
      <c r="P20" s="438">
        <v>1.7450000000000001</v>
      </c>
    </row>
    <row r="21" spans="4:16">
      <c r="D21" s="602" t="s">
        <v>551</v>
      </c>
      <c r="E21" s="435" t="s">
        <v>893</v>
      </c>
      <c r="F21" s="436">
        <v>41473</v>
      </c>
      <c r="G21" s="437">
        <f t="shared" si="0"/>
        <v>2013</v>
      </c>
      <c r="H21" s="437">
        <f t="shared" si="1"/>
        <v>7</v>
      </c>
      <c r="I21" s="438">
        <v>17</v>
      </c>
      <c r="J21" s="438">
        <v>11.316000000000001</v>
      </c>
      <c r="K21" s="438">
        <v>1.746</v>
      </c>
      <c r="L21" s="604">
        <v>13.061999999999999</v>
      </c>
      <c r="M21" s="438">
        <v>9566</v>
      </c>
      <c r="N21" s="439">
        <v>1.4E-3</v>
      </c>
      <c r="O21" s="438">
        <v>11.128</v>
      </c>
      <c r="P21" s="438">
        <v>1.746</v>
      </c>
    </row>
    <row r="22" spans="4:16">
      <c r="D22" s="602" t="s">
        <v>551</v>
      </c>
      <c r="E22" s="435" t="s">
        <v>893</v>
      </c>
      <c r="F22" s="436">
        <v>41512</v>
      </c>
      <c r="G22" s="437">
        <f t="shared" si="0"/>
        <v>2013</v>
      </c>
      <c r="H22" s="437">
        <f t="shared" si="1"/>
        <v>8</v>
      </c>
      <c r="I22" s="438">
        <v>17</v>
      </c>
      <c r="J22" s="438">
        <v>12.284000000000001</v>
      </c>
      <c r="K22" s="438">
        <v>0.66100000000000003</v>
      </c>
      <c r="L22" s="604">
        <v>12.945</v>
      </c>
      <c r="M22" s="438">
        <v>9821</v>
      </c>
      <c r="N22" s="439">
        <v>1.2999999999999999E-3</v>
      </c>
      <c r="O22" s="438">
        <v>12.113</v>
      </c>
      <c r="P22" s="438">
        <v>0.66100000000000003</v>
      </c>
    </row>
    <row r="23" spans="4:16">
      <c r="D23" s="602" t="s">
        <v>551</v>
      </c>
      <c r="E23" s="435" t="s">
        <v>893</v>
      </c>
      <c r="F23" s="436">
        <v>41526</v>
      </c>
      <c r="G23" s="437">
        <f t="shared" si="0"/>
        <v>2013</v>
      </c>
      <c r="H23" s="437">
        <f t="shared" si="1"/>
        <v>9</v>
      </c>
      <c r="I23" s="438">
        <v>17</v>
      </c>
      <c r="J23" s="438">
        <v>11.632999999999999</v>
      </c>
      <c r="K23" s="438">
        <v>1.78</v>
      </c>
      <c r="L23" s="604">
        <v>13.413</v>
      </c>
      <c r="M23" s="438">
        <v>8781</v>
      </c>
      <c r="N23" s="439">
        <v>1.5E-3</v>
      </c>
      <c r="O23" s="438">
        <v>11.451000000000001</v>
      </c>
      <c r="P23" s="438">
        <v>1.78</v>
      </c>
    </row>
    <row r="24" spans="4:16">
      <c r="D24" s="602" t="s">
        <v>551</v>
      </c>
      <c r="E24" s="435" t="s">
        <v>893</v>
      </c>
      <c r="F24" s="436">
        <v>41548</v>
      </c>
      <c r="G24" s="437">
        <f t="shared" si="0"/>
        <v>2013</v>
      </c>
      <c r="H24" s="437">
        <f t="shared" si="1"/>
        <v>10</v>
      </c>
      <c r="I24" s="438">
        <v>14</v>
      </c>
      <c r="J24" s="438">
        <v>9.048</v>
      </c>
      <c r="K24" s="438">
        <v>0.107</v>
      </c>
      <c r="L24" s="604">
        <v>9.1549999999999994</v>
      </c>
      <c r="M24" s="438">
        <v>6214</v>
      </c>
      <c r="N24" s="439">
        <v>1.5E-3</v>
      </c>
      <c r="O24" s="438">
        <v>8.81</v>
      </c>
      <c r="P24" s="438">
        <v>0.107</v>
      </c>
    </row>
    <row r="25" spans="4:16">
      <c r="D25" s="602" t="s">
        <v>551</v>
      </c>
      <c r="E25" s="435" t="s">
        <v>893</v>
      </c>
      <c r="F25" s="436">
        <v>41604</v>
      </c>
      <c r="G25" s="437">
        <f t="shared" si="0"/>
        <v>2013</v>
      </c>
      <c r="H25" s="437">
        <f t="shared" si="1"/>
        <v>11</v>
      </c>
      <c r="I25" s="438">
        <v>18</v>
      </c>
      <c r="J25" s="438">
        <v>5.5739999999999998</v>
      </c>
      <c r="K25" s="438">
        <v>2.3109999999999999</v>
      </c>
      <c r="L25" s="604">
        <v>7.8849999999999998</v>
      </c>
      <c r="M25" s="438">
        <v>6372</v>
      </c>
      <c r="N25" s="439">
        <v>1.1999999999999999E-3</v>
      </c>
      <c r="O25" s="438">
        <v>5.39</v>
      </c>
      <c r="P25" s="438">
        <v>2.3109999999999999</v>
      </c>
    </row>
    <row r="26" spans="4:16">
      <c r="D26" s="602" t="s">
        <v>551</v>
      </c>
      <c r="E26" s="435" t="s">
        <v>893</v>
      </c>
      <c r="F26" s="436">
        <v>41619</v>
      </c>
      <c r="G26" s="437">
        <f t="shared" si="0"/>
        <v>2013</v>
      </c>
      <c r="H26" s="437">
        <f t="shared" si="1"/>
        <v>12</v>
      </c>
      <c r="I26" s="438">
        <v>18</v>
      </c>
      <c r="J26" s="438">
        <v>8.7360000000000007</v>
      </c>
      <c r="K26" s="438">
        <v>0.56100000000000005</v>
      </c>
      <c r="L26" s="604">
        <v>9.2970000000000006</v>
      </c>
      <c r="M26" s="438">
        <v>6972</v>
      </c>
      <c r="N26" s="439">
        <v>1.2999999999999999E-3</v>
      </c>
      <c r="O26" s="438">
        <v>8.5060000000000002</v>
      </c>
      <c r="P26" s="438">
        <v>0.56100000000000005</v>
      </c>
    </row>
    <row r="27" spans="4:16">
      <c r="D27" s="602" t="s">
        <v>551</v>
      </c>
      <c r="E27" s="605" t="s">
        <v>893</v>
      </c>
      <c r="F27" s="606">
        <v>41645</v>
      </c>
      <c r="G27" s="437">
        <f t="shared" si="0"/>
        <v>2014</v>
      </c>
      <c r="H27" s="437">
        <f t="shared" si="1"/>
        <v>1</v>
      </c>
      <c r="I27" s="607">
        <v>18</v>
      </c>
      <c r="J27" s="607">
        <v>6.7210000000000001</v>
      </c>
      <c r="K27" s="607">
        <v>1.548</v>
      </c>
      <c r="L27" s="608">
        <v>8.2690000000000001</v>
      </c>
      <c r="M27" s="609">
        <v>7188</v>
      </c>
      <c r="N27" s="607">
        <v>0.115</v>
      </c>
      <c r="O27" s="607">
        <v>6.5220000000000002</v>
      </c>
      <c r="P27" s="607">
        <v>1.548</v>
      </c>
    </row>
    <row r="28" spans="4:16">
      <c r="D28" s="602" t="s">
        <v>551</v>
      </c>
      <c r="E28" s="605" t="s">
        <v>893</v>
      </c>
      <c r="F28" s="606">
        <v>41676</v>
      </c>
      <c r="G28" s="437">
        <f t="shared" si="0"/>
        <v>2014</v>
      </c>
      <c r="H28" s="437">
        <f t="shared" si="1"/>
        <v>2</v>
      </c>
      <c r="I28" s="607">
        <v>19</v>
      </c>
      <c r="J28" s="607">
        <v>8.42</v>
      </c>
      <c r="K28" s="607">
        <v>0</v>
      </c>
      <c r="L28" s="608">
        <v>8.42</v>
      </c>
      <c r="M28" s="609">
        <v>6743</v>
      </c>
      <c r="N28" s="607">
        <v>0.125</v>
      </c>
      <c r="O28" s="607">
        <v>6.9779999999999998</v>
      </c>
      <c r="P28" s="607">
        <v>0</v>
      </c>
    </row>
    <row r="29" spans="4:16">
      <c r="D29" s="602" t="s">
        <v>551</v>
      </c>
      <c r="E29" s="605" t="s">
        <v>893</v>
      </c>
      <c r="F29" s="606">
        <v>41701</v>
      </c>
      <c r="G29" s="437">
        <f t="shared" si="0"/>
        <v>2014</v>
      </c>
      <c r="H29" s="437">
        <f t="shared" si="1"/>
        <v>3</v>
      </c>
      <c r="I29" s="607">
        <v>19</v>
      </c>
      <c r="J29" s="607">
        <v>6.9359999999999999</v>
      </c>
      <c r="K29" s="607">
        <v>0.59899999999999998</v>
      </c>
      <c r="L29" s="608">
        <v>7.5350000000000001</v>
      </c>
      <c r="M29" s="609">
        <v>6537</v>
      </c>
      <c r="N29" s="607">
        <v>0.115</v>
      </c>
      <c r="O29" s="607">
        <v>6.8449999999999998</v>
      </c>
      <c r="P29" s="607">
        <v>0.59899999999999998</v>
      </c>
    </row>
    <row r="30" spans="4:16">
      <c r="D30" s="602" t="s">
        <v>551</v>
      </c>
      <c r="E30" s="605" t="s">
        <v>893</v>
      </c>
      <c r="F30" s="606">
        <v>41730</v>
      </c>
      <c r="G30" s="437">
        <f t="shared" si="0"/>
        <v>2014</v>
      </c>
      <c r="H30" s="437">
        <f t="shared" si="1"/>
        <v>4</v>
      </c>
      <c r="I30" s="607">
        <v>11</v>
      </c>
      <c r="J30" s="607">
        <v>5.1139999999999999</v>
      </c>
      <c r="K30" s="607">
        <v>2.2879999999999998</v>
      </c>
      <c r="L30" s="608">
        <v>7.4020000000000001</v>
      </c>
      <c r="M30" s="609">
        <v>5924</v>
      </c>
      <c r="N30" s="607">
        <v>0.125</v>
      </c>
      <c r="O30" s="607">
        <v>5.2279999999999998</v>
      </c>
      <c r="P30" s="607">
        <v>2.2879999999999998</v>
      </c>
    </row>
    <row r="31" spans="4:16">
      <c r="D31" s="602" t="s">
        <v>551</v>
      </c>
      <c r="E31" s="605" t="s">
        <v>893</v>
      </c>
      <c r="F31" s="606">
        <v>41789</v>
      </c>
      <c r="G31" s="437">
        <f t="shared" si="0"/>
        <v>2014</v>
      </c>
      <c r="H31" s="437">
        <f t="shared" si="1"/>
        <v>5</v>
      </c>
      <c r="I31" s="607">
        <v>16</v>
      </c>
      <c r="J31" s="607">
        <v>9.8710000000000004</v>
      </c>
      <c r="K31" s="607">
        <v>0.56999999999999995</v>
      </c>
      <c r="L31" s="608">
        <v>10.441000000000001</v>
      </c>
      <c r="M31" s="609">
        <v>7422</v>
      </c>
      <c r="N31" s="607">
        <v>0.14099999999999999</v>
      </c>
      <c r="O31" s="607">
        <v>9.6780000000000008</v>
      </c>
      <c r="P31" s="607">
        <v>0.56999999999999995</v>
      </c>
    </row>
    <row r="32" spans="4:16">
      <c r="D32" s="602" t="s">
        <v>551</v>
      </c>
      <c r="E32" s="605" t="s">
        <v>893</v>
      </c>
      <c r="F32" s="606">
        <v>41814</v>
      </c>
      <c r="G32" s="437">
        <f t="shared" si="0"/>
        <v>2014</v>
      </c>
      <c r="H32" s="437">
        <f t="shared" si="1"/>
        <v>6</v>
      </c>
      <c r="I32" s="607">
        <v>16</v>
      </c>
      <c r="J32" s="607">
        <v>9.6449999999999996</v>
      </c>
      <c r="K32" s="607">
        <v>8.4000000000000005E-2</v>
      </c>
      <c r="L32" s="608">
        <v>9.7289999999999992</v>
      </c>
      <c r="M32" s="609">
        <v>7670</v>
      </c>
      <c r="N32" s="607">
        <v>0.127</v>
      </c>
      <c r="O32" s="607">
        <v>9.6449999999999996</v>
      </c>
      <c r="P32" s="607">
        <v>8.4000000000000005E-2</v>
      </c>
    </row>
    <row r="33" spans="4:16">
      <c r="D33" s="602" t="s">
        <v>551</v>
      </c>
      <c r="E33" s="605" t="s">
        <v>893</v>
      </c>
      <c r="F33" s="606">
        <v>41841</v>
      </c>
      <c r="G33" s="437">
        <f t="shared" si="0"/>
        <v>2014</v>
      </c>
      <c r="H33" s="437">
        <f t="shared" si="1"/>
        <v>7</v>
      </c>
      <c r="I33" s="607">
        <v>17</v>
      </c>
      <c r="J33" s="607">
        <v>11.457000000000001</v>
      </c>
      <c r="K33" s="607">
        <v>0</v>
      </c>
      <c r="L33" s="608">
        <v>11.457000000000001</v>
      </c>
      <c r="M33" s="609">
        <v>9150</v>
      </c>
      <c r="N33" s="607">
        <v>0.125</v>
      </c>
      <c r="O33" s="607">
        <v>11.228</v>
      </c>
      <c r="P33" s="607">
        <v>0</v>
      </c>
    </row>
    <row r="34" spans="4:16">
      <c r="D34" s="602" t="s">
        <v>551</v>
      </c>
      <c r="E34" s="605" t="s">
        <v>893</v>
      </c>
      <c r="F34" s="606">
        <v>41869</v>
      </c>
      <c r="G34" s="437">
        <f t="shared" si="0"/>
        <v>2014</v>
      </c>
      <c r="H34" s="437">
        <f t="shared" si="1"/>
        <v>8</v>
      </c>
      <c r="I34" s="607">
        <v>16</v>
      </c>
      <c r="J34" s="607">
        <v>11.097</v>
      </c>
      <c r="K34" s="607">
        <v>7.8E-2</v>
      </c>
      <c r="L34" s="608">
        <v>11.175000000000001</v>
      </c>
      <c r="M34" s="609">
        <v>8190</v>
      </c>
      <c r="N34" s="607">
        <v>0.13600000000000001</v>
      </c>
      <c r="O34" s="607">
        <v>10.875</v>
      </c>
      <c r="P34" s="607">
        <v>7.8E-2</v>
      </c>
    </row>
    <row r="35" spans="4:16">
      <c r="D35" s="602" t="s">
        <v>551</v>
      </c>
      <c r="E35" s="605" t="s">
        <v>893</v>
      </c>
      <c r="F35" s="606">
        <v>41886</v>
      </c>
      <c r="G35" s="437">
        <f t="shared" si="0"/>
        <v>2014</v>
      </c>
      <c r="H35" s="437">
        <f t="shared" si="1"/>
        <v>9</v>
      </c>
      <c r="I35" s="607">
        <v>15</v>
      </c>
      <c r="J35" s="607">
        <v>11.45</v>
      </c>
      <c r="K35" s="607">
        <v>8.0000000000000002E-3</v>
      </c>
      <c r="L35" s="608">
        <v>11.458</v>
      </c>
      <c r="M35" s="609">
        <v>7758</v>
      </c>
      <c r="N35" s="607">
        <v>0.14799999999999999</v>
      </c>
      <c r="O35" s="607">
        <v>11.221</v>
      </c>
      <c r="P35" s="607">
        <v>8.0000000000000002E-3</v>
      </c>
    </row>
    <row r="36" spans="4:16">
      <c r="D36" s="602" t="s">
        <v>551</v>
      </c>
      <c r="E36" s="605" t="s">
        <v>893</v>
      </c>
      <c r="F36" s="606">
        <v>41942</v>
      </c>
      <c r="G36" s="437">
        <f t="shared" si="0"/>
        <v>2014</v>
      </c>
      <c r="H36" s="437">
        <f t="shared" si="1"/>
        <v>10</v>
      </c>
      <c r="I36" s="607">
        <v>20</v>
      </c>
      <c r="J36" s="607">
        <v>4.5389999999999997</v>
      </c>
      <c r="K36" s="607">
        <v>0</v>
      </c>
      <c r="L36" s="608">
        <v>4.5389999999999997</v>
      </c>
      <c r="M36" s="609">
        <v>5901</v>
      </c>
      <c r="N36" s="607">
        <v>7.6999999999999999E-2</v>
      </c>
      <c r="O36" s="607">
        <v>4.4480000000000004</v>
      </c>
      <c r="P36" s="607">
        <v>0</v>
      </c>
    </row>
    <row r="37" spans="4:16">
      <c r="D37" s="602" t="s">
        <v>551</v>
      </c>
      <c r="E37" s="605" t="s">
        <v>893</v>
      </c>
      <c r="F37" s="606">
        <v>41960</v>
      </c>
      <c r="G37" s="437">
        <f t="shared" si="0"/>
        <v>2014</v>
      </c>
      <c r="H37" s="437">
        <f t="shared" si="1"/>
        <v>11</v>
      </c>
      <c r="I37" s="607">
        <v>18</v>
      </c>
      <c r="J37" s="607">
        <v>5.9059999999999997</v>
      </c>
      <c r="K37" s="607">
        <v>2.1349999999999998</v>
      </c>
      <c r="L37" s="608">
        <v>8.0410000000000004</v>
      </c>
      <c r="M37" s="609">
        <v>6677</v>
      </c>
      <c r="N37" s="607">
        <v>0.12</v>
      </c>
      <c r="O37" s="607">
        <v>5.7880000000000003</v>
      </c>
      <c r="P37" s="607">
        <v>2.1349999999999998</v>
      </c>
    </row>
    <row r="38" spans="4:16">
      <c r="D38" s="602" t="s">
        <v>551</v>
      </c>
      <c r="E38" s="605" t="s">
        <v>893</v>
      </c>
      <c r="F38" s="606">
        <v>41974</v>
      </c>
      <c r="G38" s="437">
        <f t="shared" si="0"/>
        <v>2014</v>
      </c>
      <c r="H38" s="437">
        <f t="shared" si="1"/>
        <v>12</v>
      </c>
      <c r="I38" s="607">
        <v>18</v>
      </c>
      <c r="J38" s="607">
        <v>8.5399999999999991</v>
      </c>
      <c r="K38" s="607">
        <v>0.13400000000000001</v>
      </c>
      <c r="L38" s="608">
        <v>8.6739999999999995</v>
      </c>
      <c r="M38" s="609">
        <v>6850</v>
      </c>
      <c r="N38" s="607">
        <v>0.127</v>
      </c>
      <c r="O38" s="607">
        <v>8.3689999999999998</v>
      </c>
      <c r="P38" s="607">
        <v>0.13400000000000001</v>
      </c>
    </row>
    <row r="39" spans="4:16">
      <c r="D39" s="602" t="s">
        <v>551</v>
      </c>
      <c r="E39" s="605" t="s">
        <v>893</v>
      </c>
      <c r="F39" s="606">
        <v>42011</v>
      </c>
      <c r="G39" s="437">
        <f t="shared" si="0"/>
        <v>2015</v>
      </c>
      <c r="H39" s="437">
        <f t="shared" si="1"/>
        <v>1</v>
      </c>
      <c r="I39" s="607">
        <v>18</v>
      </c>
      <c r="J39" s="607">
        <v>7.9850000000000003</v>
      </c>
      <c r="K39" s="607">
        <v>0.27800000000000002</v>
      </c>
      <c r="L39" s="608">
        <v>8.2629999999999999</v>
      </c>
      <c r="M39" s="609">
        <v>6978</v>
      </c>
      <c r="N39" s="607">
        <v>0.11799999999999999</v>
      </c>
      <c r="O39" s="607">
        <v>7.8250000000000002</v>
      </c>
      <c r="P39" s="607">
        <v>0.27800000000000002</v>
      </c>
    </row>
    <row r="40" spans="4:16">
      <c r="D40" s="602" t="s">
        <v>551</v>
      </c>
      <c r="E40" s="605" t="s">
        <v>893</v>
      </c>
      <c r="F40" s="606">
        <v>42053</v>
      </c>
      <c r="G40" s="437">
        <f t="shared" si="0"/>
        <v>2015</v>
      </c>
      <c r="H40" s="437">
        <f t="shared" si="1"/>
        <v>2</v>
      </c>
      <c r="I40" s="607">
        <v>19</v>
      </c>
      <c r="J40" s="607">
        <v>6.1120000000000001</v>
      </c>
      <c r="K40" s="607">
        <v>1.9350000000000001</v>
      </c>
      <c r="L40" s="608">
        <v>8.0470000000000006</v>
      </c>
      <c r="M40" s="609">
        <v>6744</v>
      </c>
      <c r="N40" s="607">
        <v>0.11899999999999999</v>
      </c>
      <c r="O40" s="607">
        <v>5.9189999999999996</v>
      </c>
      <c r="P40" s="607">
        <v>1.9350000000000001</v>
      </c>
    </row>
    <row r="41" spans="4:16">
      <c r="D41" s="602" t="s">
        <v>551</v>
      </c>
      <c r="E41" s="605" t="s">
        <v>893</v>
      </c>
      <c r="F41" s="606">
        <v>42067</v>
      </c>
      <c r="G41" s="437">
        <f t="shared" si="0"/>
        <v>2015</v>
      </c>
      <c r="H41" s="437">
        <f t="shared" si="1"/>
        <v>3</v>
      </c>
      <c r="I41" s="607">
        <v>20</v>
      </c>
      <c r="J41" s="607">
        <v>6.3550000000000004</v>
      </c>
      <c r="K41" s="607">
        <v>1.2490000000000001</v>
      </c>
      <c r="L41" s="608">
        <v>7.6040000000000001</v>
      </c>
      <c r="M41" s="609">
        <v>6470</v>
      </c>
      <c r="N41" s="607">
        <v>0.11799999999999999</v>
      </c>
      <c r="O41" s="607">
        <v>6.2080000000000002</v>
      </c>
      <c r="P41" s="607">
        <v>1.2490000000000001</v>
      </c>
    </row>
    <row r="42" spans="4:16">
      <c r="D42" s="602" t="s">
        <v>551</v>
      </c>
      <c r="E42" s="605" t="s">
        <v>893</v>
      </c>
      <c r="F42" s="606">
        <v>42103</v>
      </c>
      <c r="G42" s="437">
        <f t="shared" si="0"/>
        <v>2015</v>
      </c>
      <c r="H42" s="437">
        <f t="shared" si="1"/>
        <v>4</v>
      </c>
      <c r="I42" s="607">
        <v>12</v>
      </c>
      <c r="J42" s="607">
        <v>5.4560000000000004</v>
      </c>
      <c r="K42" s="607">
        <v>1.798</v>
      </c>
      <c r="L42" s="608">
        <v>7.2539999999999996</v>
      </c>
      <c r="M42" s="609">
        <v>5914</v>
      </c>
      <c r="N42" s="607">
        <v>0.123</v>
      </c>
      <c r="O42" s="607">
        <v>5.2770000000000001</v>
      </c>
      <c r="P42" s="607">
        <v>1.798</v>
      </c>
    </row>
    <row r="43" spans="4:16">
      <c r="D43" s="602" t="s">
        <v>551</v>
      </c>
      <c r="E43" s="605" t="s">
        <v>893</v>
      </c>
      <c r="F43" s="606">
        <v>42152</v>
      </c>
      <c r="G43" s="437">
        <f t="shared" si="0"/>
        <v>2015</v>
      </c>
      <c r="H43" s="437">
        <f t="shared" si="1"/>
        <v>5</v>
      </c>
      <c r="I43" s="607">
        <v>16</v>
      </c>
      <c r="J43" s="607">
        <v>7.149</v>
      </c>
      <c r="K43" s="607">
        <v>1.494</v>
      </c>
      <c r="L43" s="608">
        <v>8.6430000000000007</v>
      </c>
      <c r="M43" s="609">
        <v>6837</v>
      </c>
      <c r="N43" s="607">
        <v>0.126</v>
      </c>
      <c r="O43" s="607">
        <v>6.9379999999999997</v>
      </c>
      <c r="P43" s="607">
        <v>1.494</v>
      </c>
    </row>
    <row r="44" spans="4:16">
      <c r="D44" s="602" t="s">
        <v>551</v>
      </c>
      <c r="E44" s="605" t="s">
        <v>893</v>
      </c>
      <c r="F44" s="606">
        <v>42164</v>
      </c>
      <c r="G44" s="437">
        <f t="shared" si="0"/>
        <v>2015</v>
      </c>
      <c r="H44" s="437">
        <f t="shared" si="1"/>
        <v>6</v>
      </c>
      <c r="I44" s="607">
        <v>17</v>
      </c>
      <c r="J44" s="607">
        <v>10.420999999999999</v>
      </c>
      <c r="K44" s="607">
        <v>0.68</v>
      </c>
      <c r="L44" s="608">
        <v>11.101000000000001</v>
      </c>
      <c r="M44" s="609">
        <v>8136</v>
      </c>
      <c r="N44" s="607">
        <v>0.13600000000000001</v>
      </c>
      <c r="O44" s="607">
        <v>10.28</v>
      </c>
      <c r="P44" s="607">
        <v>0.68</v>
      </c>
    </row>
    <row r="45" spans="4:16">
      <c r="D45" s="602" t="s">
        <v>551</v>
      </c>
      <c r="E45" s="605" t="s">
        <v>893</v>
      </c>
      <c r="F45" s="606">
        <v>42212</v>
      </c>
      <c r="G45" s="437">
        <f t="shared" si="0"/>
        <v>2015</v>
      </c>
      <c r="H45" s="437">
        <f t="shared" si="1"/>
        <v>7</v>
      </c>
      <c r="I45" s="607">
        <v>17</v>
      </c>
      <c r="J45" s="607">
        <v>9.2620000000000005</v>
      </c>
      <c r="K45" s="607">
        <v>0.94599999999999995</v>
      </c>
      <c r="L45" s="608">
        <v>10.208</v>
      </c>
      <c r="M45" s="609">
        <v>8769</v>
      </c>
      <c r="N45" s="607">
        <v>0.11600000000000001</v>
      </c>
      <c r="O45" s="607">
        <v>9.0749999999999993</v>
      </c>
      <c r="P45" s="607">
        <v>0.94599999999999995</v>
      </c>
    </row>
    <row r="46" spans="4:16">
      <c r="D46" s="602" t="s">
        <v>551</v>
      </c>
      <c r="E46" s="605" t="s">
        <v>893</v>
      </c>
      <c r="F46" s="606">
        <v>42230</v>
      </c>
      <c r="G46" s="437">
        <f t="shared" si="0"/>
        <v>2015</v>
      </c>
      <c r="H46" s="437">
        <f t="shared" si="1"/>
        <v>8</v>
      </c>
      <c r="I46" s="607">
        <v>16</v>
      </c>
      <c r="J46" s="607">
        <v>11.696999999999999</v>
      </c>
      <c r="K46" s="607">
        <v>0.122</v>
      </c>
      <c r="L46" s="608">
        <v>11.819000000000001</v>
      </c>
      <c r="M46" s="609">
        <v>8926</v>
      </c>
      <c r="N46" s="607">
        <v>0.13200000000000001</v>
      </c>
      <c r="O46" s="607">
        <v>11.432</v>
      </c>
      <c r="P46" s="607">
        <v>0.122</v>
      </c>
    </row>
    <row r="47" spans="4:16">
      <c r="D47" s="602" t="s">
        <v>551</v>
      </c>
      <c r="E47" s="605" t="s">
        <v>893</v>
      </c>
      <c r="F47" s="606">
        <v>42250</v>
      </c>
      <c r="G47" s="437">
        <f t="shared" si="0"/>
        <v>2015</v>
      </c>
      <c r="H47" s="437">
        <f t="shared" si="1"/>
        <v>9</v>
      </c>
      <c r="I47" s="607">
        <v>17</v>
      </c>
      <c r="J47" s="607">
        <v>12.102</v>
      </c>
      <c r="K47" s="607">
        <v>0.14599999999999999</v>
      </c>
      <c r="L47" s="608">
        <v>12.247999999999999</v>
      </c>
      <c r="M47" s="609">
        <v>8657</v>
      </c>
      <c r="N47" s="607">
        <v>0.14099999999999999</v>
      </c>
      <c r="O47" s="607">
        <v>11.907</v>
      </c>
      <c r="P47" s="607">
        <v>0.14599999999999999</v>
      </c>
    </row>
    <row r="48" spans="4:16">
      <c r="D48" s="602" t="s">
        <v>551</v>
      </c>
      <c r="E48" s="605" t="s">
        <v>893</v>
      </c>
      <c r="F48" s="606">
        <v>42285</v>
      </c>
      <c r="G48" s="437">
        <f t="shared" si="0"/>
        <v>2015</v>
      </c>
      <c r="H48" s="437">
        <f t="shared" si="1"/>
        <v>10</v>
      </c>
      <c r="I48" s="607">
        <v>12</v>
      </c>
      <c r="J48" s="607">
        <v>7.3460000000000001</v>
      </c>
      <c r="K48" s="607">
        <v>0.55200000000000005</v>
      </c>
      <c r="L48" s="608">
        <v>7.8979999999999997</v>
      </c>
      <c r="M48" s="609">
        <v>5943</v>
      </c>
      <c r="N48" s="607">
        <v>0.13300000000000001</v>
      </c>
      <c r="O48" s="607">
        <v>7.0949999999999998</v>
      </c>
      <c r="P48" s="607">
        <v>0.55200000000000005</v>
      </c>
    </row>
    <row r="49" spans="4:16">
      <c r="D49" s="602" t="s">
        <v>551</v>
      </c>
      <c r="E49" s="605" t="s">
        <v>893</v>
      </c>
      <c r="F49" s="606">
        <v>42338</v>
      </c>
      <c r="G49" s="437">
        <f t="shared" si="0"/>
        <v>2015</v>
      </c>
      <c r="H49" s="437">
        <f t="shared" si="1"/>
        <v>11</v>
      </c>
      <c r="I49" s="607">
        <v>18</v>
      </c>
      <c r="J49" s="607">
        <v>6.9589999999999996</v>
      </c>
      <c r="K49" s="607">
        <v>0.51900000000000002</v>
      </c>
      <c r="L49" s="608">
        <v>7.4779999999999998</v>
      </c>
      <c r="M49" s="609">
        <v>6574</v>
      </c>
      <c r="N49" s="607">
        <v>0.114</v>
      </c>
      <c r="O49" s="607">
        <v>6.5949999999999998</v>
      </c>
      <c r="P49" s="607">
        <v>0.51900000000000002</v>
      </c>
    </row>
    <row r="50" spans="4:16">
      <c r="D50" s="602" t="s">
        <v>551</v>
      </c>
      <c r="E50" s="605" t="s">
        <v>893</v>
      </c>
      <c r="F50" s="606">
        <v>42355</v>
      </c>
      <c r="G50" s="437">
        <f t="shared" si="0"/>
        <v>2015</v>
      </c>
      <c r="H50" s="437">
        <f t="shared" si="1"/>
        <v>12</v>
      </c>
      <c r="I50" s="607">
        <v>18</v>
      </c>
      <c r="J50" s="607">
        <v>5.915</v>
      </c>
      <c r="K50" s="607">
        <v>1.7050000000000001</v>
      </c>
      <c r="L50" s="608">
        <v>7.62</v>
      </c>
      <c r="M50" s="609">
        <v>6450</v>
      </c>
      <c r="N50" s="607">
        <v>0.11799999999999999</v>
      </c>
      <c r="O50" s="607">
        <v>5.4189999999999996</v>
      </c>
      <c r="P50" s="607">
        <v>1.7050000000000001</v>
      </c>
    </row>
    <row r="51" spans="4:16">
      <c r="D51" s="602" t="s">
        <v>551</v>
      </c>
      <c r="E51" s="435" t="s">
        <v>894</v>
      </c>
      <c r="F51" s="436">
        <v>40927</v>
      </c>
      <c r="G51" s="437">
        <f t="shared" si="0"/>
        <v>2012</v>
      </c>
      <c r="H51" s="437">
        <f t="shared" si="1"/>
        <v>1</v>
      </c>
      <c r="I51" s="438">
        <v>19</v>
      </c>
      <c r="J51" s="438">
        <v>8.0950000000000006</v>
      </c>
      <c r="K51" s="438">
        <v>0</v>
      </c>
      <c r="L51" s="604">
        <v>8.0950000000000006</v>
      </c>
      <c r="M51" s="438">
        <v>6604</v>
      </c>
      <c r="N51" s="439">
        <v>1.1999999999999999E-3</v>
      </c>
      <c r="O51" s="438">
        <v>8.1769999999999996</v>
      </c>
      <c r="P51" s="438">
        <v>0</v>
      </c>
    </row>
    <row r="52" spans="4:16">
      <c r="D52" s="602" t="s">
        <v>551</v>
      </c>
      <c r="E52" s="435" t="s">
        <v>894</v>
      </c>
      <c r="F52" s="436">
        <v>40967</v>
      </c>
      <c r="G52" s="437">
        <f t="shared" si="0"/>
        <v>2012</v>
      </c>
      <c r="H52" s="437">
        <f t="shared" si="1"/>
        <v>2</v>
      </c>
      <c r="I52" s="438">
        <v>19</v>
      </c>
      <c r="J52" s="438">
        <v>7.4610000000000003</v>
      </c>
      <c r="K52" s="438">
        <v>0</v>
      </c>
      <c r="L52" s="604">
        <v>7.4610000000000003</v>
      </c>
      <c r="M52" s="438">
        <v>6178</v>
      </c>
      <c r="N52" s="439">
        <v>1.1999999999999999E-3</v>
      </c>
      <c r="O52" s="438">
        <v>7.5380000000000003</v>
      </c>
      <c r="P52" s="438">
        <v>0</v>
      </c>
    </row>
    <row r="53" spans="4:16">
      <c r="D53" s="602" t="s">
        <v>551</v>
      </c>
      <c r="E53" s="435" t="s">
        <v>894</v>
      </c>
      <c r="F53" s="436">
        <v>40987</v>
      </c>
      <c r="G53" s="437">
        <f t="shared" si="0"/>
        <v>2012</v>
      </c>
      <c r="H53" s="437">
        <f t="shared" si="1"/>
        <v>3</v>
      </c>
      <c r="I53" s="438">
        <v>14</v>
      </c>
      <c r="J53" s="438">
        <v>8.2810000000000006</v>
      </c>
      <c r="K53" s="438">
        <v>0</v>
      </c>
      <c r="L53" s="604">
        <v>8.2810000000000006</v>
      </c>
      <c r="M53" s="438">
        <v>6170</v>
      </c>
      <c r="N53" s="439">
        <v>1.2999999999999999E-3</v>
      </c>
      <c r="O53" s="438">
        <v>8.3559999999999999</v>
      </c>
      <c r="P53" s="438">
        <v>0</v>
      </c>
    </row>
    <row r="54" spans="4:16">
      <c r="D54" s="602" t="s">
        <v>551</v>
      </c>
      <c r="E54" s="435" t="s">
        <v>894</v>
      </c>
      <c r="F54" s="436">
        <v>41024</v>
      </c>
      <c r="G54" s="437">
        <f t="shared" si="0"/>
        <v>2012</v>
      </c>
      <c r="H54" s="437">
        <f t="shared" si="1"/>
        <v>4</v>
      </c>
      <c r="I54" s="438">
        <v>15</v>
      </c>
      <c r="J54" s="438">
        <v>7.5259999999999998</v>
      </c>
      <c r="K54" s="438">
        <v>0</v>
      </c>
      <c r="L54" s="604">
        <v>7.5259999999999998</v>
      </c>
      <c r="M54" s="438">
        <v>5813</v>
      </c>
      <c r="N54" s="439">
        <v>1.2999999999999999E-3</v>
      </c>
      <c r="O54" s="438">
        <v>7.5919999999999996</v>
      </c>
      <c r="P54" s="438">
        <v>0</v>
      </c>
    </row>
    <row r="55" spans="4:16">
      <c r="D55" s="602" t="s">
        <v>551</v>
      </c>
      <c r="E55" s="435" t="s">
        <v>894</v>
      </c>
      <c r="F55" s="436">
        <v>41047</v>
      </c>
      <c r="G55" s="437">
        <f t="shared" si="0"/>
        <v>2012</v>
      </c>
      <c r="H55" s="437">
        <f t="shared" si="1"/>
        <v>5</v>
      </c>
      <c r="I55" s="438">
        <v>17</v>
      </c>
      <c r="J55" s="438">
        <v>9.0589999999999993</v>
      </c>
      <c r="K55" s="438">
        <v>0</v>
      </c>
      <c r="L55" s="604">
        <v>9.0589999999999993</v>
      </c>
      <c r="M55" s="438">
        <v>7203</v>
      </c>
      <c r="N55" s="439">
        <v>1.2999999999999999E-3</v>
      </c>
      <c r="O55" s="438">
        <v>9.15</v>
      </c>
      <c r="P55" s="438">
        <v>0</v>
      </c>
    </row>
    <row r="56" spans="4:16">
      <c r="D56" s="602" t="s">
        <v>551</v>
      </c>
      <c r="E56" s="435" t="s">
        <v>894</v>
      </c>
      <c r="F56" s="436">
        <v>41087</v>
      </c>
      <c r="G56" s="437">
        <f t="shared" si="0"/>
        <v>2012</v>
      </c>
      <c r="H56" s="437">
        <f t="shared" si="1"/>
        <v>6</v>
      </c>
      <c r="I56" s="438">
        <v>17</v>
      </c>
      <c r="J56" s="438">
        <v>11.82</v>
      </c>
      <c r="K56" s="438">
        <v>0</v>
      </c>
      <c r="L56" s="604">
        <v>11.82</v>
      </c>
      <c r="M56" s="438">
        <v>8833</v>
      </c>
      <c r="N56" s="439">
        <v>1.2999999999999999E-3</v>
      </c>
      <c r="O56" s="438">
        <v>11.930999999999999</v>
      </c>
      <c r="P56" s="438">
        <v>0</v>
      </c>
    </row>
    <row r="57" spans="4:16">
      <c r="D57" s="602" t="s">
        <v>551</v>
      </c>
      <c r="E57" s="435" t="s">
        <v>894</v>
      </c>
      <c r="F57" s="436">
        <v>41092</v>
      </c>
      <c r="G57" s="437">
        <f t="shared" si="0"/>
        <v>2012</v>
      </c>
      <c r="H57" s="437">
        <f t="shared" si="1"/>
        <v>7</v>
      </c>
      <c r="I57" s="438">
        <v>17</v>
      </c>
      <c r="J57" s="438">
        <v>12.789</v>
      </c>
      <c r="K57" s="438">
        <v>0</v>
      </c>
      <c r="L57" s="604">
        <v>12.789</v>
      </c>
      <c r="M57" s="438">
        <v>9682</v>
      </c>
      <c r="N57" s="439">
        <v>1.2999999999999999E-3</v>
      </c>
      <c r="O57" s="438">
        <v>12.896000000000001</v>
      </c>
      <c r="P57" s="438">
        <v>0</v>
      </c>
    </row>
    <row r="58" spans="4:16">
      <c r="D58" s="602" t="s">
        <v>551</v>
      </c>
      <c r="E58" s="435" t="s">
        <v>894</v>
      </c>
      <c r="F58" s="436">
        <v>41122</v>
      </c>
      <c r="G58" s="437">
        <f t="shared" si="0"/>
        <v>2012</v>
      </c>
      <c r="H58" s="437">
        <f t="shared" si="1"/>
        <v>8</v>
      </c>
      <c r="I58" s="438">
        <v>17</v>
      </c>
      <c r="J58" s="438">
        <v>12.018000000000001</v>
      </c>
      <c r="K58" s="438">
        <v>0</v>
      </c>
      <c r="L58" s="604">
        <v>12.018000000000001</v>
      </c>
      <c r="M58" s="438">
        <v>8979</v>
      </c>
      <c r="N58" s="439">
        <v>1.2999999999999999E-3</v>
      </c>
      <c r="O58" s="438">
        <v>12.132</v>
      </c>
      <c r="P58" s="438">
        <v>0</v>
      </c>
    </row>
    <row r="59" spans="4:16">
      <c r="D59" s="602" t="s">
        <v>551</v>
      </c>
      <c r="E59" s="435" t="s">
        <v>894</v>
      </c>
      <c r="F59" s="436">
        <v>41156</v>
      </c>
      <c r="G59" s="437">
        <f t="shared" si="0"/>
        <v>2012</v>
      </c>
      <c r="H59" s="437">
        <f t="shared" si="1"/>
        <v>9</v>
      </c>
      <c r="I59" s="438">
        <v>16</v>
      </c>
      <c r="J59" s="438">
        <v>11.038</v>
      </c>
      <c r="K59" s="438">
        <v>0</v>
      </c>
      <c r="L59" s="604">
        <v>11.038</v>
      </c>
      <c r="M59" s="438">
        <v>8521</v>
      </c>
      <c r="N59" s="439">
        <v>1.2999999999999999E-3</v>
      </c>
      <c r="O59" s="438">
        <v>11.143000000000001</v>
      </c>
      <c r="P59" s="438">
        <v>0</v>
      </c>
    </row>
    <row r="60" spans="4:16">
      <c r="D60" s="602" t="s">
        <v>551</v>
      </c>
      <c r="E60" s="435" t="s">
        <v>894</v>
      </c>
      <c r="F60" s="436">
        <v>41185</v>
      </c>
      <c r="G60" s="437">
        <f t="shared" si="0"/>
        <v>2012</v>
      </c>
      <c r="H60" s="437">
        <f t="shared" si="1"/>
        <v>10</v>
      </c>
      <c r="I60" s="438">
        <v>14</v>
      </c>
      <c r="J60" s="438">
        <v>7.9020000000000001</v>
      </c>
      <c r="K60" s="438">
        <v>0</v>
      </c>
      <c r="L60" s="604">
        <v>7.9020000000000001</v>
      </c>
      <c r="M60" s="438">
        <v>6122</v>
      </c>
      <c r="N60" s="439">
        <v>1.2999999999999999E-3</v>
      </c>
      <c r="O60" s="438">
        <v>7.9809999999999999</v>
      </c>
      <c r="P60" s="438">
        <v>0</v>
      </c>
    </row>
    <row r="61" spans="4:16">
      <c r="D61" s="602" t="s">
        <v>551</v>
      </c>
      <c r="E61" s="435" t="s">
        <v>894</v>
      </c>
      <c r="F61" s="436">
        <v>41239</v>
      </c>
      <c r="G61" s="437">
        <f t="shared" si="0"/>
        <v>2012</v>
      </c>
      <c r="H61" s="437">
        <f t="shared" si="1"/>
        <v>11</v>
      </c>
      <c r="I61" s="438">
        <v>18</v>
      </c>
      <c r="J61" s="438">
        <v>8.0030000000000001</v>
      </c>
      <c r="K61" s="438">
        <v>0</v>
      </c>
      <c r="L61" s="604">
        <v>8.0030000000000001</v>
      </c>
      <c r="M61" s="438">
        <v>6416</v>
      </c>
      <c r="N61" s="439">
        <v>1.1999999999999999E-3</v>
      </c>
      <c r="O61" s="438">
        <v>8.0660000000000007</v>
      </c>
      <c r="P61" s="438">
        <v>0</v>
      </c>
    </row>
    <row r="62" spans="4:16">
      <c r="D62" s="602" t="s">
        <v>551</v>
      </c>
      <c r="E62" s="435" t="s">
        <v>894</v>
      </c>
      <c r="F62" s="436">
        <v>41253</v>
      </c>
      <c r="G62" s="437">
        <f t="shared" si="0"/>
        <v>2012</v>
      </c>
      <c r="H62" s="437">
        <f t="shared" si="1"/>
        <v>12</v>
      </c>
      <c r="I62" s="438">
        <v>18</v>
      </c>
      <c r="J62" s="438">
        <v>8.5519999999999996</v>
      </c>
      <c r="K62" s="438">
        <v>0</v>
      </c>
      <c r="L62" s="604">
        <v>8.5519999999999996</v>
      </c>
      <c r="M62" s="438">
        <v>6609</v>
      </c>
      <c r="N62" s="439">
        <v>1.2999999999999999E-3</v>
      </c>
      <c r="O62" s="438">
        <v>8.673</v>
      </c>
      <c r="P62" s="438">
        <v>0</v>
      </c>
    </row>
    <row r="63" spans="4:16">
      <c r="D63" s="602" t="s">
        <v>551</v>
      </c>
      <c r="E63" s="435" t="s">
        <v>894</v>
      </c>
      <c r="F63" s="436">
        <v>41295</v>
      </c>
      <c r="G63" s="437">
        <f t="shared" si="0"/>
        <v>2013</v>
      </c>
      <c r="H63" s="437">
        <f t="shared" si="1"/>
        <v>1</v>
      </c>
      <c r="I63" s="438">
        <v>19</v>
      </c>
      <c r="J63" s="438">
        <v>8.3889999999999993</v>
      </c>
      <c r="K63" s="438">
        <v>0</v>
      </c>
      <c r="L63" s="604">
        <v>8.3889999999999993</v>
      </c>
      <c r="M63" s="438">
        <v>6846</v>
      </c>
      <c r="N63" s="439">
        <v>1.1999999999999999E-3</v>
      </c>
      <c r="O63" s="438">
        <v>8.4740000000000002</v>
      </c>
      <c r="P63" s="438">
        <v>0</v>
      </c>
    </row>
    <row r="64" spans="4:16">
      <c r="D64" s="602" t="s">
        <v>551</v>
      </c>
      <c r="E64" s="435" t="s">
        <v>894</v>
      </c>
      <c r="F64" s="436">
        <v>41324</v>
      </c>
      <c r="G64" s="437">
        <f t="shared" si="0"/>
        <v>2013</v>
      </c>
      <c r="H64" s="437">
        <f t="shared" si="1"/>
        <v>2</v>
      </c>
      <c r="I64" s="438">
        <v>19</v>
      </c>
      <c r="J64" s="438">
        <v>7.9219999999999997</v>
      </c>
      <c r="K64" s="438">
        <v>0</v>
      </c>
      <c r="L64" s="604">
        <v>7.9219999999999997</v>
      </c>
      <c r="M64" s="438">
        <v>6511</v>
      </c>
      <c r="N64" s="439">
        <v>1.1999999999999999E-3</v>
      </c>
      <c r="O64" s="438">
        <v>8.0020000000000007</v>
      </c>
      <c r="P64" s="438">
        <v>0</v>
      </c>
    </row>
    <row r="65" spans="4:16">
      <c r="D65" s="602" t="s">
        <v>551</v>
      </c>
      <c r="E65" s="435" t="s">
        <v>894</v>
      </c>
      <c r="F65" s="436">
        <v>41337</v>
      </c>
      <c r="G65" s="437">
        <f t="shared" si="0"/>
        <v>2013</v>
      </c>
      <c r="H65" s="437">
        <f t="shared" si="1"/>
        <v>3</v>
      </c>
      <c r="I65" s="438">
        <v>19</v>
      </c>
      <c r="J65" s="438">
        <v>7.7130000000000001</v>
      </c>
      <c r="K65" s="438">
        <v>0</v>
      </c>
      <c r="L65" s="604">
        <v>7.7130000000000001</v>
      </c>
      <c r="M65" s="438">
        <v>6172</v>
      </c>
      <c r="N65" s="439">
        <v>1.1999999999999999E-3</v>
      </c>
      <c r="O65" s="438">
        <v>7.7919999999999998</v>
      </c>
      <c r="P65" s="438">
        <v>0</v>
      </c>
    </row>
    <row r="66" spans="4:16">
      <c r="D66" s="602" t="s">
        <v>551</v>
      </c>
      <c r="E66" s="435" t="s">
        <v>894</v>
      </c>
      <c r="F66" s="436">
        <v>41382</v>
      </c>
      <c r="G66" s="437">
        <f t="shared" si="0"/>
        <v>2013</v>
      </c>
      <c r="H66" s="437">
        <f t="shared" si="1"/>
        <v>4</v>
      </c>
      <c r="I66" s="438">
        <v>12</v>
      </c>
      <c r="J66" s="438">
        <v>8.1270000000000007</v>
      </c>
      <c r="K66" s="438">
        <v>0</v>
      </c>
      <c r="L66" s="604">
        <v>8.1270000000000007</v>
      </c>
      <c r="M66" s="438">
        <v>5851</v>
      </c>
      <c r="N66" s="439">
        <v>1.4E-3</v>
      </c>
      <c r="O66" s="438">
        <v>8.1910000000000007</v>
      </c>
      <c r="P66" s="438">
        <v>0</v>
      </c>
    </row>
    <row r="67" spans="4:16">
      <c r="D67" s="602" t="s">
        <v>551</v>
      </c>
      <c r="E67" s="435" t="s">
        <v>894</v>
      </c>
      <c r="F67" s="436">
        <v>41408</v>
      </c>
      <c r="G67" s="437">
        <f t="shared" ref="G67:G130" si="2">YEAR(F67)</f>
        <v>2013</v>
      </c>
      <c r="H67" s="437">
        <f t="shared" ref="H67:H130" si="3">MONTH(F67)</f>
        <v>5</v>
      </c>
      <c r="I67" s="438">
        <v>17</v>
      </c>
      <c r="J67" s="438">
        <v>8.1150000000000002</v>
      </c>
      <c r="K67" s="438">
        <v>0</v>
      </c>
      <c r="L67" s="604">
        <v>8.1150000000000002</v>
      </c>
      <c r="M67" s="438">
        <v>6516</v>
      </c>
      <c r="N67" s="439">
        <v>1.1999999999999999E-3</v>
      </c>
      <c r="O67" s="438">
        <v>8.19</v>
      </c>
      <c r="P67" s="438">
        <v>0</v>
      </c>
    </row>
    <row r="68" spans="4:16">
      <c r="D68" s="602" t="s">
        <v>551</v>
      </c>
      <c r="E68" s="435" t="s">
        <v>894</v>
      </c>
      <c r="F68" s="436">
        <v>41451</v>
      </c>
      <c r="G68" s="437">
        <f t="shared" si="2"/>
        <v>2013</v>
      </c>
      <c r="H68" s="437">
        <f t="shared" si="3"/>
        <v>6</v>
      </c>
      <c r="I68" s="438">
        <v>16</v>
      </c>
      <c r="J68" s="438">
        <v>11.577999999999999</v>
      </c>
      <c r="K68" s="438">
        <v>0</v>
      </c>
      <c r="L68" s="604">
        <v>11.577999999999999</v>
      </c>
      <c r="M68" s="438">
        <v>8280</v>
      </c>
      <c r="N68" s="439">
        <v>1.4E-3</v>
      </c>
      <c r="O68" s="438">
        <v>11.678000000000001</v>
      </c>
      <c r="P68" s="438">
        <v>0</v>
      </c>
    </row>
    <row r="69" spans="4:16">
      <c r="D69" s="602" t="s">
        <v>551</v>
      </c>
      <c r="E69" s="435" t="s">
        <v>894</v>
      </c>
      <c r="F69" s="436">
        <v>41473</v>
      </c>
      <c r="G69" s="437">
        <f t="shared" si="2"/>
        <v>2013</v>
      </c>
      <c r="H69" s="437">
        <f t="shared" si="3"/>
        <v>7</v>
      </c>
      <c r="I69" s="438">
        <v>17</v>
      </c>
      <c r="J69" s="438">
        <v>12.465</v>
      </c>
      <c r="K69" s="438">
        <v>0</v>
      </c>
      <c r="L69" s="604">
        <v>12.465</v>
      </c>
      <c r="M69" s="438">
        <v>9566</v>
      </c>
      <c r="N69" s="439">
        <v>1.2999999999999999E-3</v>
      </c>
      <c r="O69" s="438">
        <v>12.584</v>
      </c>
      <c r="P69" s="438">
        <v>0</v>
      </c>
    </row>
    <row r="70" spans="4:16">
      <c r="D70" s="602" t="s">
        <v>551</v>
      </c>
      <c r="E70" s="435" t="s">
        <v>894</v>
      </c>
      <c r="F70" s="436">
        <v>41512</v>
      </c>
      <c r="G70" s="437">
        <f t="shared" si="2"/>
        <v>2013</v>
      </c>
      <c r="H70" s="437">
        <f t="shared" si="3"/>
        <v>8</v>
      </c>
      <c r="I70" s="438">
        <v>17</v>
      </c>
      <c r="J70" s="438">
        <v>12.738</v>
      </c>
      <c r="K70" s="438">
        <v>0</v>
      </c>
      <c r="L70" s="604">
        <v>12.738</v>
      </c>
      <c r="M70" s="438">
        <v>9821</v>
      </c>
      <c r="N70" s="439">
        <v>1.2999999999999999E-3</v>
      </c>
      <c r="O70" s="438">
        <v>12.86</v>
      </c>
      <c r="P70" s="438">
        <v>0</v>
      </c>
    </row>
    <row r="71" spans="4:16">
      <c r="D71" s="602" t="s">
        <v>551</v>
      </c>
      <c r="E71" s="435" t="s">
        <v>894</v>
      </c>
      <c r="F71" s="436">
        <v>41526</v>
      </c>
      <c r="G71" s="437">
        <f t="shared" si="2"/>
        <v>2013</v>
      </c>
      <c r="H71" s="437">
        <f t="shared" si="3"/>
        <v>9</v>
      </c>
      <c r="I71" s="438">
        <v>17</v>
      </c>
      <c r="J71" s="438">
        <v>11.677</v>
      </c>
      <c r="K71" s="438">
        <v>0</v>
      </c>
      <c r="L71" s="604">
        <v>11.677</v>
      </c>
      <c r="M71" s="438">
        <v>8781</v>
      </c>
      <c r="N71" s="439">
        <v>1.2999999999999999E-3</v>
      </c>
      <c r="O71" s="438">
        <v>11.8</v>
      </c>
      <c r="P71" s="438">
        <v>0</v>
      </c>
    </row>
    <row r="72" spans="4:16">
      <c r="D72" s="602" t="s">
        <v>551</v>
      </c>
      <c r="E72" s="435" t="s">
        <v>894</v>
      </c>
      <c r="F72" s="436">
        <v>41548</v>
      </c>
      <c r="G72" s="437">
        <f t="shared" si="2"/>
        <v>2013</v>
      </c>
      <c r="H72" s="437">
        <f t="shared" si="3"/>
        <v>10</v>
      </c>
      <c r="I72" s="438">
        <v>14</v>
      </c>
      <c r="J72" s="438">
        <v>8.7349999999999994</v>
      </c>
      <c r="K72" s="438">
        <v>0</v>
      </c>
      <c r="L72" s="604">
        <v>8.7349999999999994</v>
      </c>
      <c r="M72" s="438">
        <v>6214</v>
      </c>
      <c r="N72" s="439">
        <v>1.4E-3</v>
      </c>
      <c r="O72" s="438">
        <v>8.8130000000000006</v>
      </c>
      <c r="P72" s="438">
        <v>0</v>
      </c>
    </row>
    <row r="73" spans="4:16">
      <c r="D73" s="602" t="s">
        <v>551</v>
      </c>
      <c r="E73" s="435" t="s">
        <v>894</v>
      </c>
      <c r="F73" s="436">
        <v>41604</v>
      </c>
      <c r="G73" s="437">
        <f t="shared" si="2"/>
        <v>2013</v>
      </c>
      <c r="H73" s="437">
        <f t="shared" si="3"/>
        <v>11</v>
      </c>
      <c r="I73" s="438">
        <v>18</v>
      </c>
      <c r="J73" s="438">
        <v>8.14</v>
      </c>
      <c r="K73" s="438">
        <v>0</v>
      </c>
      <c r="L73" s="604">
        <v>8.14</v>
      </c>
      <c r="M73" s="438">
        <v>6372</v>
      </c>
      <c r="N73" s="439">
        <v>1.2999999999999999E-3</v>
      </c>
      <c r="O73" s="438">
        <v>8.2249999999999996</v>
      </c>
      <c r="P73" s="438">
        <v>0</v>
      </c>
    </row>
    <row r="74" spans="4:16">
      <c r="D74" s="602" t="s">
        <v>551</v>
      </c>
      <c r="E74" s="435" t="s">
        <v>894</v>
      </c>
      <c r="F74" s="436">
        <v>41619</v>
      </c>
      <c r="G74" s="437">
        <f t="shared" si="2"/>
        <v>2013</v>
      </c>
      <c r="H74" s="437">
        <f t="shared" si="3"/>
        <v>12</v>
      </c>
      <c r="I74" s="438">
        <v>18</v>
      </c>
      <c r="J74" s="438">
        <v>9.1859999999999999</v>
      </c>
      <c r="K74" s="438">
        <v>0</v>
      </c>
      <c r="L74" s="604">
        <v>9.1859999999999999</v>
      </c>
      <c r="M74" s="438">
        <v>6972</v>
      </c>
      <c r="N74" s="439">
        <v>1.2999999999999999E-3</v>
      </c>
      <c r="O74" s="438">
        <v>9.2750000000000004</v>
      </c>
      <c r="P74" s="438">
        <v>0</v>
      </c>
    </row>
    <row r="75" spans="4:16">
      <c r="D75" s="602" t="s">
        <v>551</v>
      </c>
      <c r="E75" s="605" t="s">
        <v>894</v>
      </c>
      <c r="F75" s="606">
        <v>41645</v>
      </c>
      <c r="G75" s="437">
        <f t="shared" si="2"/>
        <v>2014</v>
      </c>
      <c r="H75" s="437">
        <f t="shared" si="3"/>
        <v>1</v>
      </c>
      <c r="I75" s="607">
        <v>18</v>
      </c>
      <c r="J75" s="607">
        <v>8.9139999999999997</v>
      </c>
      <c r="K75" s="607">
        <v>0</v>
      </c>
      <c r="L75" s="608">
        <v>8.9139999999999997</v>
      </c>
      <c r="M75" s="609">
        <v>7188</v>
      </c>
      <c r="N75" s="607">
        <v>0.124</v>
      </c>
      <c r="O75" s="607">
        <v>9.0039999999999996</v>
      </c>
      <c r="P75" s="607">
        <v>0</v>
      </c>
    </row>
    <row r="76" spans="4:16">
      <c r="D76" s="602" t="s">
        <v>551</v>
      </c>
      <c r="E76" s="605" t="s">
        <v>894</v>
      </c>
      <c r="F76" s="606">
        <v>41676</v>
      </c>
      <c r="G76" s="437">
        <f t="shared" si="2"/>
        <v>2014</v>
      </c>
      <c r="H76" s="437">
        <f t="shared" si="3"/>
        <v>2</v>
      </c>
      <c r="I76" s="607">
        <v>19</v>
      </c>
      <c r="J76" s="607">
        <v>8.4879999999999995</v>
      </c>
      <c r="K76" s="607">
        <v>0</v>
      </c>
      <c r="L76" s="608">
        <v>8.4879999999999995</v>
      </c>
      <c r="M76" s="609">
        <v>6743</v>
      </c>
      <c r="N76" s="607">
        <v>0.126</v>
      </c>
      <c r="O76" s="607">
        <v>8.5809999999999995</v>
      </c>
      <c r="P76" s="607">
        <v>0</v>
      </c>
    </row>
    <row r="77" spans="4:16">
      <c r="D77" s="602" t="s">
        <v>551</v>
      </c>
      <c r="E77" s="605" t="s">
        <v>894</v>
      </c>
      <c r="F77" s="606">
        <v>41701</v>
      </c>
      <c r="G77" s="437">
        <f t="shared" si="2"/>
        <v>2014</v>
      </c>
      <c r="H77" s="437">
        <f t="shared" si="3"/>
        <v>3</v>
      </c>
      <c r="I77" s="607">
        <v>19</v>
      </c>
      <c r="J77" s="607">
        <v>8.1240000000000006</v>
      </c>
      <c r="K77" s="607">
        <v>0</v>
      </c>
      <c r="L77" s="608">
        <v>8.1240000000000006</v>
      </c>
      <c r="M77" s="609">
        <v>6537</v>
      </c>
      <c r="N77" s="607">
        <v>0.124</v>
      </c>
      <c r="O77" s="607">
        <v>8.2080000000000002</v>
      </c>
      <c r="P77" s="607">
        <v>0</v>
      </c>
    </row>
    <row r="78" spans="4:16">
      <c r="D78" s="602" t="s">
        <v>551</v>
      </c>
      <c r="E78" s="605" t="s">
        <v>894</v>
      </c>
      <c r="F78" s="606">
        <v>41730</v>
      </c>
      <c r="G78" s="437">
        <f t="shared" si="2"/>
        <v>2014</v>
      </c>
      <c r="H78" s="437">
        <f t="shared" si="3"/>
        <v>4</v>
      </c>
      <c r="I78" s="607">
        <v>11</v>
      </c>
      <c r="J78" s="607">
        <v>7.6790000000000003</v>
      </c>
      <c r="K78" s="607">
        <v>0.223</v>
      </c>
      <c r="L78" s="608">
        <v>7.9020000000000001</v>
      </c>
      <c r="M78" s="609">
        <v>5924</v>
      </c>
      <c r="N78" s="607">
        <v>0.13300000000000001</v>
      </c>
      <c r="O78" s="607">
        <v>7.78</v>
      </c>
      <c r="P78" s="607">
        <v>0.223</v>
      </c>
    </row>
    <row r="79" spans="4:16">
      <c r="D79" s="602" t="s">
        <v>551</v>
      </c>
      <c r="E79" s="605" t="s">
        <v>894</v>
      </c>
      <c r="F79" s="606">
        <v>41789</v>
      </c>
      <c r="G79" s="437">
        <f t="shared" si="2"/>
        <v>2014</v>
      </c>
      <c r="H79" s="437">
        <f t="shared" si="3"/>
        <v>5</v>
      </c>
      <c r="I79" s="607">
        <v>16</v>
      </c>
      <c r="J79" s="607">
        <v>10.023999999999999</v>
      </c>
      <c r="K79" s="607">
        <v>0</v>
      </c>
      <c r="L79" s="608">
        <v>10.023999999999999</v>
      </c>
      <c r="M79" s="609">
        <v>7422</v>
      </c>
      <c r="N79" s="607">
        <v>0.13500000000000001</v>
      </c>
      <c r="O79" s="607">
        <v>10.135</v>
      </c>
      <c r="P79" s="607">
        <v>0</v>
      </c>
    </row>
    <row r="80" spans="4:16">
      <c r="D80" s="602" t="s">
        <v>551</v>
      </c>
      <c r="E80" s="605" t="s">
        <v>894</v>
      </c>
      <c r="F80" s="606">
        <v>41814</v>
      </c>
      <c r="G80" s="437">
        <f t="shared" si="2"/>
        <v>2014</v>
      </c>
      <c r="H80" s="437">
        <f t="shared" si="3"/>
        <v>6</v>
      </c>
      <c r="I80" s="607">
        <v>16</v>
      </c>
      <c r="J80" s="607">
        <v>10.457000000000001</v>
      </c>
      <c r="K80" s="607">
        <v>0</v>
      </c>
      <c r="L80" s="608">
        <v>10.457000000000001</v>
      </c>
      <c r="M80" s="609">
        <v>7670</v>
      </c>
      <c r="N80" s="607">
        <v>0.13600000000000001</v>
      </c>
      <c r="O80" s="607">
        <v>10.574</v>
      </c>
      <c r="P80" s="607">
        <v>0</v>
      </c>
    </row>
    <row r="81" spans="4:16">
      <c r="D81" s="602" t="s">
        <v>551</v>
      </c>
      <c r="E81" s="605" t="s">
        <v>894</v>
      </c>
      <c r="F81" s="606">
        <v>41841</v>
      </c>
      <c r="G81" s="437">
        <f t="shared" si="2"/>
        <v>2014</v>
      </c>
      <c r="H81" s="437">
        <f t="shared" si="3"/>
        <v>7</v>
      </c>
      <c r="I81" s="607">
        <v>17</v>
      </c>
      <c r="J81" s="607">
        <v>11.715</v>
      </c>
      <c r="K81" s="607">
        <v>0</v>
      </c>
      <c r="L81" s="608">
        <v>11.715</v>
      </c>
      <c r="M81" s="609">
        <v>9150</v>
      </c>
      <c r="N81" s="607">
        <v>0.128</v>
      </c>
      <c r="O81" s="607">
        <v>11.832000000000001</v>
      </c>
      <c r="P81" s="607">
        <v>0</v>
      </c>
    </row>
    <row r="82" spans="4:16">
      <c r="D82" s="602" t="s">
        <v>551</v>
      </c>
      <c r="E82" s="605" t="s">
        <v>894</v>
      </c>
      <c r="F82" s="606">
        <v>41869</v>
      </c>
      <c r="G82" s="437">
        <f t="shared" si="2"/>
        <v>2014</v>
      </c>
      <c r="H82" s="437">
        <f t="shared" si="3"/>
        <v>8</v>
      </c>
      <c r="I82" s="607">
        <v>16</v>
      </c>
      <c r="J82" s="607">
        <v>11.052</v>
      </c>
      <c r="K82" s="607">
        <v>0</v>
      </c>
      <c r="L82" s="608">
        <v>11.052</v>
      </c>
      <c r="M82" s="609">
        <v>8190</v>
      </c>
      <c r="N82" s="607">
        <v>0.13500000000000001</v>
      </c>
      <c r="O82" s="607">
        <v>11.175000000000001</v>
      </c>
      <c r="P82" s="607">
        <v>0</v>
      </c>
    </row>
    <row r="83" spans="4:16">
      <c r="D83" s="602" t="s">
        <v>551</v>
      </c>
      <c r="E83" s="605" t="s">
        <v>894</v>
      </c>
      <c r="F83" s="606">
        <v>41886</v>
      </c>
      <c r="G83" s="437">
        <f t="shared" si="2"/>
        <v>2014</v>
      </c>
      <c r="H83" s="437">
        <f t="shared" si="3"/>
        <v>9</v>
      </c>
      <c r="I83" s="607">
        <v>15</v>
      </c>
      <c r="J83" s="607">
        <v>10.436</v>
      </c>
      <c r="K83" s="607">
        <v>0</v>
      </c>
      <c r="L83" s="608">
        <v>10.436</v>
      </c>
      <c r="M83" s="609">
        <v>7758</v>
      </c>
      <c r="N83" s="607">
        <v>0.13500000000000001</v>
      </c>
      <c r="O83" s="607">
        <v>10.539</v>
      </c>
      <c r="P83" s="607">
        <v>0</v>
      </c>
    </row>
    <row r="84" spans="4:16">
      <c r="D84" s="602" t="s">
        <v>551</v>
      </c>
      <c r="E84" s="605" t="s">
        <v>894</v>
      </c>
      <c r="F84" s="606">
        <v>41942</v>
      </c>
      <c r="G84" s="437">
        <f t="shared" si="2"/>
        <v>2014</v>
      </c>
      <c r="H84" s="437">
        <f t="shared" si="3"/>
        <v>10</v>
      </c>
      <c r="I84" s="607">
        <v>20</v>
      </c>
      <c r="J84" s="607">
        <v>7.1859999999999999</v>
      </c>
      <c r="K84" s="607">
        <v>0</v>
      </c>
      <c r="L84" s="608">
        <v>7.1859999999999999</v>
      </c>
      <c r="M84" s="609">
        <v>5901</v>
      </c>
      <c r="N84" s="607">
        <v>0.122</v>
      </c>
      <c r="O84" s="607">
        <v>7.28</v>
      </c>
      <c r="P84" s="607">
        <v>0</v>
      </c>
    </row>
    <row r="85" spans="4:16">
      <c r="D85" s="602" t="s">
        <v>551</v>
      </c>
      <c r="E85" s="605" t="s">
        <v>894</v>
      </c>
      <c r="F85" s="606">
        <v>41960</v>
      </c>
      <c r="G85" s="437">
        <f t="shared" si="2"/>
        <v>2014</v>
      </c>
      <c r="H85" s="437">
        <f t="shared" si="3"/>
        <v>11</v>
      </c>
      <c r="I85" s="607">
        <v>18</v>
      </c>
      <c r="J85" s="607">
        <v>8.4359999999999999</v>
      </c>
      <c r="K85" s="607">
        <v>0</v>
      </c>
      <c r="L85" s="608">
        <v>8.4359999999999999</v>
      </c>
      <c r="M85" s="609">
        <v>6677</v>
      </c>
      <c r="N85" s="607">
        <v>0.126</v>
      </c>
      <c r="O85" s="607">
        <v>8.5090000000000003</v>
      </c>
      <c r="P85" s="607">
        <v>0</v>
      </c>
    </row>
    <row r="86" spans="4:16">
      <c r="D86" s="602" t="s">
        <v>551</v>
      </c>
      <c r="E86" s="605" t="s">
        <v>894</v>
      </c>
      <c r="F86" s="606">
        <v>41974</v>
      </c>
      <c r="G86" s="437">
        <f t="shared" si="2"/>
        <v>2014</v>
      </c>
      <c r="H86" s="437">
        <f t="shared" si="3"/>
        <v>12</v>
      </c>
      <c r="I86" s="607">
        <v>18</v>
      </c>
      <c r="J86" s="607">
        <v>8.6910000000000007</v>
      </c>
      <c r="K86" s="607">
        <v>0</v>
      </c>
      <c r="L86" s="608">
        <v>8.6910000000000007</v>
      </c>
      <c r="M86" s="609">
        <v>6850</v>
      </c>
      <c r="N86" s="607">
        <v>0.127</v>
      </c>
      <c r="O86" s="607">
        <v>8.7550000000000008</v>
      </c>
      <c r="P86" s="607">
        <v>0</v>
      </c>
    </row>
    <row r="87" spans="4:16">
      <c r="D87" s="602" t="s">
        <v>551</v>
      </c>
      <c r="E87" s="605" t="s">
        <v>894</v>
      </c>
      <c r="F87" s="606">
        <v>42011</v>
      </c>
      <c r="G87" s="437">
        <f t="shared" si="2"/>
        <v>2015</v>
      </c>
      <c r="H87" s="437">
        <f t="shared" si="3"/>
        <v>1</v>
      </c>
      <c r="I87" s="607">
        <v>18</v>
      </c>
      <c r="J87" s="607">
        <v>8.9250000000000007</v>
      </c>
      <c r="K87" s="607">
        <v>0</v>
      </c>
      <c r="L87" s="608">
        <v>8.9250000000000007</v>
      </c>
      <c r="M87" s="609">
        <v>6978</v>
      </c>
      <c r="N87" s="607">
        <v>0.128</v>
      </c>
      <c r="O87" s="607">
        <v>9</v>
      </c>
      <c r="P87" s="607">
        <v>0</v>
      </c>
    </row>
    <row r="88" spans="4:16">
      <c r="D88" s="602" t="s">
        <v>551</v>
      </c>
      <c r="E88" s="605" t="s">
        <v>894</v>
      </c>
      <c r="F88" s="606">
        <v>42053</v>
      </c>
      <c r="G88" s="437">
        <f t="shared" si="2"/>
        <v>2015</v>
      </c>
      <c r="H88" s="437">
        <f t="shared" si="3"/>
        <v>2</v>
      </c>
      <c r="I88" s="607">
        <v>19</v>
      </c>
      <c r="J88" s="607">
        <v>8.8620000000000001</v>
      </c>
      <c r="K88" s="607">
        <v>0</v>
      </c>
      <c r="L88" s="608">
        <v>8.8620000000000001</v>
      </c>
      <c r="M88" s="609">
        <v>6744</v>
      </c>
      <c r="N88" s="607">
        <v>0.13100000000000001</v>
      </c>
      <c r="O88" s="607">
        <v>8.9450000000000003</v>
      </c>
      <c r="P88" s="607">
        <v>0</v>
      </c>
    </row>
    <row r="89" spans="4:16">
      <c r="D89" s="602" t="s">
        <v>551</v>
      </c>
      <c r="E89" s="605" t="s">
        <v>894</v>
      </c>
      <c r="F89" s="606">
        <v>42067</v>
      </c>
      <c r="G89" s="437">
        <f t="shared" si="2"/>
        <v>2015</v>
      </c>
      <c r="H89" s="437">
        <f t="shared" si="3"/>
        <v>3</v>
      </c>
      <c r="I89" s="607">
        <v>20</v>
      </c>
      <c r="J89" s="607">
        <v>8.5839999999999996</v>
      </c>
      <c r="K89" s="607">
        <v>0</v>
      </c>
      <c r="L89" s="608">
        <v>8.5839999999999996</v>
      </c>
      <c r="M89" s="609">
        <v>6470</v>
      </c>
      <c r="N89" s="607">
        <v>0.13300000000000001</v>
      </c>
      <c r="O89" s="607">
        <v>8.6620000000000008</v>
      </c>
      <c r="P89" s="607">
        <v>0</v>
      </c>
    </row>
    <row r="90" spans="4:16">
      <c r="D90" s="602" t="s">
        <v>551</v>
      </c>
      <c r="E90" s="605" t="s">
        <v>894</v>
      </c>
      <c r="F90" s="606">
        <v>42103</v>
      </c>
      <c r="G90" s="437">
        <f t="shared" si="2"/>
        <v>2015</v>
      </c>
      <c r="H90" s="437">
        <f t="shared" si="3"/>
        <v>4</v>
      </c>
      <c r="I90" s="607">
        <v>12</v>
      </c>
      <c r="J90" s="607">
        <v>8.3059999999999992</v>
      </c>
      <c r="K90" s="607">
        <v>0</v>
      </c>
      <c r="L90" s="608">
        <v>8.3059999999999992</v>
      </c>
      <c r="M90" s="609">
        <v>5914</v>
      </c>
      <c r="N90" s="607">
        <v>0.14000000000000001</v>
      </c>
      <c r="O90" s="607">
        <v>8.3859999999999992</v>
      </c>
      <c r="P90" s="607">
        <v>0</v>
      </c>
    </row>
    <row r="91" spans="4:16">
      <c r="D91" s="602" t="s">
        <v>551</v>
      </c>
      <c r="E91" s="605" t="s">
        <v>894</v>
      </c>
      <c r="F91" s="606">
        <v>42152</v>
      </c>
      <c r="G91" s="437">
        <f t="shared" si="2"/>
        <v>2015</v>
      </c>
      <c r="H91" s="437">
        <f t="shared" si="3"/>
        <v>5</v>
      </c>
      <c r="I91" s="607">
        <v>16</v>
      </c>
      <c r="J91" s="607">
        <v>9.5909999999999993</v>
      </c>
      <c r="K91" s="607">
        <v>0</v>
      </c>
      <c r="L91" s="608">
        <v>9.5909999999999993</v>
      </c>
      <c r="M91" s="609">
        <v>6837</v>
      </c>
      <c r="N91" s="607">
        <v>0.14000000000000001</v>
      </c>
      <c r="O91" s="607">
        <v>9.6890000000000001</v>
      </c>
      <c r="P91" s="607">
        <v>0</v>
      </c>
    </row>
    <row r="92" spans="4:16">
      <c r="D92" s="602" t="s">
        <v>551</v>
      </c>
      <c r="E92" s="605" t="s">
        <v>894</v>
      </c>
      <c r="F92" s="606">
        <v>42164</v>
      </c>
      <c r="G92" s="437">
        <f t="shared" si="2"/>
        <v>2015</v>
      </c>
      <c r="H92" s="437">
        <f t="shared" si="3"/>
        <v>6</v>
      </c>
      <c r="I92" s="607">
        <v>17</v>
      </c>
      <c r="J92" s="607">
        <v>11.484999999999999</v>
      </c>
      <c r="K92" s="607">
        <v>0</v>
      </c>
      <c r="L92" s="608">
        <v>11.484999999999999</v>
      </c>
      <c r="M92" s="609">
        <v>8136</v>
      </c>
      <c r="N92" s="607">
        <v>0.14099999999999999</v>
      </c>
      <c r="O92" s="607">
        <v>11.609</v>
      </c>
      <c r="P92" s="607">
        <v>0</v>
      </c>
    </row>
    <row r="93" spans="4:16">
      <c r="D93" s="602" t="s">
        <v>551</v>
      </c>
      <c r="E93" s="605" t="s">
        <v>894</v>
      </c>
      <c r="F93" s="606">
        <v>42212</v>
      </c>
      <c r="G93" s="437">
        <f t="shared" si="2"/>
        <v>2015</v>
      </c>
      <c r="H93" s="437">
        <f t="shared" si="3"/>
        <v>7</v>
      </c>
      <c r="I93" s="607">
        <v>17</v>
      </c>
      <c r="J93" s="607">
        <v>12.162000000000001</v>
      </c>
      <c r="K93" s="607">
        <v>0</v>
      </c>
      <c r="L93" s="608">
        <v>12.162000000000001</v>
      </c>
      <c r="M93" s="609">
        <v>8769</v>
      </c>
      <c r="N93" s="607">
        <v>0.13900000000000001</v>
      </c>
      <c r="O93" s="607">
        <v>12.26</v>
      </c>
      <c r="P93" s="607">
        <v>0</v>
      </c>
    </row>
    <row r="94" spans="4:16">
      <c r="D94" s="602" t="s">
        <v>551</v>
      </c>
      <c r="E94" s="605" t="s">
        <v>894</v>
      </c>
      <c r="F94" s="606">
        <v>42230</v>
      </c>
      <c r="G94" s="437">
        <f t="shared" si="2"/>
        <v>2015</v>
      </c>
      <c r="H94" s="437">
        <f t="shared" si="3"/>
        <v>8</v>
      </c>
      <c r="I94" s="607">
        <v>16</v>
      </c>
      <c r="J94" s="607">
        <v>12.263</v>
      </c>
      <c r="K94" s="607">
        <v>0</v>
      </c>
      <c r="L94" s="608">
        <v>12.263</v>
      </c>
      <c r="M94" s="609">
        <v>8926</v>
      </c>
      <c r="N94" s="607">
        <v>0.13700000000000001</v>
      </c>
      <c r="O94" s="607">
        <v>12.375</v>
      </c>
      <c r="P94" s="607">
        <v>0</v>
      </c>
    </row>
    <row r="95" spans="4:16">
      <c r="D95" s="602" t="s">
        <v>551</v>
      </c>
      <c r="E95" s="605" t="s">
        <v>894</v>
      </c>
      <c r="F95" s="606">
        <v>42250</v>
      </c>
      <c r="G95" s="437">
        <f t="shared" si="2"/>
        <v>2015</v>
      </c>
      <c r="H95" s="437">
        <f t="shared" si="3"/>
        <v>9</v>
      </c>
      <c r="I95" s="607">
        <v>17</v>
      </c>
      <c r="J95" s="607">
        <v>12.021000000000001</v>
      </c>
      <c r="K95" s="607">
        <v>0</v>
      </c>
      <c r="L95" s="608">
        <v>12.021000000000001</v>
      </c>
      <c r="M95" s="609">
        <v>8657</v>
      </c>
      <c r="N95" s="607">
        <v>0.13900000000000001</v>
      </c>
      <c r="O95" s="607">
        <v>12.135999999999999</v>
      </c>
      <c r="P95" s="607">
        <v>0</v>
      </c>
    </row>
    <row r="96" spans="4:16">
      <c r="D96" s="602" t="s">
        <v>551</v>
      </c>
      <c r="E96" s="605" t="s">
        <v>894</v>
      </c>
      <c r="F96" s="606">
        <v>42285</v>
      </c>
      <c r="G96" s="437">
        <f t="shared" si="2"/>
        <v>2015</v>
      </c>
      <c r="H96" s="437">
        <f t="shared" si="3"/>
        <v>10</v>
      </c>
      <c r="I96" s="607">
        <v>12</v>
      </c>
      <c r="J96" s="607">
        <v>8.08</v>
      </c>
      <c r="K96" s="607">
        <v>0</v>
      </c>
      <c r="L96" s="608">
        <v>8.08</v>
      </c>
      <c r="M96" s="609">
        <v>5943</v>
      </c>
      <c r="N96" s="607">
        <v>0.13600000000000001</v>
      </c>
      <c r="O96" s="607">
        <v>8.2509999999999994</v>
      </c>
      <c r="P96" s="607">
        <v>0</v>
      </c>
    </row>
    <row r="97" spans="4:16">
      <c r="D97" s="602" t="s">
        <v>551</v>
      </c>
      <c r="E97" s="605" t="s">
        <v>894</v>
      </c>
      <c r="F97" s="606">
        <v>42338</v>
      </c>
      <c r="G97" s="437">
        <f t="shared" si="2"/>
        <v>2015</v>
      </c>
      <c r="H97" s="437">
        <f t="shared" si="3"/>
        <v>11</v>
      </c>
      <c r="I97" s="607">
        <v>18</v>
      </c>
      <c r="J97" s="607">
        <v>8.7469999999999999</v>
      </c>
      <c r="K97" s="607">
        <v>0</v>
      </c>
      <c r="L97" s="608">
        <v>8.7469999999999999</v>
      </c>
      <c r="M97" s="609">
        <v>6574</v>
      </c>
      <c r="N97" s="607">
        <v>0.13300000000000001</v>
      </c>
      <c r="O97" s="607">
        <v>8.8330000000000002</v>
      </c>
      <c r="P97" s="607">
        <v>0</v>
      </c>
    </row>
    <row r="98" spans="4:16">
      <c r="D98" s="602" t="s">
        <v>551</v>
      </c>
      <c r="E98" s="605" t="s">
        <v>894</v>
      </c>
      <c r="F98" s="606">
        <v>42355</v>
      </c>
      <c r="G98" s="437">
        <f t="shared" si="2"/>
        <v>2015</v>
      </c>
      <c r="H98" s="437">
        <f t="shared" si="3"/>
        <v>12</v>
      </c>
      <c r="I98" s="607">
        <v>18</v>
      </c>
      <c r="J98" s="607">
        <v>8.8409999999999993</v>
      </c>
      <c r="K98" s="607">
        <v>0</v>
      </c>
      <c r="L98" s="608">
        <v>8.8409999999999993</v>
      </c>
      <c r="M98" s="609">
        <v>6450</v>
      </c>
      <c r="N98" s="607">
        <v>0.13700000000000001</v>
      </c>
      <c r="O98" s="607">
        <v>8.9220000000000006</v>
      </c>
      <c r="P98" s="607">
        <v>0</v>
      </c>
    </row>
    <row r="99" spans="4:16">
      <c r="D99" s="602" t="s">
        <v>551</v>
      </c>
      <c r="E99" s="435" t="s">
        <v>895</v>
      </c>
      <c r="F99" s="436">
        <v>40927</v>
      </c>
      <c r="G99" s="437">
        <f t="shared" si="2"/>
        <v>2012</v>
      </c>
      <c r="H99" s="437">
        <f t="shared" si="3"/>
        <v>1</v>
      </c>
      <c r="I99" s="438">
        <v>19</v>
      </c>
      <c r="J99" s="438">
        <v>2.6880000000000002</v>
      </c>
      <c r="K99" s="438">
        <v>0</v>
      </c>
      <c r="L99" s="604">
        <v>0.68799999999999994</v>
      </c>
      <c r="M99" s="438">
        <v>6604</v>
      </c>
      <c r="N99" s="439">
        <v>4.0000000000000002E-4</v>
      </c>
      <c r="O99" s="438">
        <v>2.7069999999999999</v>
      </c>
      <c r="P99" s="438">
        <v>0</v>
      </c>
    </row>
    <row r="100" spans="4:16">
      <c r="D100" s="602" t="s">
        <v>551</v>
      </c>
      <c r="E100" s="435" t="s">
        <v>895</v>
      </c>
      <c r="F100" s="436">
        <v>40967</v>
      </c>
      <c r="G100" s="437">
        <f t="shared" si="2"/>
        <v>2012</v>
      </c>
      <c r="H100" s="437">
        <f t="shared" si="3"/>
        <v>2</v>
      </c>
      <c r="I100" s="438">
        <v>19</v>
      </c>
      <c r="J100" s="438">
        <v>2.3820000000000001</v>
      </c>
      <c r="K100" s="438">
        <v>0</v>
      </c>
      <c r="L100" s="604">
        <v>0.38200000000000001</v>
      </c>
      <c r="M100" s="438">
        <v>6178</v>
      </c>
      <c r="N100" s="439">
        <v>4.0000000000000002E-4</v>
      </c>
      <c r="O100" s="438">
        <v>2.3980000000000001</v>
      </c>
      <c r="P100" s="438">
        <v>0</v>
      </c>
    </row>
    <row r="101" spans="4:16">
      <c r="D101" s="602" t="s">
        <v>551</v>
      </c>
      <c r="E101" s="435" t="s">
        <v>895</v>
      </c>
      <c r="F101" s="436">
        <v>40987</v>
      </c>
      <c r="G101" s="437">
        <f t="shared" si="2"/>
        <v>2012</v>
      </c>
      <c r="H101" s="437">
        <f t="shared" si="3"/>
        <v>3</v>
      </c>
      <c r="I101" s="438">
        <v>14</v>
      </c>
      <c r="J101" s="438">
        <v>1.591</v>
      </c>
      <c r="K101" s="438">
        <v>0</v>
      </c>
      <c r="L101" s="604">
        <v>0.59099999999999997</v>
      </c>
      <c r="M101" s="438">
        <v>6170</v>
      </c>
      <c r="N101" s="439">
        <v>2.9999999999999997E-4</v>
      </c>
      <c r="O101" s="438">
        <v>1.597</v>
      </c>
      <c r="P101" s="438">
        <v>0</v>
      </c>
    </row>
    <row r="102" spans="4:16">
      <c r="D102" s="602" t="s">
        <v>551</v>
      </c>
      <c r="E102" s="435" t="s">
        <v>895</v>
      </c>
      <c r="F102" s="436">
        <v>41024</v>
      </c>
      <c r="G102" s="437">
        <f t="shared" si="2"/>
        <v>2012</v>
      </c>
      <c r="H102" s="437">
        <f t="shared" si="3"/>
        <v>4</v>
      </c>
      <c r="I102" s="438">
        <v>15</v>
      </c>
      <c r="J102" s="438">
        <v>1.673</v>
      </c>
      <c r="K102" s="438">
        <v>0</v>
      </c>
      <c r="L102" s="604">
        <v>0.67300000000000004</v>
      </c>
      <c r="M102" s="438">
        <v>5813</v>
      </c>
      <c r="N102" s="439">
        <v>2.9999999999999997E-4</v>
      </c>
      <c r="O102" s="438">
        <v>1.7</v>
      </c>
      <c r="P102" s="438">
        <v>0</v>
      </c>
    </row>
    <row r="103" spans="4:16">
      <c r="D103" s="602" t="s">
        <v>551</v>
      </c>
      <c r="E103" s="435" t="s">
        <v>895</v>
      </c>
      <c r="F103" s="436">
        <v>41047</v>
      </c>
      <c r="G103" s="437">
        <f t="shared" si="2"/>
        <v>2012</v>
      </c>
      <c r="H103" s="437">
        <f t="shared" si="3"/>
        <v>5</v>
      </c>
      <c r="I103" s="438">
        <v>17</v>
      </c>
      <c r="J103" s="438">
        <v>2.09</v>
      </c>
      <c r="K103" s="438">
        <v>0</v>
      </c>
      <c r="L103" s="604">
        <v>1.0900000000000001</v>
      </c>
      <c r="M103" s="438">
        <v>7203</v>
      </c>
      <c r="N103" s="439">
        <v>2.9999999999999997E-4</v>
      </c>
      <c r="O103" s="438">
        <v>2.093</v>
      </c>
      <c r="P103" s="438">
        <v>0</v>
      </c>
    </row>
    <row r="104" spans="4:16">
      <c r="D104" s="602" t="s">
        <v>551</v>
      </c>
      <c r="E104" s="435" t="s">
        <v>895</v>
      </c>
      <c r="F104" s="436">
        <v>41087</v>
      </c>
      <c r="G104" s="437">
        <f t="shared" si="2"/>
        <v>2012</v>
      </c>
      <c r="H104" s="437">
        <f t="shared" si="3"/>
        <v>6</v>
      </c>
      <c r="I104" s="438">
        <v>17</v>
      </c>
      <c r="J104" s="438">
        <v>2.0539999999999998</v>
      </c>
      <c r="K104" s="438">
        <v>0</v>
      </c>
      <c r="L104" s="604">
        <v>1.054</v>
      </c>
      <c r="M104" s="438">
        <v>8833</v>
      </c>
      <c r="N104" s="439">
        <v>2.0000000000000001E-4</v>
      </c>
      <c r="O104" s="438">
        <v>2.0859999999999999</v>
      </c>
      <c r="P104" s="438">
        <v>0</v>
      </c>
    </row>
    <row r="105" spans="4:16">
      <c r="D105" s="602" t="s">
        <v>551</v>
      </c>
      <c r="E105" s="435" t="s">
        <v>895</v>
      </c>
      <c r="F105" s="436">
        <v>41092</v>
      </c>
      <c r="G105" s="437">
        <f t="shared" si="2"/>
        <v>2012</v>
      </c>
      <c r="H105" s="437">
        <f t="shared" si="3"/>
        <v>7</v>
      </c>
      <c r="I105" s="438">
        <v>17</v>
      </c>
      <c r="J105" s="438">
        <v>2.7240000000000002</v>
      </c>
      <c r="K105" s="438">
        <v>0</v>
      </c>
      <c r="L105" s="604">
        <v>1.724</v>
      </c>
      <c r="M105" s="438">
        <v>9682</v>
      </c>
      <c r="N105" s="439">
        <v>2.9999999999999997E-4</v>
      </c>
      <c r="O105" s="438">
        <v>2.7570000000000001</v>
      </c>
      <c r="P105" s="438">
        <v>0</v>
      </c>
    </row>
    <row r="106" spans="4:16">
      <c r="D106" s="602" t="s">
        <v>551</v>
      </c>
      <c r="E106" s="435" t="s">
        <v>895</v>
      </c>
      <c r="F106" s="436">
        <v>41122</v>
      </c>
      <c r="G106" s="437">
        <f t="shared" si="2"/>
        <v>2012</v>
      </c>
      <c r="H106" s="437">
        <f t="shared" si="3"/>
        <v>8</v>
      </c>
      <c r="I106" s="438">
        <v>17</v>
      </c>
      <c r="J106" s="438">
        <v>2.4020000000000001</v>
      </c>
      <c r="K106" s="438">
        <v>0</v>
      </c>
      <c r="L106" s="604">
        <v>1.4019999999999999</v>
      </c>
      <c r="M106" s="438">
        <v>8979</v>
      </c>
      <c r="N106" s="439">
        <v>2.9999999999999997E-4</v>
      </c>
      <c r="O106" s="438">
        <v>2.4300000000000002</v>
      </c>
      <c r="P106" s="438">
        <v>0</v>
      </c>
    </row>
    <row r="107" spans="4:16">
      <c r="D107" s="602" t="s">
        <v>551</v>
      </c>
      <c r="E107" s="435" t="s">
        <v>895</v>
      </c>
      <c r="F107" s="436">
        <v>41156</v>
      </c>
      <c r="G107" s="437">
        <f t="shared" si="2"/>
        <v>2012</v>
      </c>
      <c r="H107" s="437">
        <f t="shared" si="3"/>
        <v>9</v>
      </c>
      <c r="I107" s="438">
        <v>16</v>
      </c>
      <c r="J107" s="438">
        <v>1.73</v>
      </c>
      <c r="K107" s="438">
        <v>0</v>
      </c>
      <c r="L107" s="604">
        <v>0.73</v>
      </c>
      <c r="M107" s="438">
        <v>8521</v>
      </c>
      <c r="N107" s="439">
        <v>2.0000000000000001E-4</v>
      </c>
      <c r="O107" s="438">
        <v>2.1779999999999999</v>
      </c>
      <c r="P107" s="438">
        <v>0</v>
      </c>
    </row>
    <row r="108" spans="4:16">
      <c r="D108" s="602" t="s">
        <v>551</v>
      </c>
      <c r="E108" s="435" t="s">
        <v>895</v>
      </c>
      <c r="F108" s="436">
        <v>41185</v>
      </c>
      <c r="G108" s="437">
        <f t="shared" si="2"/>
        <v>2012</v>
      </c>
      <c r="H108" s="437">
        <f t="shared" si="3"/>
        <v>10</v>
      </c>
      <c r="I108" s="438">
        <v>14</v>
      </c>
      <c r="J108" s="438">
        <v>1.4930000000000001</v>
      </c>
      <c r="K108" s="438">
        <v>0</v>
      </c>
      <c r="L108" s="604">
        <v>0.49299999999999999</v>
      </c>
      <c r="M108" s="438">
        <v>6122</v>
      </c>
      <c r="N108" s="439">
        <v>2.0000000000000001E-4</v>
      </c>
      <c r="O108" s="438">
        <v>1.5089999999999999</v>
      </c>
      <c r="P108" s="438">
        <v>0</v>
      </c>
    </row>
    <row r="109" spans="4:16">
      <c r="D109" s="602" t="s">
        <v>551</v>
      </c>
      <c r="E109" s="435" t="s">
        <v>895</v>
      </c>
      <c r="F109" s="436">
        <v>41239</v>
      </c>
      <c r="G109" s="437">
        <f t="shared" si="2"/>
        <v>2012</v>
      </c>
      <c r="H109" s="437">
        <f t="shared" si="3"/>
        <v>11</v>
      </c>
      <c r="I109" s="438">
        <v>18</v>
      </c>
      <c r="J109" s="438">
        <v>2.2930000000000001</v>
      </c>
      <c r="K109" s="438">
        <v>0</v>
      </c>
      <c r="L109" s="604">
        <v>0.29299999999999998</v>
      </c>
      <c r="M109" s="438">
        <v>6416</v>
      </c>
      <c r="N109" s="439">
        <v>4.0000000000000002E-4</v>
      </c>
      <c r="O109" s="438">
        <v>2.319</v>
      </c>
      <c r="P109" s="438">
        <v>0</v>
      </c>
    </row>
    <row r="110" spans="4:16">
      <c r="D110" s="602" t="s">
        <v>551</v>
      </c>
      <c r="E110" s="435" t="s">
        <v>895</v>
      </c>
      <c r="F110" s="436">
        <v>41253</v>
      </c>
      <c r="G110" s="437">
        <f t="shared" si="2"/>
        <v>2012</v>
      </c>
      <c r="H110" s="437">
        <f t="shared" si="3"/>
        <v>12</v>
      </c>
      <c r="I110" s="438">
        <v>18</v>
      </c>
      <c r="J110" s="438">
        <v>2.6339999999999999</v>
      </c>
      <c r="K110" s="438">
        <v>0</v>
      </c>
      <c r="L110" s="604">
        <v>0.63400000000000001</v>
      </c>
      <c r="M110" s="438">
        <v>6609</v>
      </c>
      <c r="N110" s="439">
        <v>4.0000000000000002E-4</v>
      </c>
      <c r="O110" s="438">
        <v>2.657</v>
      </c>
      <c r="P110" s="438">
        <v>0</v>
      </c>
    </row>
    <row r="111" spans="4:16">
      <c r="D111" s="602" t="s">
        <v>551</v>
      </c>
      <c r="E111" s="435" t="s">
        <v>895</v>
      </c>
      <c r="F111" s="436">
        <v>41295</v>
      </c>
      <c r="G111" s="437">
        <f t="shared" si="2"/>
        <v>2013</v>
      </c>
      <c r="H111" s="437">
        <f t="shared" si="3"/>
        <v>1</v>
      </c>
      <c r="I111" s="438">
        <v>19</v>
      </c>
      <c r="J111" s="438">
        <v>2.7240000000000002</v>
      </c>
      <c r="K111" s="438">
        <v>0</v>
      </c>
      <c r="L111" s="604">
        <v>0.72399999999999998</v>
      </c>
      <c r="M111" s="438">
        <v>6846</v>
      </c>
      <c r="N111" s="439">
        <v>4.0000000000000002E-4</v>
      </c>
      <c r="O111" s="438">
        <v>2.7229999999999999</v>
      </c>
      <c r="P111" s="438">
        <v>0</v>
      </c>
    </row>
    <row r="112" spans="4:16">
      <c r="D112" s="602" t="s">
        <v>551</v>
      </c>
      <c r="E112" s="435" t="s">
        <v>895</v>
      </c>
      <c r="F112" s="436">
        <v>41324</v>
      </c>
      <c r="G112" s="437">
        <f t="shared" si="2"/>
        <v>2013</v>
      </c>
      <c r="H112" s="437">
        <f t="shared" si="3"/>
        <v>2</v>
      </c>
      <c r="I112" s="438">
        <v>19</v>
      </c>
      <c r="J112" s="438">
        <v>2.6629999999999998</v>
      </c>
      <c r="K112" s="438">
        <v>0</v>
      </c>
      <c r="L112" s="604">
        <v>0.66300000000000003</v>
      </c>
      <c r="M112" s="438">
        <v>6511</v>
      </c>
      <c r="N112" s="439">
        <v>4.0000000000000002E-4</v>
      </c>
      <c r="O112" s="438">
        <v>2.7029999999999998</v>
      </c>
      <c r="P112" s="438">
        <v>0</v>
      </c>
    </row>
    <row r="113" spans="4:16">
      <c r="D113" s="602" t="s">
        <v>551</v>
      </c>
      <c r="E113" s="435" t="s">
        <v>895</v>
      </c>
      <c r="F113" s="436">
        <v>41337</v>
      </c>
      <c r="G113" s="437">
        <f t="shared" si="2"/>
        <v>2013</v>
      </c>
      <c r="H113" s="437">
        <f t="shared" si="3"/>
        <v>3</v>
      </c>
      <c r="I113" s="438">
        <v>19</v>
      </c>
      <c r="J113" s="438">
        <v>1.85</v>
      </c>
      <c r="K113" s="438">
        <v>0</v>
      </c>
      <c r="L113" s="604">
        <v>-0.15</v>
      </c>
      <c r="M113" s="438">
        <v>6172</v>
      </c>
      <c r="N113" s="439">
        <v>2.9999999999999997E-4</v>
      </c>
      <c r="O113" s="438">
        <v>2.157</v>
      </c>
      <c r="P113" s="438">
        <v>0</v>
      </c>
    </row>
    <row r="114" spans="4:16">
      <c r="D114" s="602" t="s">
        <v>551</v>
      </c>
      <c r="E114" s="435" t="s">
        <v>895</v>
      </c>
      <c r="F114" s="436">
        <v>41382</v>
      </c>
      <c r="G114" s="437">
        <f t="shared" si="2"/>
        <v>2013</v>
      </c>
      <c r="H114" s="437">
        <f t="shared" si="3"/>
        <v>4</v>
      </c>
      <c r="I114" s="438">
        <v>12</v>
      </c>
      <c r="J114" s="438">
        <v>1.8640000000000001</v>
      </c>
      <c r="K114" s="438">
        <v>0</v>
      </c>
      <c r="L114" s="604">
        <v>0.86399999999999999</v>
      </c>
      <c r="M114" s="438">
        <v>5851</v>
      </c>
      <c r="N114" s="439">
        <v>2.9999999999999997E-4</v>
      </c>
      <c r="O114" s="438">
        <v>1.8819999999999999</v>
      </c>
      <c r="P114" s="438">
        <v>0</v>
      </c>
    </row>
    <row r="115" spans="4:16">
      <c r="D115" s="602" t="s">
        <v>551</v>
      </c>
      <c r="E115" s="435" t="s">
        <v>895</v>
      </c>
      <c r="F115" s="436">
        <v>41408</v>
      </c>
      <c r="G115" s="437">
        <f t="shared" si="2"/>
        <v>2013</v>
      </c>
      <c r="H115" s="437">
        <f t="shared" si="3"/>
        <v>5</v>
      </c>
      <c r="I115" s="438">
        <v>17</v>
      </c>
      <c r="J115" s="438">
        <v>1.5960000000000001</v>
      </c>
      <c r="K115" s="438">
        <v>0</v>
      </c>
      <c r="L115" s="604">
        <v>0.59599999999999997</v>
      </c>
      <c r="M115" s="438">
        <v>6516</v>
      </c>
      <c r="N115" s="439">
        <v>2.0000000000000001E-4</v>
      </c>
      <c r="O115" s="438">
        <v>1.617</v>
      </c>
      <c r="P115" s="438">
        <v>0</v>
      </c>
    </row>
    <row r="116" spans="4:16">
      <c r="D116" s="602" t="s">
        <v>551</v>
      </c>
      <c r="E116" s="435" t="s">
        <v>895</v>
      </c>
      <c r="F116" s="436">
        <v>41451</v>
      </c>
      <c r="G116" s="437">
        <f t="shared" si="2"/>
        <v>2013</v>
      </c>
      <c r="H116" s="437">
        <f t="shared" si="3"/>
        <v>6</v>
      </c>
      <c r="I116" s="438">
        <v>16</v>
      </c>
      <c r="J116" s="438">
        <v>2.1059999999999999</v>
      </c>
      <c r="K116" s="438">
        <v>0</v>
      </c>
      <c r="L116" s="604">
        <v>1.1060000000000001</v>
      </c>
      <c r="M116" s="438">
        <v>8280</v>
      </c>
      <c r="N116" s="439">
        <v>2.9999999999999997E-4</v>
      </c>
      <c r="O116" s="438">
        <v>2.1429999999999998</v>
      </c>
      <c r="P116" s="438">
        <v>0</v>
      </c>
    </row>
    <row r="117" spans="4:16">
      <c r="D117" s="602" t="s">
        <v>551</v>
      </c>
      <c r="E117" s="435" t="s">
        <v>895</v>
      </c>
      <c r="F117" s="436">
        <v>41473</v>
      </c>
      <c r="G117" s="437">
        <f t="shared" si="2"/>
        <v>2013</v>
      </c>
      <c r="H117" s="437">
        <f t="shared" si="3"/>
        <v>7</v>
      </c>
      <c r="I117" s="438">
        <v>17</v>
      </c>
      <c r="J117" s="438">
        <v>2.577</v>
      </c>
      <c r="K117" s="438">
        <v>0</v>
      </c>
      <c r="L117" s="604">
        <v>1.577</v>
      </c>
      <c r="M117" s="438">
        <v>9566</v>
      </c>
      <c r="N117" s="439">
        <v>2.9999999999999997E-4</v>
      </c>
      <c r="O117" s="438">
        <v>2.6040000000000001</v>
      </c>
      <c r="P117" s="438">
        <v>0</v>
      </c>
    </row>
    <row r="118" spans="4:16">
      <c r="D118" s="602" t="s">
        <v>551</v>
      </c>
      <c r="E118" s="435" t="s">
        <v>895</v>
      </c>
      <c r="F118" s="436">
        <v>41512</v>
      </c>
      <c r="G118" s="437">
        <f t="shared" si="2"/>
        <v>2013</v>
      </c>
      <c r="H118" s="437">
        <f t="shared" si="3"/>
        <v>8</v>
      </c>
      <c r="I118" s="438">
        <v>17</v>
      </c>
      <c r="J118" s="438">
        <v>2.726</v>
      </c>
      <c r="K118" s="438">
        <v>0</v>
      </c>
      <c r="L118" s="604">
        <v>1.726</v>
      </c>
      <c r="M118" s="438">
        <v>9821</v>
      </c>
      <c r="N118" s="439">
        <v>2.9999999999999997E-4</v>
      </c>
      <c r="O118" s="438">
        <v>2.7480000000000002</v>
      </c>
      <c r="P118" s="438">
        <v>0</v>
      </c>
    </row>
    <row r="119" spans="4:16">
      <c r="D119" s="602" t="s">
        <v>551</v>
      </c>
      <c r="E119" s="435" t="s">
        <v>895</v>
      </c>
      <c r="F119" s="436">
        <v>41526</v>
      </c>
      <c r="G119" s="437">
        <f t="shared" si="2"/>
        <v>2013</v>
      </c>
      <c r="H119" s="437">
        <f t="shared" si="3"/>
        <v>9</v>
      </c>
      <c r="I119" s="438">
        <v>17</v>
      </c>
      <c r="J119" s="438">
        <v>2.5070000000000001</v>
      </c>
      <c r="K119" s="438">
        <v>0</v>
      </c>
      <c r="L119" s="604">
        <v>1.5069999999999999</v>
      </c>
      <c r="M119" s="438">
        <v>8781</v>
      </c>
      <c r="N119" s="439">
        <v>2.9999999999999997E-4</v>
      </c>
      <c r="O119" s="438">
        <v>2.5299999999999998</v>
      </c>
      <c r="P119" s="438">
        <v>0</v>
      </c>
    </row>
    <row r="120" spans="4:16">
      <c r="D120" s="602" t="s">
        <v>551</v>
      </c>
      <c r="E120" s="435" t="s">
        <v>895</v>
      </c>
      <c r="F120" s="436">
        <v>41548</v>
      </c>
      <c r="G120" s="437">
        <f t="shared" si="2"/>
        <v>2013</v>
      </c>
      <c r="H120" s="437">
        <f t="shared" si="3"/>
        <v>10</v>
      </c>
      <c r="I120" s="438">
        <v>14</v>
      </c>
      <c r="J120" s="438">
        <v>1.637</v>
      </c>
      <c r="K120" s="438">
        <v>0</v>
      </c>
      <c r="L120" s="604">
        <v>0.63700000000000001</v>
      </c>
      <c r="M120" s="438">
        <v>6214</v>
      </c>
      <c r="N120" s="439">
        <v>2.9999999999999997E-4</v>
      </c>
      <c r="O120" s="438">
        <v>1.653</v>
      </c>
      <c r="P120" s="438">
        <v>0</v>
      </c>
    </row>
    <row r="121" spans="4:16">
      <c r="D121" s="602" t="s">
        <v>551</v>
      </c>
      <c r="E121" s="435" t="s">
        <v>895</v>
      </c>
      <c r="F121" s="436">
        <v>41604</v>
      </c>
      <c r="G121" s="437">
        <f t="shared" si="2"/>
        <v>2013</v>
      </c>
      <c r="H121" s="437">
        <f t="shared" si="3"/>
        <v>11</v>
      </c>
      <c r="I121" s="438">
        <v>18</v>
      </c>
      <c r="J121" s="438">
        <v>2.423</v>
      </c>
      <c r="K121" s="438">
        <v>0</v>
      </c>
      <c r="L121" s="604">
        <v>0.42299999999999999</v>
      </c>
      <c r="M121" s="438">
        <v>6372</v>
      </c>
      <c r="N121" s="439">
        <v>4.0000000000000002E-4</v>
      </c>
      <c r="O121" s="438">
        <v>2.4580000000000002</v>
      </c>
      <c r="P121" s="438">
        <v>0</v>
      </c>
    </row>
    <row r="122" spans="4:16">
      <c r="D122" s="602" t="s">
        <v>551</v>
      </c>
      <c r="E122" s="435" t="s">
        <v>895</v>
      </c>
      <c r="F122" s="436">
        <v>41619</v>
      </c>
      <c r="G122" s="437">
        <f t="shared" si="2"/>
        <v>2013</v>
      </c>
      <c r="H122" s="437">
        <f t="shared" si="3"/>
        <v>12</v>
      </c>
      <c r="I122" s="438">
        <v>18</v>
      </c>
      <c r="J122" s="438">
        <v>2.5019999999999998</v>
      </c>
      <c r="K122" s="438">
        <v>0</v>
      </c>
      <c r="L122" s="604">
        <v>0.502</v>
      </c>
      <c r="M122" s="438">
        <v>6972</v>
      </c>
      <c r="N122" s="439">
        <v>4.0000000000000002E-4</v>
      </c>
      <c r="O122" s="438">
        <v>2.5249999999999999</v>
      </c>
      <c r="P122" s="438">
        <v>0</v>
      </c>
    </row>
    <row r="123" spans="4:16">
      <c r="D123" s="602" t="s">
        <v>551</v>
      </c>
      <c r="E123" s="605" t="s">
        <v>895</v>
      </c>
      <c r="F123" s="606">
        <v>41645</v>
      </c>
      <c r="G123" s="437">
        <f t="shared" si="2"/>
        <v>2014</v>
      </c>
      <c r="H123" s="437">
        <f t="shared" si="3"/>
        <v>1</v>
      </c>
      <c r="I123" s="607">
        <v>18</v>
      </c>
      <c r="J123" s="607">
        <v>2.36</v>
      </c>
      <c r="K123" s="607">
        <v>0</v>
      </c>
      <c r="L123" s="608">
        <v>2.36</v>
      </c>
      <c r="M123" s="609">
        <v>7188</v>
      </c>
      <c r="N123" s="607">
        <v>3.3000000000000002E-2</v>
      </c>
      <c r="O123" s="607">
        <v>2.6269999999999998</v>
      </c>
      <c r="P123" s="607">
        <v>0</v>
      </c>
    </row>
    <row r="124" spans="4:16">
      <c r="D124" s="602" t="s">
        <v>551</v>
      </c>
      <c r="E124" s="605" t="s">
        <v>895</v>
      </c>
      <c r="F124" s="606">
        <v>41676</v>
      </c>
      <c r="G124" s="437">
        <f t="shared" si="2"/>
        <v>2014</v>
      </c>
      <c r="H124" s="437">
        <f t="shared" si="3"/>
        <v>2</v>
      </c>
      <c r="I124" s="607">
        <v>19</v>
      </c>
      <c r="J124" s="607">
        <v>2.573</v>
      </c>
      <c r="K124" s="607">
        <v>0</v>
      </c>
      <c r="L124" s="608">
        <v>2.573</v>
      </c>
      <c r="M124" s="609">
        <v>6743</v>
      </c>
      <c r="N124" s="607">
        <v>3.7999999999999999E-2</v>
      </c>
      <c r="O124" s="607">
        <v>2.601</v>
      </c>
      <c r="P124" s="607">
        <v>0</v>
      </c>
    </row>
    <row r="125" spans="4:16">
      <c r="D125" s="602" t="s">
        <v>551</v>
      </c>
      <c r="E125" s="605" t="s">
        <v>895</v>
      </c>
      <c r="F125" s="606">
        <v>41701</v>
      </c>
      <c r="G125" s="437">
        <f t="shared" si="2"/>
        <v>2014</v>
      </c>
      <c r="H125" s="437">
        <f t="shared" si="3"/>
        <v>3</v>
      </c>
      <c r="I125" s="607">
        <v>19</v>
      </c>
      <c r="J125" s="607">
        <v>2.4129999999999998</v>
      </c>
      <c r="K125" s="607">
        <v>0</v>
      </c>
      <c r="L125" s="608">
        <v>2.4129999999999998</v>
      </c>
      <c r="M125" s="609">
        <v>6537</v>
      </c>
      <c r="N125" s="607">
        <v>3.6999999999999998E-2</v>
      </c>
      <c r="O125" s="607">
        <v>2.4329999999999998</v>
      </c>
      <c r="P125" s="607">
        <v>0</v>
      </c>
    </row>
    <row r="126" spans="4:16">
      <c r="D126" s="602" t="s">
        <v>551</v>
      </c>
      <c r="E126" s="605" t="s">
        <v>895</v>
      </c>
      <c r="F126" s="606">
        <v>41730</v>
      </c>
      <c r="G126" s="437">
        <f t="shared" si="2"/>
        <v>2014</v>
      </c>
      <c r="H126" s="437">
        <f t="shared" si="3"/>
        <v>4</v>
      </c>
      <c r="I126" s="607">
        <v>11</v>
      </c>
      <c r="J126" s="607">
        <v>2.0070000000000001</v>
      </c>
      <c r="K126" s="607">
        <v>0</v>
      </c>
      <c r="L126" s="608">
        <v>2.0070000000000001</v>
      </c>
      <c r="M126" s="609">
        <v>5924</v>
      </c>
      <c r="N126" s="607">
        <v>3.4000000000000002E-2</v>
      </c>
      <c r="O126" s="607">
        <v>2.0579999999999998</v>
      </c>
      <c r="P126" s="607">
        <v>0</v>
      </c>
    </row>
    <row r="127" spans="4:16">
      <c r="D127" s="602" t="s">
        <v>551</v>
      </c>
      <c r="E127" s="605" t="s">
        <v>895</v>
      </c>
      <c r="F127" s="606">
        <v>41789</v>
      </c>
      <c r="G127" s="437">
        <f t="shared" si="2"/>
        <v>2014</v>
      </c>
      <c r="H127" s="437">
        <f t="shared" si="3"/>
        <v>5</v>
      </c>
      <c r="I127" s="607">
        <v>16</v>
      </c>
      <c r="J127" s="607">
        <v>1.8979999999999999</v>
      </c>
      <c r="K127" s="607">
        <v>0</v>
      </c>
      <c r="L127" s="608">
        <v>1.8979999999999999</v>
      </c>
      <c r="M127" s="609">
        <v>7422</v>
      </c>
      <c r="N127" s="607">
        <v>2.5999999999999999E-2</v>
      </c>
      <c r="O127" s="607">
        <v>1.917</v>
      </c>
      <c r="P127" s="607">
        <v>0</v>
      </c>
    </row>
    <row r="128" spans="4:16">
      <c r="D128" s="602" t="s">
        <v>551</v>
      </c>
      <c r="E128" s="605" t="s">
        <v>895</v>
      </c>
      <c r="F128" s="606">
        <v>41814</v>
      </c>
      <c r="G128" s="437">
        <f t="shared" si="2"/>
        <v>2014</v>
      </c>
      <c r="H128" s="437">
        <f t="shared" si="3"/>
        <v>6</v>
      </c>
      <c r="I128" s="607">
        <v>16</v>
      </c>
      <c r="J128" s="607">
        <v>1.8919999999999999</v>
      </c>
      <c r="K128" s="607">
        <v>0</v>
      </c>
      <c r="L128" s="608">
        <v>1.8919999999999999</v>
      </c>
      <c r="M128" s="609">
        <v>7670</v>
      </c>
      <c r="N128" s="607">
        <v>2.5000000000000001E-2</v>
      </c>
      <c r="O128" s="607">
        <v>1.9139999999999999</v>
      </c>
      <c r="P128" s="607">
        <v>0</v>
      </c>
    </row>
    <row r="129" spans="4:16">
      <c r="D129" s="602" t="s">
        <v>551</v>
      </c>
      <c r="E129" s="605" t="s">
        <v>895</v>
      </c>
      <c r="F129" s="606">
        <v>41841</v>
      </c>
      <c r="G129" s="437">
        <f t="shared" si="2"/>
        <v>2014</v>
      </c>
      <c r="H129" s="437">
        <f t="shared" si="3"/>
        <v>7</v>
      </c>
      <c r="I129" s="607">
        <v>17</v>
      </c>
      <c r="J129" s="607">
        <v>2.2000000000000002</v>
      </c>
      <c r="K129" s="607">
        <v>0</v>
      </c>
      <c r="L129" s="608">
        <v>2.2000000000000002</v>
      </c>
      <c r="M129" s="609">
        <v>9150</v>
      </c>
      <c r="N129" s="607">
        <v>2.4E-2</v>
      </c>
      <c r="O129" s="607">
        <v>2.1949999999999998</v>
      </c>
      <c r="P129" s="607">
        <v>0</v>
      </c>
    </row>
    <row r="130" spans="4:16">
      <c r="D130" s="602" t="s">
        <v>551</v>
      </c>
      <c r="E130" s="605" t="s">
        <v>895</v>
      </c>
      <c r="F130" s="606">
        <v>41869</v>
      </c>
      <c r="G130" s="437">
        <f t="shared" si="2"/>
        <v>2014</v>
      </c>
      <c r="H130" s="437">
        <f t="shared" si="3"/>
        <v>8</v>
      </c>
      <c r="I130" s="607">
        <v>16</v>
      </c>
      <c r="J130" s="607">
        <v>1.853</v>
      </c>
      <c r="K130" s="607">
        <v>0</v>
      </c>
      <c r="L130" s="608">
        <v>1.853</v>
      </c>
      <c r="M130" s="609">
        <v>8190</v>
      </c>
      <c r="N130" s="607">
        <v>2.3E-2</v>
      </c>
      <c r="O130" s="607">
        <v>1.8660000000000001</v>
      </c>
      <c r="P130" s="607">
        <v>0</v>
      </c>
    </row>
    <row r="131" spans="4:16">
      <c r="D131" s="602" t="s">
        <v>551</v>
      </c>
      <c r="E131" s="605" t="s">
        <v>895</v>
      </c>
      <c r="F131" s="606">
        <v>41886</v>
      </c>
      <c r="G131" s="437">
        <f t="shared" ref="G131:G194" si="4">YEAR(F131)</f>
        <v>2014</v>
      </c>
      <c r="H131" s="437">
        <f t="shared" ref="H131:H194" si="5">MONTH(F131)</f>
        <v>9</v>
      </c>
      <c r="I131" s="607">
        <v>15</v>
      </c>
      <c r="J131" s="607">
        <v>1.849</v>
      </c>
      <c r="K131" s="607">
        <v>0</v>
      </c>
      <c r="L131" s="608">
        <v>1.849</v>
      </c>
      <c r="M131" s="609">
        <v>7758</v>
      </c>
      <c r="N131" s="607">
        <v>2.4E-2</v>
      </c>
      <c r="O131" s="607">
        <v>1.87</v>
      </c>
      <c r="P131" s="607">
        <v>0</v>
      </c>
    </row>
    <row r="132" spans="4:16">
      <c r="D132" s="602" t="s">
        <v>551</v>
      </c>
      <c r="E132" s="605" t="s">
        <v>895</v>
      </c>
      <c r="F132" s="606">
        <v>41942</v>
      </c>
      <c r="G132" s="437">
        <f t="shared" si="4"/>
        <v>2014</v>
      </c>
      <c r="H132" s="437">
        <f t="shared" si="5"/>
        <v>10</v>
      </c>
      <c r="I132" s="607">
        <v>20</v>
      </c>
      <c r="J132" s="607">
        <v>1.456</v>
      </c>
      <c r="K132" s="607">
        <v>0</v>
      </c>
      <c r="L132" s="608">
        <v>1.456</v>
      </c>
      <c r="M132" s="609">
        <v>5901</v>
      </c>
      <c r="N132" s="607">
        <v>2.5000000000000001E-2</v>
      </c>
      <c r="O132" s="607">
        <v>1.468</v>
      </c>
      <c r="P132" s="607">
        <v>0</v>
      </c>
    </row>
    <row r="133" spans="4:16">
      <c r="D133" s="602" t="s">
        <v>551</v>
      </c>
      <c r="E133" s="605" t="s">
        <v>895</v>
      </c>
      <c r="F133" s="606">
        <v>41960</v>
      </c>
      <c r="G133" s="437">
        <f t="shared" si="4"/>
        <v>2014</v>
      </c>
      <c r="H133" s="437">
        <f t="shared" si="5"/>
        <v>11</v>
      </c>
      <c r="I133" s="607">
        <v>18</v>
      </c>
      <c r="J133" s="607">
        <v>2.16</v>
      </c>
      <c r="K133" s="607">
        <v>0</v>
      </c>
      <c r="L133" s="608">
        <v>2.16</v>
      </c>
      <c r="M133" s="609">
        <v>6677</v>
      </c>
      <c r="N133" s="607">
        <v>3.2000000000000001E-2</v>
      </c>
      <c r="O133" s="607">
        <v>2.1800000000000002</v>
      </c>
      <c r="P133" s="607">
        <v>0</v>
      </c>
    </row>
    <row r="134" spans="4:16">
      <c r="D134" s="602" t="s">
        <v>551</v>
      </c>
      <c r="E134" s="605" t="s">
        <v>895</v>
      </c>
      <c r="F134" s="606">
        <v>41974</v>
      </c>
      <c r="G134" s="437">
        <f t="shared" si="4"/>
        <v>2014</v>
      </c>
      <c r="H134" s="437">
        <f t="shared" si="5"/>
        <v>12</v>
      </c>
      <c r="I134" s="607">
        <v>18</v>
      </c>
      <c r="J134" s="607">
        <v>2.16</v>
      </c>
      <c r="K134" s="607">
        <v>0</v>
      </c>
      <c r="L134" s="608">
        <v>2.16</v>
      </c>
      <c r="M134" s="609">
        <v>6850</v>
      </c>
      <c r="N134" s="607">
        <v>3.2000000000000001E-2</v>
      </c>
      <c r="O134" s="607">
        <v>2.1819999999999999</v>
      </c>
      <c r="P134" s="607">
        <v>0</v>
      </c>
    </row>
    <row r="135" spans="4:16">
      <c r="D135" s="602" t="s">
        <v>551</v>
      </c>
      <c r="E135" s="605" t="s">
        <v>895</v>
      </c>
      <c r="F135" s="606">
        <v>42011</v>
      </c>
      <c r="G135" s="437">
        <f t="shared" si="4"/>
        <v>2015</v>
      </c>
      <c r="H135" s="437">
        <f t="shared" si="5"/>
        <v>1</v>
      </c>
      <c r="I135" s="607">
        <v>18</v>
      </c>
      <c r="J135" s="607">
        <v>2.2120000000000002</v>
      </c>
      <c r="K135" s="607">
        <v>0</v>
      </c>
      <c r="L135" s="608">
        <v>2.2120000000000002</v>
      </c>
      <c r="M135" s="609">
        <v>6978</v>
      </c>
      <c r="N135" s="607">
        <v>3.2000000000000001E-2</v>
      </c>
      <c r="O135" s="607">
        <v>2.2349999999999999</v>
      </c>
      <c r="P135" s="607">
        <v>0</v>
      </c>
    </row>
    <row r="136" spans="4:16">
      <c r="D136" s="602" t="s">
        <v>551</v>
      </c>
      <c r="E136" s="605" t="s">
        <v>895</v>
      </c>
      <c r="F136" s="606">
        <v>42053</v>
      </c>
      <c r="G136" s="437">
        <f t="shared" si="4"/>
        <v>2015</v>
      </c>
      <c r="H136" s="437">
        <f t="shared" si="5"/>
        <v>2</v>
      </c>
      <c r="I136" s="607">
        <v>19</v>
      </c>
      <c r="J136" s="607">
        <v>2.4990000000000001</v>
      </c>
      <c r="K136" s="607">
        <v>0</v>
      </c>
      <c r="L136" s="608">
        <v>2.4990000000000001</v>
      </c>
      <c r="M136" s="609">
        <v>6744</v>
      </c>
      <c r="N136" s="607">
        <v>3.6999999999999998E-2</v>
      </c>
      <c r="O136" s="607">
        <v>2.5179999999999998</v>
      </c>
      <c r="P136" s="607">
        <v>0</v>
      </c>
    </row>
    <row r="137" spans="4:16">
      <c r="D137" s="602" t="s">
        <v>551</v>
      </c>
      <c r="E137" s="605" t="s">
        <v>895</v>
      </c>
      <c r="F137" s="606">
        <v>42067</v>
      </c>
      <c r="G137" s="437">
        <f t="shared" si="4"/>
        <v>2015</v>
      </c>
      <c r="H137" s="437">
        <f t="shared" si="5"/>
        <v>3</v>
      </c>
      <c r="I137" s="607">
        <v>20</v>
      </c>
      <c r="J137" s="607">
        <v>2.2440000000000002</v>
      </c>
      <c r="K137" s="607">
        <v>0</v>
      </c>
      <c r="L137" s="608">
        <v>2.2440000000000002</v>
      </c>
      <c r="M137" s="609">
        <v>6470</v>
      </c>
      <c r="N137" s="607">
        <v>3.5000000000000003E-2</v>
      </c>
      <c r="O137" s="607">
        <v>2.2629999999999999</v>
      </c>
      <c r="P137" s="607">
        <v>0</v>
      </c>
    </row>
    <row r="138" spans="4:16">
      <c r="D138" s="602" t="s">
        <v>551</v>
      </c>
      <c r="E138" s="605" t="s">
        <v>895</v>
      </c>
      <c r="F138" s="606">
        <v>42103</v>
      </c>
      <c r="G138" s="437">
        <f t="shared" si="4"/>
        <v>2015</v>
      </c>
      <c r="H138" s="437">
        <f t="shared" si="5"/>
        <v>4</v>
      </c>
      <c r="I138" s="607">
        <v>12</v>
      </c>
      <c r="J138" s="607">
        <v>1.6539999999999999</v>
      </c>
      <c r="K138" s="607">
        <v>0</v>
      </c>
      <c r="L138" s="608">
        <v>1.6539999999999999</v>
      </c>
      <c r="M138" s="609">
        <v>5914</v>
      </c>
      <c r="N138" s="607">
        <v>2.8000000000000001E-2</v>
      </c>
      <c r="O138" s="607">
        <v>1.677</v>
      </c>
      <c r="P138" s="607">
        <v>0</v>
      </c>
    </row>
    <row r="139" spans="4:16">
      <c r="D139" s="602" t="s">
        <v>551</v>
      </c>
      <c r="E139" s="605" t="s">
        <v>895</v>
      </c>
      <c r="F139" s="606">
        <v>42152</v>
      </c>
      <c r="G139" s="437">
        <f t="shared" si="4"/>
        <v>2015</v>
      </c>
      <c r="H139" s="437">
        <f t="shared" si="5"/>
        <v>5</v>
      </c>
      <c r="I139" s="607">
        <v>16</v>
      </c>
      <c r="J139" s="607">
        <v>1.5660000000000001</v>
      </c>
      <c r="K139" s="607">
        <v>0</v>
      </c>
      <c r="L139" s="608">
        <v>1.5660000000000001</v>
      </c>
      <c r="M139" s="609">
        <v>6837</v>
      </c>
      <c r="N139" s="607">
        <v>2.3E-2</v>
      </c>
      <c r="O139" s="607">
        <v>1.587</v>
      </c>
      <c r="P139" s="607">
        <v>0</v>
      </c>
    </row>
    <row r="140" spans="4:16">
      <c r="D140" s="602" t="s">
        <v>551</v>
      </c>
      <c r="E140" s="605" t="s">
        <v>895</v>
      </c>
      <c r="F140" s="606">
        <v>42164</v>
      </c>
      <c r="G140" s="437">
        <f t="shared" si="4"/>
        <v>2015</v>
      </c>
      <c r="H140" s="437">
        <f t="shared" si="5"/>
        <v>6</v>
      </c>
      <c r="I140" s="607">
        <v>17</v>
      </c>
      <c r="J140" s="607">
        <v>2.0910000000000002</v>
      </c>
      <c r="K140" s="607">
        <v>0</v>
      </c>
      <c r="L140" s="608">
        <v>2.0910000000000002</v>
      </c>
      <c r="M140" s="609">
        <v>8136</v>
      </c>
      <c r="N140" s="607">
        <v>2.5999999999999999E-2</v>
      </c>
      <c r="O140" s="607">
        <v>2.12</v>
      </c>
      <c r="P140" s="607">
        <v>0</v>
      </c>
    </row>
    <row r="141" spans="4:16">
      <c r="D141" s="602" t="s">
        <v>551</v>
      </c>
      <c r="E141" s="605" t="s">
        <v>895</v>
      </c>
      <c r="F141" s="606">
        <v>42212</v>
      </c>
      <c r="G141" s="437">
        <f t="shared" si="4"/>
        <v>2015</v>
      </c>
      <c r="H141" s="437">
        <f t="shared" si="5"/>
        <v>7</v>
      </c>
      <c r="I141" s="607">
        <v>17</v>
      </c>
      <c r="J141" s="607">
        <v>2.1629999999999998</v>
      </c>
      <c r="K141" s="607">
        <v>0</v>
      </c>
      <c r="L141" s="608">
        <v>2.1629999999999998</v>
      </c>
      <c r="M141" s="609">
        <v>8769</v>
      </c>
      <c r="N141" s="607">
        <v>2.5000000000000001E-2</v>
      </c>
      <c r="O141" s="607">
        <v>2.1880000000000002</v>
      </c>
      <c r="P141" s="607">
        <v>0</v>
      </c>
    </row>
    <row r="142" spans="4:16">
      <c r="D142" s="602" t="s">
        <v>551</v>
      </c>
      <c r="E142" s="605" t="s">
        <v>895</v>
      </c>
      <c r="F142" s="606">
        <v>42230</v>
      </c>
      <c r="G142" s="437">
        <f t="shared" si="4"/>
        <v>2015</v>
      </c>
      <c r="H142" s="437">
        <f t="shared" si="5"/>
        <v>8</v>
      </c>
      <c r="I142" s="607">
        <v>16</v>
      </c>
      <c r="J142" s="607">
        <v>2.2050000000000001</v>
      </c>
      <c r="K142" s="607">
        <v>0</v>
      </c>
      <c r="L142" s="608">
        <v>2.2050000000000001</v>
      </c>
      <c r="M142" s="609">
        <v>8926</v>
      </c>
      <c r="N142" s="607">
        <v>2.5000000000000001E-2</v>
      </c>
      <c r="O142" s="607">
        <v>2.2320000000000002</v>
      </c>
      <c r="P142" s="607">
        <v>0</v>
      </c>
    </row>
    <row r="143" spans="4:16">
      <c r="D143" s="602" t="s">
        <v>551</v>
      </c>
      <c r="E143" s="605" t="s">
        <v>895</v>
      </c>
      <c r="F143" s="606">
        <v>42250</v>
      </c>
      <c r="G143" s="437">
        <f t="shared" si="4"/>
        <v>2015</v>
      </c>
      <c r="H143" s="437">
        <f t="shared" si="5"/>
        <v>9</v>
      </c>
      <c r="I143" s="607">
        <v>17</v>
      </c>
      <c r="J143" s="607">
        <v>2.2559999999999998</v>
      </c>
      <c r="K143" s="607">
        <v>0</v>
      </c>
      <c r="L143" s="608">
        <v>2.2559999999999998</v>
      </c>
      <c r="M143" s="609">
        <v>8657</v>
      </c>
      <c r="N143" s="607">
        <v>2.5999999999999999E-2</v>
      </c>
      <c r="O143" s="607">
        <v>2.2869999999999999</v>
      </c>
      <c r="P143" s="607">
        <v>0</v>
      </c>
    </row>
    <row r="144" spans="4:16">
      <c r="D144" s="602" t="s">
        <v>551</v>
      </c>
      <c r="E144" s="605" t="s">
        <v>895</v>
      </c>
      <c r="F144" s="606">
        <v>42285</v>
      </c>
      <c r="G144" s="437">
        <f t="shared" si="4"/>
        <v>2015</v>
      </c>
      <c r="H144" s="437">
        <f t="shared" si="5"/>
        <v>10</v>
      </c>
      <c r="I144" s="607">
        <v>12</v>
      </c>
      <c r="J144" s="607">
        <v>1.4370000000000001</v>
      </c>
      <c r="K144" s="607">
        <v>0</v>
      </c>
      <c r="L144" s="608">
        <v>1.4370000000000001</v>
      </c>
      <c r="M144" s="609">
        <v>5943</v>
      </c>
      <c r="N144" s="607">
        <v>2.4E-2</v>
      </c>
      <c r="O144" s="607">
        <v>1.34</v>
      </c>
      <c r="P144" s="607">
        <v>0</v>
      </c>
    </row>
    <row r="145" spans="4:16">
      <c r="D145" s="602" t="s">
        <v>551</v>
      </c>
      <c r="E145" s="605" t="s">
        <v>895</v>
      </c>
      <c r="F145" s="606">
        <v>42338</v>
      </c>
      <c r="G145" s="437">
        <f t="shared" si="4"/>
        <v>2015</v>
      </c>
      <c r="H145" s="437">
        <f t="shared" si="5"/>
        <v>11</v>
      </c>
      <c r="I145" s="607">
        <v>18</v>
      </c>
      <c r="J145" s="607">
        <v>1.9810000000000001</v>
      </c>
      <c r="K145" s="607">
        <v>0</v>
      </c>
      <c r="L145" s="608">
        <v>1.9810000000000001</v>
      </c>
      <c r="M145" s="609">
        <v>6574</v>
      </c>
      <c r="N145" s="607">
        <v>0.03</v>
      </c>
      <c r="O145" s="607">
        <v>2.0110000000000001</v>
      </c>
      <c r="P145" s="607">
        <v>0</v>
      </c>
    </row>
    <row r="146" spans="4:16">
      <c r="D146" s="602" t="s">
        <v>551</v>
      </c>
      <c r="E146" s="605" t="s">
        <v>895</v>
      </c>
      <c r="F146" s="606">
        <v>42355</v>
      </c>
      <c r="G146" s="437">
        <f t="shared" si="4"/>
        <v>2015</v>
      </c>
      <c r="H146" s="437">
        <f t="shared" si="5"/>
        <v>12</v>
      </c>
      <c r="I146" s="607">
        <v>18</v>
      </c>
      <c r="J146" s="607">
        <v>2.036</v>
      </c>
      <c r="K146" s="607">
        <v>0</v>
      </c>
      <c r="L146" s="608">
        <v>2.036</v>
      </c>
      <c r="M146" s="609">
        <v>6450</v>
      </c>
      <c r="N146" s="607">
        <v>3.2000000000000001E-2</v>
      </c>
      <c r="O146" s="607">
        <v>2.0739999999999998</v>
      </c>
      <c r="P146" s="607">
        <v>0</v>
      </c>
    </row>
    <row r="147" spans="4:16">
      <c r="D147" s="602" t="s">
        <v>551</v>
      </c>
      <c r="E147" s="435" t="s">
        <v>896</v>
      </c>
      <c r="F147" s="436">
        <v>40927</v>
      </c>
      <c r="G147" s="437">
        <f t="shared" si="4"/>
        <v>2012</v>
      </c>
      <c r="H147" s="437">
        <f t="shared" si="5"/>
        <v>1</v>
      </c>
      <c r="I147" s="438">
        <v>19</v>
      </c>
      <c r="J147" s="438">
        <v>4.556</v>
      </c>
      <c r="K147" s="438">
        <v>0.312</v>
      </c>
      <c r="L147" s="604">
        <v>2.8679999999999999</v>
      </c>
      <c r="M147" s="438">
        <v>6604</v>
      </c>
      <c r="N147" s="439">
        <v>6.9999999999999999E-4</v>
      </c>
      <c r="O147" s="438">
        <v>2.5870000000000002</v>
      </c>
      <c r="P147" s="438">
        <v>0.312</v>
      </c>
    </row>
    <row r="148" spans="4:16">
      <c r="D148" s="602" t="s">
        <v>551</v>
      </c>
      <c r="E148" s="435" t="s">
        <v>896</v>
      </c>
      <c r="F148" s="436">
        <v>40967</v>
      </c>
      <c r="G148" s="437">
        <f t="shared" si="4"/>
        <v>2012</v>
      </c>
      <c r="H148" s="437">
        <f t="shared" si="5"/>
        <v>2</v>
      </c>
      <c r="I148" s="438">
        <v>19</v>
      </c>
      <c r="J148" s="438">
        <v>4.3949999999999996</v>
      </c>
      <c r="K148" s="438">
        <v>0</v>
      </c>
      <c r="L148" s="604">
        <v>2.395</v>
      </c>
      <c r="M148" s="438">
        <v>6178</v>
      </c>
      <c r="N148" s="439">
        <v>6.9999999999999999E-4</v>
      </c>
      <c r="O148" s="438">
        <v>2.4249999999999998</v>
      </c>
      <c r="P148" s="438">
        <v>0</v>
      </c>
    </row>
    <row r="149" spans="4:16">
      <c r="D149" s="602" t="s">
        <v>551</v>
      </c>
      <c r="E149" s="435" t="s">
        <v>896</v>
      </c>
      <c r="F149" s="436">
        <v>40987</v>
      </c>
      <c r="G149" s="437">
        <f t="shared" si="4"/>
        <v>2012</v>
      </c>
      <c r="H149" s="437">
        <f t="shared" si="5"/>
        <v>3</v>
      </c>
      <c r="I149" s="438">
        <v>14</v>
      </c>
      <c r="J149" s="438">
        <v>4.0759999999999996</v>
      </c>
      <c r="K149" s="438">
        <v>0.72399999999999998</v>
      </c>
      <c r="L149" s="604">
        <v>3.8</v>
      </c>
      <c r="M149" s="438">
        <v>6170</v>
      </c>
      <c r="N149" s="439">
        <v>8.0000000000000004E-4</v>
      </c>
      <c r="O149" s="438">
        <v>3.1179999999999999</v>
      </c>
      <c r="P149" s="438">
        <v>0.72399999999999998</v>
      </c>
    </row>
    <row r="150" spans="4:16">
      <c r="D150" s="602" t="s">
        <v>551</v>
      </c>
      <c r="E150" s="435" t="s">
        <v>896</v>
      </c>
      <c r="F150" s="436">
        <v>41024</v>
      </c>
      <c r="G150" s="437">
        <f t="shared" si="4"/>
        <v>2012</v>
      </c>
      <c r="H150" s="437">
        <f t="shared" si="5"/>
        <v>4</v>
      </c>
      <c r="I150" s="438">
        <v>15</v>
      </c>
      <c r="J150" s="438">
        <v>3.806</v>
      </c>
      <c r="K150" s="438">
        <v>0.73599999999999999</v>
      </c>
      <c r="L150" s="604">
        <v>3.5419999999999998</v>
      </c>
      <c r="M150" s="438">
        <v>5813</v>
      </c>
      <c r="N150" s="439">
        <v>8.0000000000000004E-4</v>
      </c>
      <c r="O150" s="438">
        <v>2.847</v>
      </c>
      <c r="P150" s="438">
        <v>0.73599999999999999</v>
      </c>
    </row>
    <row r="151" spans="4:16">
      <c r="D151" s="602" t="s">
        <v>551</v>
      </c>
      <c r="E151" s="435" t="s">
        <v>896</v>
      </c>
      <c r="F151" s="436">
        <v>41047</v>
      </c>
      <c r="G151" s="437">
        <f t="shared" si="4"/>
        <v>2012</v>
      </c>
      <c r="H151" s="437">
        <f t="shared" si="5"/>
        <v>5</v>
      </c>
      <c r="I151" s="438">
        <v>17</v>
      </c>
      <c r="J151" s="438">
        <v>4.8780000000000001</v>
      </c>
      <c r="K151" s="438">
        <v>0.75700000000000001</v>
      </c>
      <c r="L151" s="604">
        <v>4.6349999999999998</v>
      </c>
      <c r="M151" s="438">
        <v>7203</v>
      </c>
      <c r="N151" s="439">
        <v>8.0000000000000004E-4</v>
      </c>
      <c r="O151" s="438">
        <v>3.9239999999999999</v>
      </c>
      <c r="P151" s="438">
        <v>0.75700000000000001</v>
      </c>
    </row>
    <row r="152" spans="4:16">
      <c r="D152" s="602" t="s">
        <v>551</v>
      </c>
      <c r="E152" s="435" t="s">
        <v>896</v>
      </c>
      <c r="F152" s="436">
        <v>41087</v>
      </c>
      <c r="G152" s="437">
        <f t="shared" si="4"/>
        <v>2012</v>
      </c>
      <c r="H152" s="437">
        <f t="shared" si="5"/>
        <v>6</v>
      </c>
      <c r="I152" s="438">
        <v>17</v>
      </c>
      <c r="J152" s="438">
        <v>6.1870000000000003</v>
      </c>
      <c r="K152" s="438">
        <v>0.68899999999999995</v>
      </c>
      <c r="L152" s="604">
        <v>5.8760000000000003</v>
      </c>
      <c r="M152" s="438">
        <v>8833</v>
      </c>
      <c r="N152" s="439">
        <v>8.0000000000000004E-4</v>
      </c>
      <c r="O152" s="438">
        <v>5.2430000000000003</v>
      </c>
      <c r="P152" s="438">
        <v>0.68899999999999995</v>
      </c>
    </row>
    <row r="153" spans="4:16">
      <c r="D153" s="602" t="s">
        <v>551</v>
      </c>
      <c r="E153" s="435" t="s">
        <v>896</v>
      </c>
      <c r="F153" s="436">
        <v>41092</v>
      </c>
      <c r="G153" s="437">
        <f t="shared" si="4"/>
        <v>2012</v>
      </c>
      <c r="H153" s="437">
        <f t="shared" si="5"/>
        <v>7</v>
      </c>
      <c r="I153" s="438">
        <v>17</v>
      </c>
      <c r="J153" s="438">
        <v>6.6539999999999999</v>
      </c>
      <c r="K153" s="438">
        <v>0.73</v>
      </c>
      <c r="L153" s="604">
        <v>5.3840000000000003</v>
      </c>
      <c r="M153" s="438">
        <v>9682</v>
      </c>
      <c r="N153" s="439">
        <v>8.0000000000000004E-4</v>
      </c>
      <c r="O153" s="438">
        <v>4.6950000000000003</v>
      </c>
      <c r="P153" s="438">
        <v>0.73</v>
      </c>
    </row>
    <row r="154" spans="4:16">
      <c r="D154" s="602" t="s">
        <v>551</v>
      </c>
      <c r="E154" s="435" t="s">
        <v>896</v>
      </c>
      <c r="F154" s="436">
        <v>41122</v>
      </c>
      <c r="G154" s="437">
        <f t="shared" si="4"/>
        <v>2012</v>
      </c>
      <c r="H154" s="437">
        <f t="shared" si="5"/>
        <v>8</v>
      </c>
      <c r="I154" s="438">
        <v>17</v>
      </c>
      <c r="J154" s="438">
        <v>7.3029999999999999</v>
      </c>
      <c r="K154" s="438">
        <v>0</v>
      </c>
      <c r="L154" s="604">
        <v>6.3029999999999999</v>
      </c>
      <c r="M154" s="438">
        <v>8979</v>
      </c>
      <c r="N154" s="439">
        <v>8.0000000000000004E-4</v>
      </c>
      <c r="O154" s="438">
        <v>6.3630000000000004</v>
      </c>
      <c r="P154" s="438">
        <v>0</v>
      </c>
    </row>
    <row r="155" spans="4:16">
      <c r="D155" s="602" t="s">
        <v>551</v>
      </c>
      <c r="E155" s="435" t="s">
        <v>896</v>
      </c>
      <c r="F155" s="436">
        <v>41156</v>
      </c>
      <c r="G155" s="437">
        <f t="shared" si="4"/>
        <v>2012</v>
      </c>
      <c r="H155" s="437">
        <f t="shared" si="5"/>
        <v>9</v>
      </c>
      <c r="I155" s="438">
        <v>16</v>
      </c>
      <c r="J155" s="438">
        <v>6.6070000000000002</v>
      </c>
      <c r="K155" s="438">
        <v>0</v>
      </c>
      <c r="L155" s="604">
        <v>5.6070000000000002</v>
      </c>
      <c r="M155" s="438">
        <v>8521</v>
      </c>
      <c r="N155" s="439">
        <v>8.0000000000000004E-4</v>
      </c>
      <c r="O155" s="438">
        <v>5.6829999999999998</v>
      </c>
      <c r="P155" s="438">
        <v>0</v>
      </c>
    </row>
    <row r="156" spans="4:16">
      <c r="D156" s="602" t="s">
        <v>551</v>
      </c>
      <c r="E156" s="435" t="s">
        <v>896</v>
      </c>
      <c r="F156" s="436">
        <v>41185</v>
      </c>
      <c r="G156" s="437">
        <f t="shared" si="4"/>
        <v>2012</v>
      </c>
      <c r="H156" s="437">
        <f t="shared" si="5"/>
        <v>10</v>
      </c>
      <c r="I156" s="438">
        <v>14</v>
      </c>
      <c r="J156" s="438">
        <v>4.3979999999999997</v>
      </c>
      <c r="K156" s="438">
        <v>0</v>
      </c>
      <c r="L156" s="604">
        <v>3.3980000000000001</v>
      </c>
      <c r="M156" s="438">
        <v>6122</v>
      </c>
      <c r="N156" s="439">
        <v>6.9999999999999999E-4</v>
      </c>
      <c r="O156" s="438">
        <v>3.45</v>
      </c>
      <c r="P156" s="438">
        <v>0</v>
      </c>
    </row>
    <row r="157" spans="4:16">
      <c r="D157" s="602" t="s">
        <v>551</v>
      </c>
      <c r="E157" s="435" t="s">
        <v>896</v>
      </c>
      <c r="F157" s="436">
        <v>41239</v>
      </c>
      <c r="G157" s="437">
        <f t="shared" si="4"/>
        <v>2012</v>
      </c>
      <c r="H157" s="437">
        <f t="shared" si="5"/>
        <v>11</v>
      </c>
      <c r="I157" s="438">
        <v>18</v>
      </c>
      <c r="J157" s="438">
        <v>4.5149999999999997</v>
      </c>
      <c r="K157" s="438">
        <v>0</v>
      </c>
      <c r="L157" s="604">
        <v>2.5150000000000001</v>
      </c>
      <c r="M157" s="438">
        <v>6416</v>
      </c>
      <c r="N157" s="439">
        <v>6.9999999999999999E-4</v>
      </c>
      <c r="O157" s="438">
        <v>2.556</v>
      </c>
      <c r="P157" s="438">
        <v>0</v>
      </c>
    </row>
    <row r="158" spans="4:16">
      <c r="D158" s="602" t="s">
        <v>551</v>
      </c>
      <c r="E158" s="435" t="s">
        <v>896</v>
      </c>
      <c r="F158" s="436">
        <v>41253</v>
      </c>
      <c r="G158" s="437">
        <f t="shared" si="4"/>
        <v>2012</v>
      </c>
      <c r="H158" s="437">
        <f t="shared" si="5"/>
        <v>12</v>
      </c>
      <c r="I158" s="438">
        <v>18</v>
      </c>
      <c r="J158" s="438">
        <v>4.7649999999999997</v>
      </c>
      <c r="K158" s="438">
        <v>0</v>
      </c>
      <c r="L158" s="604">
        <v>2.7650000000000001</v>
      </c>
      <c r="M158" s="438">
        <v>6609</v>
      </c>
      <c r="N158" s="439">
        <v>6.9999999999999999E-4</v>
      </c>
      <c r="O158" s="438">
        <v>2.8090000000000002</v>
      </c>
      <c r="P158" s="438">
        <v>0</v>
      </c>
    </row>
    <row r="159" spans="4:16">
      <c r="D159" s="602" t="s">
        <v>551</v>
      </c>
      <c r="E159" s="435" t="s">
        <v>896</v>
      </c>
      <c r="F159" s="436">
        <v>41295</v>
      </c>
      <c r="G159" s="437">
        <f t="shared" si="4"/>
        <v>2013</v>
      </c>
      <c r="H159" s="437">
        <f t="shared" si="5"/>
        <v>1</v>
      </c>
      <c r="I159" s="438">
        <v>19</v>
      </c>
      <c r="J159" s="438">
        <v>4.8570000000000002</v>
      </c>
      <c r="K159" s="438">
        <v>0</v>
      </c>
      <c r="L159" s="604">
        <v>2.8570000000000002</v>
      </c>
      <c r="M159" s="438">
        <v>6846</v>
      </c>
      <c r="N159" s="439">
        <v>6.9999999999999999E-4</v>
      </c>
      <c r="O159" s="438">
        <v>2.8959999999999999</v>
      </c>
      <c r="P159" s="438">
        <v>0</v>
      </c>
    </row>
    <row r="160" spans="4:16">
      <c r="D160" s="602" t="s">
        <v>551</v>
      </c>
      <c r="E160" s="435" t="s">
        <v>896</v>
      </c>
      <c r="F160" s="436">
        <v>41324</v>
      </c>
      <c r="G160" s="437">
        <f t="shared" si="4"/>
        <v>2013</v>
      </c>
      <c r="H160" s="437">
        <f t="shared" si="5"/>
        <v>2</v>
      </c>
      <c r="I160" s="438">
        <v>19</v>
      </c>
      <c r="J160" s="438">
        <v>4.67</v>
      </c>
      <c r="K160" s="438">
        <v>0</v>
      </c>
      <c r="L160" s="604">
        <v>2.67</v>
      </c>
      <c r="M160" s="438">
        <v>6511</v>
      </c>
      <c r="N160" s="439">
        <v>6.9999999999999999E-4</v>
      </c>
      <c r="O160" s="438">
        <v>2.871</v>
      </c>
      <c r="P160" s="438">
        <v>0</v>
      </c>
    </row>
    <row r="161" spans="4:16">
      <c r="D161" s="602" t="s">
        <v>551</v>
      </c>
      <c r="E161" s="435" t="s">
        <v>896</v>
      </c>
      <c r="F161" s="436">
        <v>41337</v>
      </c>
      <c r="G161" s="437">
        <f t="shared" si="4"/>
        <v>2013</v>
      </c>
      <c r="H161" s="437">
        <f t="shared" si="5"/>
        <v>3</v>
      </c>
      <c r="I161" s="438">
        <v>19</v>
      </c>
      <c r="J161" s="438">
        <v>4.1639999999999997</v>
      </c>
      <c r="K161" s="438">
        <v>0</v>
      </c>
      <c r="L161" s="604">
        <v>2.1640000000000001</v>
      </c>
      <c r="M161" s="438">
        <v>6172</v>
      </c>
      <c r="N161" s="439">
        <v>6.9999999999999999E-4</v>
      </c>
      <c r="O161" s="438">
        <v>2.206</v>
      </c>
      <c r="P161" s="438">
        <v>0</v>
      </c>
    </row>
    <row r="162" spans="4:16">
      <c r="D162" s="602" t="s">
        <v>551</v>
      </c>
      <c r="E162" s="435" t="s">
        <v>896</v>
      </c>
      <c r="F162" s="436">
        <v>41382</v>
      </c>
      <c r="G162" s="437">
        <f t="shared" si="4"/>
        <v>2013</v>
      </c>
      <c r="H162" s="437">
        <f t="shared" si="5"/>
        <v>4</v>
      </c>
      <c r="I162" s="438">
        <v>12</v>
      </c>
      <c r="J162" s="438">
        <v>3.8879999999999999</v>
      </c>
      <c r="K162" s="438">
        <v>0.67200000000000004</v>
      </c>
      <c r="L162" s="604">
        <v>4.5599999999999996</v>
      </c>
      <c r="M162" s="438">
        <v>5851</v>
      </c>
      <c r="N162" s="439">
        <v>8.0000000000000004E-4</v>
      </c>
      <c r="O162" s="438">
        <v>3.9289999999999998</v>
      </c>
      <c r="P162" s="438">
        <v>0.67200000000000004</v>
      </c>
    </row>
    <row r="163" spans="4:16">
      <c r="D163" s="602" t="s">
        <v>551</v>
      </c>
      <c r="E163" s="435" t="s">
        <v>896</v>
      </c>
      <c r="F163" s="436">
        <v>41408</v>
      </c>
      <c r="G163" s="437">
        <f t="shared" si="4"/>
        <v>2013</v>
      </c>
      <c r="H163" s="437">
        <f t="shared" si="5"/>
        <v>5</v>
      </c>
      <c r="I163" s="438">
        <v>17</v>
      </c>
      <c r="J163" s="438">
        <v>4.4669999999999996</v>
      </c>
      <c r="K163" s="438">
        <v>0.65600000000000003</v>
      </c>
      <c r="L163" s="604">
        <v>4.1230000000000002</v>
      </c>
      <c r="M163" s="438">
        <v>6516</v>
      </c>
      <c r="N163" s="439">
        <v>8.0000000000000004E-4</v>
      </c>
      <c r="O163" s="438">
        <v>3.4990000000000001</v>
      </c>
      <c r="P163" s="438">
        <v>0.65600000000000003</v>
      </c>
    </row>
    <row r="164" spans="4:16">
      <c r="D164" s="602" t="s">
        <v>551</v>
      </c>
      <c r="E164" s="435" t="s">
        <v>896</v>
      </c>
      <c r="F164" s="436">
        <v>41451</v>
      </c>
      <c r="G164" s="437">
        <f t="shared" si="4"/>
        <v>2013</v>
      </c>
      <c r="H164" s="437">
        <f t="shared" si="5"/>
        <v>6</v>
      </c>
      <c r="I164" s="438">
        <v>16</v>
      </c>
      <c r="J164" s="438">
        <v>6.1120000000000001</v>
      </c>
      <c r="K164" s="438">
        <v>0.66400000000000003</v>
      </c>
      <c r="L164" s="604">
        <v>5.7759999999999998</v>
      </c>
      <c r="M164" s="438">
        <v>8280</v>
      </c>
      <c r="N164" s="439">
        <v>8.0000000000000004E-4</v>
      </c>
      <c r="O164" s="438">
        <v>5.1779999999999999</v>
      </c>
      <c r="P164" s="438">
        <v>0.66400000000000003</v>
      </c>
    </row>
    <row r="165" spans="4:16">
      <c r="D165" s="602" t="s">
        <v>551</v>
      </c>
      <c r="E165" s="435" t="s">
        <v>896</v>
      </c>
      <c r="F165" s="436">
        <v>41473</v>
      </c>
      <c r="G165" s="437">
        <f t="shared" si="4"/>
        <v>2013</v>
      </c>
      <c r="H165" s="437">
        <f t="shared" si="5"/>
        <v>7</v>
      </c>
      <c r="I165" s="438">
        <v>17</v>
      </c>
      <c r="J165" s="438">
        <v>6.5549999999999997</v>
      </c>
      <c r="K165" s="438">
        <v>0.67600000000000005</v>
      </c>
      <c r="L165" s="604">
        <v>5.2309999999999999</v>
      </c>
      <c r="M165" s="438">
        <v>9566</v>
      </c>
      <c r="N165" s="439">
        <v>8.0000000000000004E-4</v>
      </c>
      <c r="O165" s="438">
        <v>6.6269999999999998</v>
      </c>
      <c r="P165" s="438">
        <v>0.67600000000000005</v>
      </c>
    </row>
    <row r="166" spans="4:16">
      <c r="D166" s="602" t="s">
        <v>551</v>
      </c>
      <c r="E166" s="435" t="s">
        <v>896</v>
      </c>
      <c r="F166" s="436">
        <v>41512</v>
      </c>
      <c r="G166" s="437">
        <f t="shared" si="4"/>
        <v>2013</v>
      </c>
      <c r="H166" s="437">
        <f t="shared" si="5"/>
        <v>8</v>
      </c>
      <c r="I166" s="438">
        <v>17</v>
      </c>
      <c r="J166" s="438">
        <v>7.3789999999999996</v>
      </c>
      <c r="K166" s="438">
        <v>0</v>
      </c>
      <c r="L166" s="604">
        <v>5.3789999999999996</v>
      </c>
      <c r="M166" s="438">
        <v>9821</v>
      </c>
      <c r="N166" s="439">
        <v>8.0000000000000004E-4</v>
      </c>
      <c r="O166" s="438">
        <v>7.46</v>
      </c>
      <c r="P166" s="438">
        <v>0</v>
      </c>
    </row>
    <row r="167" spans="4:16">
      <c r="D167" s="602" t="s">
        <v>551</v>
      </c>
      <c r="E167" s="435" t="s">
        <v>896</v>
      </c>
      <c r="F167" s="436">
        <v>41526</v>
      </c>
      <c r="G167" s="437">
        <f t="shared" si="4"/>
        <v>2013</v>
      </c>
      <c r="H167" s="437">
        <f t="shared" si="5"/>
        <v>9</v>
      </c>
      <c r="I167" s="438">
        <v>17</v>
      </c>
      <c r="J167" s="438">
        <v>7.0419999999999998</v>
      </c>
      <c r="K167" s="438">
        <v>0</v>
      </c>
      <c r="L167" s="604">
        <v>6.0419999999999998</v>
      </c>
      <c r="M167" s="438">
        <v>8781</v>
      </c>
      <c r="N167" s="439">
        <v>8.0000000000000004E-4</v>
      </c>
      <c r="O167" s="438">
        <v>7.1310000000000002</v>
      </c>
      <c r="P167" s="438">
        <v>0</v>
      </c>
    </row>
    <row r="168" spans="4:16">
      <c r="D168" s="602" t="s">
        <v>551</v>
      </c>
      <c r="E168" s="435" t="s">
        <v>896</v>
      </c>
      <c r="F168" s="436">
        <v>41548</v>
      </c>
      <c r="G168" s="437">
        <f t="shared" si="4"/>
        <v>2013</v>
      </c>
      <c r="H168" s="437">
        <f t="shared" si="5"/>
        <v>10</v>
      </c>
      <c r="I168" s="438">
        <v>14</v>
      </c>
      <c r="J168" s="438">
        <v>4.532</v>
      </c>
      <c r="K168" s="438">
        <v>0</v>
      </c>
      <c r="L168" s="604">
        <v>3.532</v>
      </c>
      <c r="M168" s="438">
        <v>6214</v>
      </c>
      <c r="N168" s="439">
        <v>6.9999999999999999E-4</v>
      </c>
      <c r="O168" s="438">
        <v>4.5869999999999997</v>
      </c>
      <c r="P168" s="438">
        <v>0</v>
      </c>
    </row>
    <row r="169" spans="4:16">
      <c r="D169" s="602" t="s">
        <v>551</v>
      </c>
      <c r="E169" s="435" t="s">
        <v>896</v>
      </c>
      <c r="F169" s="436">
        <v>41604</v>
      </c>
      <c r="G169" s="437">
        <f t="shared" si="4"/>
        <v>2013</v>
      </c>
      <c r="H169" s="437">
        <f t="shared" si="5"/>
        <v>11</v>
      </c>
      <c r="I169" s="438">
        <v>18</v>
      </c>
      <c r="J169" s="438">
        <v>4.3369999999999997</v>
      </c>
      <c r="K169" s="438">
        <v>0</v>
      </c>
      <c r="L169" s="604">
        <v>2.3370000000000002</v>
      </c>
      <c r="M169" s="438">
        <v>6372</v>
      </c>
      <c r="N169" s="439">
        <v>6.9999999999999999E-4</v>
      </c>
      <c r="O169" s="438">
        <v>4.3979999999999997</v>
      </c>
      <c r="P169" s="438">
        <v>0</v>
      </c>
    </row>
    <row r="170" spans="4:16">
      <c r="D170" s="602" t="s">
        <v>551</v>
      </c>
      <c r="E170" s="435" t="s">
        <v>896</v>
      </c>
      <c r="F170" s="436">
        <v>41619</v>
      </c>
      <c r="G170" s="437">
        <f t="shared" si="4"/>
        <v>2013</v>
      </c>
      <c r="H170" s="437">
        <f t="shared" si="5"/>
        <v>12</v>
      </c>
      <c r="I170" s="438">
        <v>18</v>
      </c>
      <c r="J170" s="438">
        <v>5.1180000000000003</v>
      </c>
      <c r="K170" s="438">
        <v>0</v>
      </c>
      <c r="L170" s="604">
        <v>3.1179999999999999</v>
      </c>
      <c r="M170" s="438">
        <v>6972</v>
      </c>
      <c r="N170" s="439">
        <v>6.9999999999999999E-4</v>
      </c>
      <c r="O170" s="438">
        <v>5.1820000000000004</v>
      </c>
      <c r="P170" s="438">
        <v>0</v>
      </c>
    </row>
    <row r="171" spans="4:16">
      <c r="D171" s="602" t="s">
        <v>551</v>
      </c>
      <c r="E171" s="605" t="s">
        <v>896</v>
      </c>
      <c r="F171" s="606">
        <v>41645</v>
      </c>
      <c r="G171" s="437">
        <f t="shared" si="4"/>
        <v>2014</v>
      </c>
      <c r="H171" s="437">
        <f t="shared" si="5"/>
        <v>1</v>
      </c>
      <c r="I171" s="607">
        <v>18</v>
      </c>
      <c r="J171" s="607">
        <v>5.4219999999999997</v>
      </c>
      <c r="K171" s="607">
        <v>0</v>
      </c>
      <c r="L171" s="608">
        <v>5.4219999999999997</v>
      </c>
      <c r="M171" s="609">
        <v>7188</v>
      </c>
      <c r="N171" s="607">
        <v>7.4999999999999997E-2</v>
      </c>
      <c r="O171" s="607">
        <v>5.48</v>
      </c>
      <c r="P171" s="607">
        <v>0</v>
      </c>
    </row>
    <row r="172" spans="4:16">
      <c r="D172" s="602" t="s">
        <v>551</v>
      </c>
      <c r="E172" s="605" t="s">
        <v>896</v>
      </c>
      <c r="F172" s="606">
        <v>41676</v>
      </c>
      <c r="G172" s="437">
        <f t="shared" si="4"/>
        <v>2014</v>
      </c>
      <c r="H172" s="437">
        <f t="shared" si="5"/>
        <v>2</v>
      </c>
      <c r="I172" s="607">
        <v>19</v>
      </c>
      <c r="J172" s="607">
        <v>4.95</v>
      </c>
      <c r="K172" s="607">
        <v>0</v>
      </c>
      <c r="L172" s="608">
        <v>4.95</v>
      </c>
      <c r="M172" s="609">
        <v>6743</v>
      </c>
      <c r="N172" s="607">
        <v>7.2999999999999995E-2</v>
      </c>
      <c r="O172" s="607">
        <v>4.8099999999999996</v>
      </c>
      <c r="P172" s="607">
        <v>0</v>
      </c>
    </row>
    <row r="173" spans="4:16">
      <c r="D173" s="602" t="s">
        <v>551</v>
      </c>
      <c r="E173" s="605" t="s">
        <v>896</v>
      </c>
      <c r="F173" s="606">
        <v>41701</v>
      </c>
      <c r="G173" s="437">
        <f t="shared" si="4"/>
        <v>2014</v>
      </c>
      <c r="H173" s="437">
        <f t="shared" si="5"/>
        <v>3</v>
      </c>
      <c r="I173" s="607">
        <v>19</v>
      </c>
      <c r="J173" s="607">
        <v>4.9400000000000004</v>
      </c>
      <c r="K173" s="607">
        <v>0</v>
      </c>
      <c r="L173" s="608">
        <v>4.9400000000000004</v>
      </c>
      <c r="M173" s="609">
        <v>6537</v>
      </c>
      <c r="N173" s="607">
        <v>7.5999999999999998E-2</v>
      </c>
      <c r="O173" s="607">
        <v>4.681</v>
      </c>
      <c r="P173" s="607">
        <v>0</v>
      </c>
    </row>
    <row r="174" spans="4:16">
      <c r="D174" s="602" t="s">
        <v>551</v>
      </c>
      <c r="E174" s="605" t="s">
        <v>896</v>
      </c>
      <c r="F174" s="606">
        <v>41730</v>
      </c>
      <c r="G174" s="437">
        <f t="shared" si="4"/>
        <v>2014</v>
      </c>
      <c r="H174" s="437">
        <f t="shared" si="5"/>
        <v>4</v>
      </c>
      <c r="I174" s="607">
        <v>11</v>
      </c>
      <c r="J174" s="607">
        <v>4.71</v>
      </c>
      <c r="K174" s="607">
        <v>0</v>
      </c>
      <c r="L174" s="608">
        <v>4.71</v>
      </c>
      <c r="M174" s="609">
        <v>5924</v>
      </c>
      <c r="N174" s="607">
        <v>0.08</v>
      </c>
      <c r="O174" s="607">
        <v>4.585</v>
      </c>
      <c r="P174" s="607">
        <v>0</v>
      </c>
    </row>
    <row r="175" spans="4:16">
      <c r="D175" s="602" t="s">
        <v>551</v>
      </c>
      <c r="E175" s="605" t="s">
        <v>896</v>
      </c>
      <c r="F175" s="606">
        <v>41789</v>
      </c>
      <c r="G175" s="437">
        <f t="shared" si="4"/>
        <v>2014</v>
      </c>
      <c r="H175" s="437">
        <f t="shared" si="5"/>
        <v>5</v>
      </c>
      <c r="I175" s="607">
        <v>16</v>
      </c>
      <c r="J175" s="607">
        <v>5.3719999999999999</v>
      </c>
      <c r="K175" s="607">
        <v>0.69099999999999995</v>
      </c>
      <c r="L175" s="608">
        <v>6.0629999999999997</v>
      </c>
      <c r="M175" s="609">
        <v>7422</v>
      </c>
      <c r="N175" s="607">
        <v>8.2000000000000003E-2</v>
      </c>
      <c r="O175" s="607">
        <v>5.4260000000000002</v>
      </c>
      <c r="P175" s="607">
        <v>0.69099999999999995</v>
      </c>
    </row>
    <row r="176" spans="4:16">
      <c r="D176" s="602" t="s">
        <v>551</v>
      </c>
      <c r="E176" s="605" t="s">
        <v>896</v>
      </c>
      <c r="F176" s="606">
        <v>41814</v>
      </c>
      <c r="G176" s="437">
        <f t="shared" si="4"/>
        <v>2014</v>
      </c>
      <c r="H176" s="437">
        <f t="shared" si="5"/>
        <v>6</v>
      </c>
      <c r="I176" s="607">
        <v>16</v>
      </c>
      <c r="J176" s="607">
        <v>5.3780000000000001</v>
      </c>
      <c r="K176" s="607">
        <v>0.50600000000000001</v>
      </c>
      <c r="L176" s="608">
        <v>5.8840000000000003</v>
      </c>
      <c r="M176" s="609">
        <v>7670</v>
      </c>
      <c r="N176" s="607">
        <v>7.6999999999999999E-2</v>
      </c>
      <c r="O176" s="607">
        <v>5.4320000000000004</v>
      </c>
      <c r="P176" s="607">
        <v>0.50600000000000001</v>
      </c>
    </row>
    <row r="177" spans="4:16">
      <c r="D177" s="602" t="s">
        <v>551</v>
      </c>
      <c r="E177" s="605" t="s">
        <v>896</v>
      </c>
      <c r="F177" s="606">
        <v>41841</v>
      </c>
      <c r="G177" s="437">
        <f t="shared" si="4"/>
        <v>2014</v>
      </c>
      <c r="H177" s="437">
        <f t="shared" si="5"/>
        <v>7</v>
      </c>
      <c r="I177" s="607">
        <v>17</v>
      </c>
      <c r="J177" s="607">
        <v>6.6</v>
      </c>
      <c r="K177" s="607">
        <v>0.622</v>
      </c>
      <c r="L177" s="608">
        <v>7.2220000000000004</v>
      </c>
      <c r="M177" s="609">
        <v>9150</v>
      </c>
      <c r="N177" s="607">
        <v>7.9000000000000001E-2</v>
      </c>
      <c r="O177" s="607">
        <v>6.43</v>
      </c>
      <c r="P177" s="607">
        <v>0.622</v>
      </c>
    </row>
    <row r="178" spans="4:16">
      <c r="D178" s="602" t="s">
        <v>551</v>
      </c>
      <c r="E178" s="605" t="s">
        <v>896</v>
      </c>
      <c r="F178" s="606">
        <v>41869</v>
      </c>
      <c r="G178" s="437">
        <f t="shared" si="4"/>
        <v>2014</v>
      </c>
      <c r="H178" s="437">
        <f t="shared" si="5"/>
        <v>8</v>
      </c>
      <c r="I178" s="607">
        <v>16</v>
      </c>
      <c r="J178" s="607">
        <v>6.0750000000000002</v>
      </c>
      <c r="K178" s="607">
        <v>0.72599999999999998</v>
      </c>
      <c r="L178" s="608">
        <v>6.8010000000000002</v>
      </c>
      <c r="M178" s="609">
        <v>8190</v>
      </c>
      <c r="N178" s="607">
        <v>8.3000000000000004E-2</v>
      </c>
      <c r="O178" s="607">
        <v>5.8959999999999999</v>
      </c>
      <c r="P178" s="607">
        <v>0.72599999999999998</v>
      </c>
    </row>
    <row r="179" spans="4:16">
      <c r="D179" s="602" t="s">
        <v>551</v>
      </c>
      <c r="E179" s="605" t="s">
        <v>896</v>
      </c>
      <c r="F179" s="606">
        <v>41886</v>
      </c>
      <c r="G179" s="437">
        <f t="shared" si="4"/>
        <v>2014</v>
      </c>
      <c r="H179" s="437">
        <f t="shared" si="5"/>
        <v>9</v>
      </c>
      <c r="I179" s="607">
        <v>15</v>
      </c>
      <c r="J179" s="607">
        <v>5.3470000000000004</v>
      </c>
      <c r="K179" s="607">
        <v>0.71199999999999997</v>
      </c>
      <c r="L179" s="608">
        <v>6.0590000000000002</v>
      </c>
      <c r="M179" s="609">
        <v>7758</v>
      </c>
      <c r="N179" s="607">
        <v>7.8E-2</v>
      </c>
      <c r="O179" s="607">
        <v>5.1929999999999996</v>
      </c>
      <c r="P179" s="607">
        <v>0.71199999999999997</v>
      </c>
    </row>
    <row r="180" spans="4:16">
      <c r="D180" s="602" t="s">
        <v>551</v>
      </c>
      <c r="E180" s="605" t="s">
        <v>896</v>
      </c>
      <c r="F180" s="606">
        <v>41942</v>
      </c>
      <c r="G180" s="437">
        <f t="shared" si="4"/>
        <v>2014</v>
      </c>
      <c r="H180" s="437">
        <f t="shared" si="5"/>
        <v>10</v>
      </c>
      <c r="I180" s="607">
        <v>20</v>
      </c>
      <c r="J180" s="607">
        <v>3.7450000000000001</v>
      </c>
      <c r="K180" s="607">
        <v>0</v>
      </c>
      <c r="L180" s="608">
        <v>3.7450000000000001</v>
      </c>
      <c r="M180" s="609">
        <v>5901</v>
      </c>
      <c r="N180" s="607">
        <v>6.3E-2</v>
      </c>
      <c r="O180" s="607">
        <v>3.718</v>
      </c>
      <c r="P180" s="607">
        <v>0</v>
      </c>
    </row>
    <row r="181" spans="4:16">
      <c r="D181" s="602" t="s">
        <v>551</v>
      </c>
      <c r="E181" s="605" t="s">
        <v>896</v>
      </c>
      <c r="F181" s="606">
        <v>41960</v>
      </c>
      <c r="G181" s="437">
        <f t="shared" si="4"/>
        <v>2014</v>
      </c>
      <c r="H181" s="437">
        <f t="shared" si="5"/>
        <v>11</v>
      </c>
      <c r="I181" s="607">
        <v>18</v>
      </c>
      <c r="J181" s="607">
        <v>4.8860000000000001</v>
      </c>
      <c r="K181" s="607">
        <v>0</v>
      </c>
      <c r="L181" s="608">
        <v>4.8860000000000001</v>
      </c>
      <c r="M181" s="609">
        <v>6677</v>
      </c>
      <c r="N181" s="607">
        <v>7.2999999999999995E-2</v>
      </c>
      <c r="O181" s="607">
        <v>4.8419999999999996</v>
      </c>
      <c r="P181" s="607">
        <v>0</v>
      </c>
    </row>
    <row r="182" spans="4:16">
      <c r="D182" s="602" t="s">
        <v>551</v>
      </c>
      <c r="E182" s="605" t="s">
        <v>896</v>
      </c>
      <c r="F182" s="606">
        <v>41974</v>
      </c>
      <c r="G182" s="437">
        <f t="shared" si="4"/>
        <v>2014</v>
      </c>
      <c r="H182" s="437">
        <f t="shared" si="5"/>
        <v>12</v>
      </c>
      <c r="I182" s="607">
        <v>18</v>
      </c>
      <c r="J182" s="607">
        <v>5.1340000000000003</v>
      </c>
      <c r="K182" s="607">
        <v>0</v>
      </c>
      <c r="L182" s="608">
        <v>5.1340000000000003</v>
      </c>
      <c r="M182" s="609">
        <v>6850</v>
      </c>
      <c r="N182" s="607">
        <v>7.4999999999999997E-2</v>
      </c>
      <c r="O182" s="607">
        <v>4.9550000000000001</v>
      </c>
      <c r="P182" s="607">
        <v>0</v>
      </c>
    </row>
    <row r="183" spans="4:16">
      <c r="D183" s="602" t="s">
        <v>551</v>
      </c>
      <c r="E183" s="605" t="s">
        <v>896</v>
      </c>
      <c r="F183" s="606">
        <v>42011</v>
      </c>
      <c r="G183" s="437">
        <f t="shared" si="4"/>
        <v>2015</v>
      </c>
      <c r="H183" s="437">
        <f t="shared" si="5"/>
        <v>1</v>
      </c>
      <c r="I183" s="607">
        <v>18</v>
      </c>
      <c r="J183" s="607">
        <v>5.1079999999999997</v>
      </c>
      <c r="K183" s="607">
        <v>0</v>
      </c>
      <c r="L183" s="608">
        <v>5.1079999999999997</v>
      </c>
      <c r="M183" s="609">
        <v>6978</v>
      </c>
      <c r="N183" s="607">
        <v>7.2999999999999995E-2</v>
      </c>
      <c r="O183" s="607">
        <v>4.9550000000000001</v>
      </c>
      <c r="P183" s="607">
        <v>0</v>
      </c>
    </row>
    <row r="184" spans="4:16">
      <c r="D184" s="602" t="s">
        <v>551</v>
      </c>
      <c r="E184" s="605" t="s">
        <v>896</v>
      </c>
      <c r="F184" s="606">
        <v>42053</v>
      </c>
      <c r="G184" s="437">
        <f t="shared" si="4"/>
        <v>2015</v>
      </c>
      <c r="H184" s="437">
        <f t="shared" si="5"/>
        <v>2</v>
      </c>
      <c r="I184" s="607">
        <v>19</v>
      </c>
      <c r="J184" s="607">
        <v>4.7789999999999999</v>
      </c>
      <c r="K184" s="607">
        <v>0</v>
      </c>
      <c r="L184" s="608">
        <v>4.7789999999999999</v>
      </c>
      <c r="M184" s="609">
        <v>6744</v>
      </c>
      <c r="N184" s="607">
        <v>7.0999999999999994E-2</v>
      </c>
      <c r="O184" s="607">
        <v>4.6340000000000003</v>
      </c>
      <c r="P184" s="607">
        <v>0</v>
      </c>
    </row>
    <row r="185" spans="4:16">
      <c r="D185" s="602" t="s">
        <v>551</v>
      </c>
      <c r="E185" s="605" t="s">
        <v>896</v>
      </c>
      <c r="F185" s="606">
        <v>42067</v>
      </c>
      <c r="G185" s="437">
        <f t="shared" si="4"/>
        <v>2015</v>
      </c>
      <c r="H185" s="437">
        <f t="shared" si="5"/>
        <v>3</v>
      </c>
      <c r="I185" s="607">
        <v>20</v>
      </c>
      <c r="J185" s="607">
        <v>4.6589999999999998</v>
      </c>
      <c r="K185" s="607">
        <v>0</v>
      </c>
      <c r="L185" s="608">
        <v>4.6589999999999998</v>
      </c>
      <c r="M185" s="609">
        <v>6470</v>
      </c>
      <c r="N185" s="607">
        <v>7.1999999999999995E-2</v>
      </c>
      <c r="O185" s="607">
        <v>4.4740000000000002</v>
      </c>
      <c r="P185" s="607">
        <v>0</v>
      </c>
    </row>
    <row r="186" spans="4:16">
      <c r="D186" s="602" t="s">
        <v>551</v>
      </c>
      <c r="E186" s="605" t="s">
        <v>896</v>
      </c>
      <c r="F186" s="606">
        <v>42103</v>
      </c>
      <c r="G186" s="437">
        <f t="shared" si="4"/>
        <v>2015</v>
      </c>
      <c r="H186" s="437">
        <f t="shared" si="5"/>
        <v>4</v>
      </c>
      <c r="I186" s="607">
        <v>12</v>
      </c>
      <c r="J186" s="607">
        <v>3.798</v>
      </c>
      <c r="K186" s="607">
        <v>0.7</v>
      </c>
      <c r="L186" s="608">
        <v>4.4980000000000002</v>
      </c>
      <c r="M186" s="609">
        <v>5914</v>
      </c>
      <c r="N186" s="607">
        <v>7.5999999999999998E-2</v>
      </c>
      <c r="O186" s="607">
        <v>3.6840000000000002</v>
      </c>
      <c r="P186" s="607">
        <v>0.7</v>
      </c>
    </row>
    <row r="187" spans="4:16">
      <c r="D187" s="602" t="s">
        <v>551</v>
      </c>
      <c r="E187" s="605" t="s">
        <v>896</v>
      </c>
      <c r="F187" s="606">
        <v>42152</v>
      </c>
      <c r="G187" s="437">
        <f t="shared" si="4"/>
        <v>2015</v>
      </c>
      <c r="H187" s="437">
        <f t="shared" si="5"/>
        <v>5</v>
      </c>
      <c r="I187" s="607">
        <v>16</v>
      </c>
      <c r="J187" s="607">
        <v>4.4969999999999999</v>
      </c>
      <c r="K187" s="607">
        <v>0.67100000000000004</v>
      </c>
      <c r="L187" s="608">
        <v>5.1680000000000001</v>
      </c>
      <c r="M187" s="609">
        <v>6837</v>
      </c>
      <c r="N187" s="607">
        <v>7.5999999999999998E-2</v>
      </c>
      <c r="O187" s="607">
        <v>4.3719999999999999</v>
      </c>
      <c r="P187" s="607">
        <v>0.67100000000000004</v>
      </c>
    </row>
    <row r="188" spans="4:16">
      <c r="D188" s="602" t="s">
        <v>551</v>
      </c>
      <c r="E188" s="605" t="s">
        <v>896</v>
      </c>
      <c r="F188" s="606">
        <v>42164</v>
      </c>
      <c r="G188" s="437">
        <f t="shared" si="4"/>
        <v>2015</v>
      </c>
      <c r="H188" s="437">
        <f t="shared" si="5"/>
        <v>6</v>
      </c>
      <c r="I188" s="607">
        <v>17</v>
      </c>
      <c r="J188" s="607">
        <v>6.1360000000000001</v>
      </c>
      <c r="K188" s="607">
        <v>0.66600000000000004</v>
      </c>
      <c r="L188" s="608">
        <v>6.8019999999999996</v>
      </c>
      <c r="M188" s="609">
        <v>8136</v>
      </c>
      <c r="N188" s="607">
        <v>8.4000000000000005E-2</v>
      </c>
      <c r="O188" s="607">
        <v>5.9660000000000002</v>
      </c>
      <c r="P188" s="607">
        <v>0.66600000000000004</v>
      </c>
    </row>
    <row r="189" spans="4:16">
      <c r="D189" s="602" t="s">
        <v>551</v>
      </c>
      <c r="E189" s="605" t="s">
        <v>896</v>
      </c>
      <c r="F189" s="606">
        <v>42212</v>
      </c>
      <c r="G189" s="437">
        <f t="shared" si="4"/>
        <v>2015</v>
      </c>
      <c r="H189" s="437">
        <f t="shared" si="5"/>
        <v>7</v>
      </c>
      <c r="I189" s="607">
        <v>17</v>
      </c>
      <c r="J189" s="607">
        <v>6.2430000000000003</v>
      </c>
      <c r="K189" s="607">
        <v>0.71499999999999997</v>
      </c>
      <c r="L189" s="608">
        <v>6.9580000000000002</v>
      </c>
      <c r="M189" s="609">
        <v>8769</v>
      </c>
      <c r="N189" s="607">
        <v>7.9000000000000001E-2</v>
      </c>
      <c r="O189" s="607">
        <v>5.9779999999999998</v>
      </c>
      <c r="P189" s="607">
        <v>0.71499999999999997</v>
      </c>
    </row>
    <row r="190" spans="4:16">
      <c r="D190" s="602" t="s">
        <v>551</v>
      </c>
      <c r="E190" s="605" t="s">
        <v>896</v>
      </c>
      <c r="F190" s="606">
        <v>42230</v>
      </c>
      <c r="G190" s="437">
        <f t="shared" si="4"/>
        <v>2015</v>
      </c>
      <c r="H190" s="437">
        <f t="shared" si="5"/>
        <v>8</v>
      </c>
      <c r="I190" s="607">
        <v>16</v>
      </c>
      <c r="J190" s="607">
        <v>6.915</v>
      </c>
      <c r="K190" s="607">
        <v>0</v>
      </c>
      <c r="L190" s="608">
        <v>6.915</v>
      </c>
      <c r="M190" s="609">
        <v>8926</v>
      </c>
      <c r="N190" s="607">
        <v>7.6999999999999999E-2</v>
      </c>
      <c r="O190" s="607">
        <v>6.6779999999999999</v>
      </c>
      <c r="P190" s="607">
        <v>0</v>
      </c>
    </row>
    <row r="191" spans="4:16">
      <c r="D191" s="602" t="s">
        <v>551</v>
      </c>
      <c r="E191" s="605" t="s">
        <v>896</v>
      </c>
      <c r="F191" s="606">
        <v>42250</v>
      </c>
      <c r="G191" s="437">
        <f t="shared" si="4"/>
        <v>2015</v>
      </c>
      <c r="H191" s="437">
        <f t="shared" si="5"/>
        <v>9</v>
      </c>
      <c r="I191" s="607">
        <v>17</v>
      </c>
      <c r="J191" s="607">
        <v>6.5209999999999999</v>
      </c>
      <c r="K191" s="607">
        <v>0.70499999999999996</v>
      </c>
      <c r="L191" s="608">
        <v>7.226</v>
      </c>
      <c r="M191" s="609">
        <v>8657</v>
      </c>
      <c r="N191" s="607">
        <v>8.3000000000000004E-2</v>
      </c>
      <c r="O191" s="607">
        <v>6.2590000000000003</v>
      </c>
      <c r="P191" s="607">
        <v>0.70499999999999996</v>
      </c>
    </row>
    <row r="192" spans="4:16">
      <c r="D192" s="602" t="s">
        <v>551</v>
      </c>
      <c r="E192" s="605" t="s">
        <v>896</v>
      </c>
      <c r="F192" s="606">
        <v>42285</v>
      </c>
      <c r="G192" s="437">
        <f t="shared" si="4"/>
        <v>2015</v>
      </c>
      <c r="H192" s="437">
        <f t="shared" si="5"/>
        <v>10</v>
      </c>
      <c r="I192" s="607">
        <v>12</v>
      </c>
      <c r="J192" s="607">
        <v>4.2690000000000001</v>
      </c>
      <c r="K192" s="607">
        <v>0</v>
      </c>
      <c r="L192" s="608">
        <v>4.2690000000000001</v>
      </c>
      <c r="M192" s="609">
        <v>5943</v>
      </c>
      <c r="N192" s="607">
        <v>7.1999999999999995E-2</v>
      </c>
      <c r="O192" s="607">
        <v>4.1379999999999999</v>
      </c>
      <c r="P192" s="607">
        <v>0</v>
      </c>
    </row>
    <row r="193" spans="4:16">
      <c r="D193" s="602" t="s">
        <v>551</v>
      </c>
      <c r="E193" s="605" t="s">
        <v>896</v>
      </c>
      <c r="F193" s="606">
        <v>42338</v>
      </c>
      <c r="G193" s="437">
        <f t="shared" si="4"/>
        <v>2015</v>
      </c>
      <c r="H193" s="437">
        <f t="shared" si="5"/>
        <v>11</v>
      </c>
      <c r="I193" s="607">
        <v>18</v>
      </c>
      <c r="J193" s="607">
        <v>3.6160000000000001</v>
      </c>
      <c r="K193" s="607">
        <v>0.76500000000000001</v>
      </c>
      <c r="L193" s="608">
        <v>4.3810000000000002</v>
      </c>
      <c r="M193" s="609">
        <v>6574</v>
      </c>
      <c r="N193" s="607">
        <v>6.7000000000000004E-2</v>
      </c>
      <c r="O193" s="607">
        <v>3.5259999999999998</v>
      </c>
      <c r="P193" s="607">
        <v>0.76500000000000001</v>
      </c>
    </row>
    <row r="194" spans="4:16">
      <c r="D194" s="602" t="s">
        <v>551</v>
      </c>
      <c r="E194" s="605" t="s">
        <v>896</v>
      </c>
      <c r="F194" s="606">
        <v>42355</v>
      </c>
      <c r="G194" s="437">
        <f t="shared" si="4"/>
        <v>2015</v>
      </c>
      <c r="H194" s="437">
        <f t="shared" si="5"/>
        <v>12</v>
      </c>
      <c r="I194" s="607">
        <v>18</v>
      </c>
      <c r="J194" s="607">
        <v>4.55</v>
      </c>
      <c r="K194" s="607">
        <v>0</v>
      </c>
      <c r="L194" s="608">
        <v>4.55</v>
      </c>
      <c r="M194" s="609">
        <v>6450</v>
      </c>
      <c r="N194" s="607">
        <v>7.0999999999999994E-2</v>
      </c>
      <c r="O194" s="607">
        <v>4.383</v>
      </c>
      <c r="P194" s="607">
        <v>0</v>
      </c>
    </row>
    <row r="195" spans="4:16">
      <c r="D195" s="602" t="s">
        <v>551</v>
      </c>
      <c r="E195" s="435" t="s">
        <v>897</v>
      </c>
      <c r="F195" s="436">
        <v>40927</v>
      </c>
      <c r="G195" s="437">
        <f t="shared" ref="G195:G258" si="6">YEAR(F195)</f>
        <v>2012</v>
      </c>
      <c r="H195" s="437">
        <f t="shared" ref="H195:H258" si="7">MONTH(F195)</f>
        <v>1</v>
      </c>
      <c r="I195" s="438">
        <v>19</v>
      </c>
      <c r="J195" s="438">
        <v>6.5119999999999996</v>
      </c>
      <c r="K195" s="438">
        <v>2.8460000000000001</v>
      </c>
      <c r="L195" s="604">
        <v>9.3580000000000005</v>
      </c>
      <c r="M195" s="438">
        <v>6604</v>
      </c>
      <c r="N195" s="439">
        <v>1.4E-3</v>
      </c>
      <c r="O195" s="438">
        <v>6.5940000000000003</v>
      </c>
      <c r="P195" s="438">
        <v>2.8460000000000001</v>
      </c>
    </row>
    <row r="196" spans="4:16">
      <c r="D196" s="602" t="s">
        <v>551</v>
      </c>
      <c r="E196" s="435" t="s">
        <v>897</v>
      </c>
      <c r="F196" s="436">
        <v>40967</v>
      </c>
      <c r="G196" s="437">
        <f t="shared" si="6"/>
        <v>2012</v>
      </c>
      <c r="H196" s="437">
        <f t="shared" si="7"/>
        <v>2</v>
      </c>
      <c r="I196" s="438">
        <v>19</v>
      </c>
      <c r="J196" s="438">
        <v>5.9139999999999997</v>
      </c>
      <c r="K196" s="438">
        <v>2.7850000000000001</v>
      </c>
      <c r="L196" s="604">
        <v>8.6989999999999998</v>
      </c>
      <c r="M196" s="438">
        <v>6178</v>
      </c>
      <c r="N196" s="439">
        <v>1.4E-3</v>
      </c>
      <c r="O196" s="438">
        <v>5.9880000000000004</v>
      </c>
      <c r="P196" s="438">
        <v>2.7850000000000001</v>
      </c>
    </row>
    <row r="197" spans="4:16">
      <c r="D197" s="602" t="s">
        <v>551</v>
      </c>
      <c r="E197" s="435" t="s">
        <v>897</v>
      </c>
      <c r="F197" s="436">
        <v>40987</v>
      </c>
      <c r="G197" s="437">
        <f t="shared" si="6"/>
        <v>2012</v>
      </c>
      <c r="H197" s="437">
        <f t="shared" si="7"/>
        <v>3</v>
      </c>
      <c r="I197" s="438">
        <v>14</v>
      </c>
      <c r="J197" s="438">
        <v>5.0599999999999996</v>
      </c>
      <c r="K197" s="438">
        <v>3.028</v>
      </c>
      <c r="L197" s="604">
        <v>8.0879999999999992</v>
      </c>
      <c r="M197" s="438">
        <v>6170</v>
      </c>
      <c r="N197" s="439">
        <v>1.2999999999999999E-3</v>
      </c>
      <c r="O197" s="438">
        <v>5.1100000000000003</v>
      </c>
      <c r="P197" s="438">
        <v>3.028</v>
      </c>
    </row>
    <row r="198" spans="4:16">
      <c r="D198" s="602" t="s">
        <v>551</v>
      </c>
      <c r="E198" s="435" t="s">
        <v>897</v>
      </c>
      <c r="F198" s="436">
        <v>41024</v>
      </c>
      <c r="G198" s="437">
        <f t="shared" si="6"/>
        <v>2012</v>
      </c>
      <c r="H198" s="437">
        <f t="shared" si="7"/>
        <v>4</v>
      </c>
      <c r="I198" s="438">
        <v>15</v>
      </c>
      <c r="J198" s="438">
        <v>4.9480000000000004</v>
      </c>
      <c r="K198" s="438">
        <v>2.7429999999999999</v>
      </c>
      <c r="L198" s="604">
        <v>7.6909999999999998</v>
      </c>
      <c r="M198" s="438">
        <v>5813</v>
      </c>
      <c r="N198" s="439">
        <v>1.2999999999999999E-3</v>
      </c>
      <c r="O198" s="438">
        <v>5.0069999999999997</v>
      </c>
      <c r="P198" s="438">
        <v>2.7429999999999999</v>
      </c>
    </row>
    <row r="199" spans="4:16">
      <c r="D199" s="602" t="s">
        <v>551</v>
      </c>
      <c r="E199" s="435" t="s">
        <v>897</v>
      </c>
      <c r="F199" s="436">
        <v>41047</v>
      </c>
      <c r="G199" s="437">
        <f t="shared" si="6"/>
        <v>2012</v>
      </c>
      <c r="H199" s="437">
        <f t="shared" si="7"/>
        <v>5</v>
      </c>
      <c r="I199" s="438">
        <v>17</v>
      </c>
      <c r="J199" s="438">
        <v>6.6539999999999999</v>
      </c>
      <c r="K199" s="438">
        <v>2.964</v>
      </c>
      <c r="L199" s="604">
        <v>9.6180000000000003</v>
      </c>
      <c r="M199" s="438">
        <v>7203</v>
      </c>
      <c r="N199" s="439">
        <v>1.2999999999999999E-3</v>
      </c>
      <c r="O199" s="438">
        <v>6.7210000000000001</v>
      </c>
      <c r="P199" s="438">
        <v>2.964</v>
      </c>
    </row>
    <row r="200" spans="4:16">
      <c r="D200" s="602" t="s">
        <v>551</v>
      </c>
      <c r="E200" s="435" t="s">
        <v>897</v>
      </c>
      <c r="F200" s="436">
        <v>41087</v>
      </c>
      <c r="G200" s="437">
        <f t="shared" si="6"/>
        <v>2012</v>
      </c>
      <c r="H200" s="437">
        <f t="shared" si="7"/>
        <v>6</v>
      </c>
      <c r="I200" s="438">
        <v>17</v>
      </c>
      <c r="J200" s="438">
        <v>10.6</v>
      </c>
      <c r="K200" s="438">
        <v>3.1</v>
      </c>
      <c r="L200" s="604">
        <v>13.7</v>
      </c>
      <c r="M200" s="438">
        <v>8833</v>
      </c>
      <c r="N200" s="439">
        <v>1.6000000000000001E-3</v>
      </c>
      <c r="O200" s="438">
        <v>10.72</v>
      </c>
      <c r="P200" s="438">
        <v>3.1</v>
      </c>
    </row>
    <row r="201" spans="4:16">
      <c r="D201" s="602" t="s">
        <v>551</v>
      </c>
      <c r="E201" s="435" t="s">
        <v>897</v>
      </c>
      <c r="F201" s="436">
        <v>41092</v>
      </c>
      <c r="G201" s="437">
        <f t="shared" si="6"/>
        <v>2012</v>
      </c>
      <c r="H201" s="437">
        <f t="shared" si="7"/>
        <v>7</v>
      </c>
      <c r="I201" s="438">
        <v>17</v>
      </c>
      <c r="J201" s="438">
        <v>16.855</v>
      </c>
      <c r="K201" s="438">
        <v>3.0859999999999999</v>
      </c>
      <c r="L201" s="604">
        <v>19.940999999999999</v>
      </c>
      <c r="M201" s="438">
        <v>9682</v>
      </c>
      <c r="N201" s="439">
        <v>2.0999999999999999E-3</v>
      </c>
      <c r="O201" s="438">
        <v>17.027000000000001</v>
      </c>
      <c r="P201" s="438">
        <v>3.0859999999999999</v>
      </c>
    </row>
    <row r="202" spans="4:16">
      <c r="D202" s="602" t="s">
        <v>551</v>
      </c>
      <c r="E202" s="435" t="s">
        <v>897</v>
      </c>
      <c r="F202" s="436">
        <v>41122</v>
      </c>
      <c r="G202" s="437">
        <f t="shared" si="6"/>
        <v>2012</v>
      </c>
      <c r="H202" s="437">
        <f t="shared" si="7"/>
        <v>8</v>
      </c>
      <c r="I202" s="438">
        <v>17</v>
      </c>
      <c r="J202" s="438">
        <v>18.501999999999999</v>
      </c>
      <c r="K202" s="438">
        <v>3.0640000000000001</v>
      </c>
      <c r="L202" s="604">
        <v>21.565999999999999</v>
      </c>
      <c r="M202" s="438">
        <v>8979</v>
      </c>
      <c r="N202" s="439">
        <v>2.3999999999999998E-3</v>
      </c>
      <c r="O202" s="438">
        <v>18.704000000000001</v>
      </c>
      <c r="P202" s="438">
        <v>3.0640000000000001</v>
      </c>
    </row>
    <row r="203" spans="4:16">
      <c r="D203" s="602" t="s">
        <v>551</v>
      </c>
      <c r="E203" s="435" t="s">
        <v>897</v>
      </c>
      <c r="F203" s="436">
        <v>41156</v>
      </c>
      <c r="G203" s="437">
        <f t="shared" si="6"/>
        <v>2012</v>
      </c>
      <c r="H203" s="437">
        <f t="shared" si="7"/>
        <v>9</v>
      </c>
      <c r="I203" s="438">
        <v>16</v>
      </c>
      <c r="J203" s="438">
        <v>14.412000000000001</v>
      </c>
      <c r="K203" s="438">
        <v>3.0219999999999998</v>
      </c>
      <c r="L203" s="604">
        <v>17.434000000000001</v>
      </c>
      <c r="M203" s="438">
        <v>8521</v>
      </c>
      <c r="N203" s="439">
        <v>2E-3</v>
      </c>
      <c r="O203" s="438">
        <v>14.622</v>
      </c>
      <c r="P203" s="438">
        <v>3.0219999999999998</v>
      </c>
    </row>
    <row r="204" spans="4:16">
      <c r="D204" s="602" t="s">
        <v>551</v>
      </c>
      <c r="E204" s="435" t="s">
        <v>897</v>
      </c>
      <c r="F204" s="436">
        <v>41185</v>
      </c>
      <c r="G204" s="437">
        <f t="shared" si="6"/>
        <v>2012</v>
      </c>
      <c r="H204" s="437">
        <f t="shared" si="7"/>
        <v>10</v>
      </c>
      <c r="I204" s="438">
        <v>14</v>
      </c>
      <c r="J204" s="438">
        <v>6.7279999999999998</v>
      </c>
      <c r="K204" s="438">
        <v>3.089</v>
      </c>
      <c r="L204" s="604">
        <v>9.8170000000000002</v>
      </c>
      <c r="M204" s="438">
        <v>6122</v>
      </c>
      <c r="N204" s="439">
        <v>1.6000000000000001E-3</v>
      </c>
      <c r="O204" s="438">
        <v>6.8259999999999996</v>
      </c>
      <c r="P204" s="438">
        <v>3.089</v>
      </c>
    </row>
    <row r="205" spans="4:16">
      <c r="D205" s="602" t="s">
        <v>551</v>
      </c>
      <c r="E205" s="435" t="s">
        <v>897</v>
      </c>
      <c r="F205" s="436">
        <v>41239</v>
      </c>
      <c r="G205" s="437">
        <f t="shared" si="6"/>
        <v>2012</v>
      </c>
      <c r="H205" s="437">
        <f t="shared" si="7"/>
        <v>11</v>
      </c>
      <c r="I205" s="438">
        <v>18</v>
      </c>
      <c r="J205" s="438">
        <v>6.0590000000000002</v>
      </c>
      <c r="K205" s="438">
        <v>3.032</v>
      </c>
      <c r="L205" s="604">
        <v>9.0909999999999993</v>
      </c>
      <c r="M205" s="438">
        <v>6416</v>
      </c>
      <c r="N205" s="439">
        <v>1.4E-3</v>
      </c>
      <c r="O205" s="438">
        <v>6.117</v>
      </c>
      <c r="P205" s="438">
        <v>3.032</v>
      </c>
    </row>
    <row r="206" spans="4:16">
      <c r="D206" s="602" t="s">
        <v>551</v>
      </c>
      <c r="E206" s="435" t="s">
        <v>897</v>
      </c>
      <c r="F206" s="436">
        <v>41253</v>
      </c>
      <c r="G206" s="437">
        <f t="shared" si="6"/>
        <v>2012</v>
      </c>
      <c r="H206" s="437">
        <f t="shared" si="7"/>
        <v>12</v>
      </c>
      <c r="I206" s="438">
        <v>18</v>
      </c>
      <c r="J206" s="438">
        <v>6.6429999999999998</v>
      </c>
      <c r="K206" s="438">
        <v>3.105</v>
      </c>
      <c r="L206" s="604">
        <v>9.7479999999999993</v>
      </c>
      <c r="M206" s="438">
        <v>6609</v>
      </c>
      <c r="N206" s="439">
        <v>1.5E-3</v>
      </c>
      <c r="O206" s="438">
        <v>6.7389999999999999</v>
      </c>
      <c r="P206" s="438">
        <v>3.105</v>
      </c>
    </row>
    <row r="207" spans="4:16">
      <c r="D207" s="602" t="s">
        <v>551</v>
      </c>
      <c r="E207" s="435" t="s">
        <v>897</v>
      </c>
      <c r="F207" s="436">
        <v>41295</v>
      </c>
      <c r="G207" s="437">
        <f t="shared" si="6"/>
        <v>2013</v>
      </c>
      <c r="H207" s="437">
        <f t="shared" si="7"/>
        <v>1</v>
      </c>
      <c r="I207" s="438">
        <v>19</v>
      </c>
      <c r="J207" s="438">
        <v>6.7839999999999998</v>
      </c>
      <c r="K207" s="438">
        <v>3.0529999999999999</v>
      </c>
      <c r="L207" s="604">
        <v>9.8369999999999997</v>
      </c>
      <c r="M207" s="438">
        <v>6846</v>
      </c>
      <c r="N207" s="439">
        <v>1.4E-3</v>
      </c>
      <c r="O207" s="438">
        <v>6.875</v>
      </c>
      <c r="P207" s="438">
        <v>3.0529999999999999</v>
      </c>
    </row>
    <row r="208" spans="4:16">
      <c r="D208" s="602" t="s">
        <v>551</v>
      </c>
      <c r="E208" s="435" t="s">
        <v>897</v>
      </c>
      <c r="F208" s="436">
        <v>41324</v>
      </c>
      <c r="G208" s="437">
        <f t="shared" si="6"/>
        <v>2013</v>
      </c>
      <c r="H208" s="437">
        <f t="shared" si="7"/>
        <v>2</v>
      </c>
      <c r="I208" s="438">
        <v>19</v>
      </c>
      <c r="J208" s="438">
        <v>6.7569999999999997</v>
      </c>
      <c r="K208" s="438">
        <v>2.6389999999999998</v>
      </c>
      <c r="L208" s="604">
        <v>9.3960000000000008</v>
      </c>
      <c r="M208" s="438">
        <v>6511</v>
      </c>
      <c r="N208" s="439">
        <v>1.4E-3</v>
      </c>
      <c r="O208" s="438">
        <v>6.8460000000000001</v>
      </c>
      <c r="P208" s="438">
        <v>2.6389999999999998</v>
      </c>
    </row>
    <row r="209" spans="4:16">
      <c r="D209" s="602" t="s">
        <v>551</v>
      </c>
      <c r="E209" s="435" t="s">
        <v>897</v>
      </c>
      <c r="F209" s="436">
        <v>41337</v>
      </c>
      <c r="G209" s="437">
        <f t="shared" si="6"/>
        <v>2013</v>
      </c>
      <c r="H209" s="437">
        <f t="shared" si="7"/>
        <v>3</v>
      </c>
      <c r="I209" s="438">
        <v>19</v>
      </c>
      <c r="J209" s="438">
        <v>5.8410000000000002</v>
      </c>
      <c r="K209" s="438">
        <v>3.1019999999999999</v>
      </c>
      <c r="L209" s="604">
        <v>8.9429999999999996</v>
      </c>
      <c r="M209" s="438">
        <v>6172</v>
      </c>
      <c r="N209" s="439">
        <v>1.4E-3</v>
      </c>
      <c r="O209" s="438">
        <v>5.9</v>
      </c>
      <c r="P209" s="438">
        <v>3.1019999999999999</v>
      </c>
    </row>
    <row r="210" spans="4:16">
      <c r="D210" s="602" t="s">
        <v>551</v>
      </c>
      <c r="E210" s="435" t="s">
        <v>897</v>
      </c>
      <c r="F210" s="436">
        <v>41382</v>
      </c>
      <c r="G210" s="437">
        <f t="shared" si="6"/>
        <v>2013</v>
      </c>
      <c r="H210" s="437">
        <f t="shared" si="7"/>
        <v>4</v>
      </c>
      <c r="I210" s="438">
        <v>12</v>
      </c>
      <c r="J210" s="438">
        <v>5.51</v>
      </c>
      <c r="K210" s="438">
        <v>3.1440000000000001</v>
      </c>
      <c r="L210" s="604">
        <v>8.6539999999999999</v>
      </c>
      <c r="M210" s="438">
        <v>5851</v>
      </c>
      <c r="N210" s="439">
        <v>1.5E-3</v>
      </c>
      <c r="O210" s="438">
        <v>5.5679999999999996</v>
      </c>
      <c r="P210" s="438">
        <v>3.1440000000000001</v>
      </c>
    </row>
    <row r="211" spans="4:16">
      <c r="D211" s="602" t="s">
        <v>551</v>
      </c>
      <c r="E211" s="435" t="s">
        <v>897</v>
      </c>
      <c r="F211" s="436">
        <v>41408</v>
      </c>
      <c r="G211" s="437">
        <f t="shared" si="6"/>
        <v>2013</v>
      </c>
      <c r="H211" s="437">
        <f t="shared" si="7"/>
        <v>5</v>
      </c>
      <c r="I211" s="438">
        <v>17</v>
      </c>
      <c r="J211" s="438">
        <v>5.8529999999999998</v>
      </c>
      <c r="K211" s="438">
        <v>2.988</v>
      </c>
      <c r="L211" s="604">
        <v>8.8409999999999993</v>
      </c>
      <c r="M211" s="438">
        <v>6516</v>
      </c>
      <c r="N211" s="439">
        <v>1.4E-3</v>
      </c>
      <c r="O211" s="438">
        <v>5.9260000000000002</v>
      </c>
      <c r="P211" s="438">
        <v>2.988</v>
      </c>
    </row>
    <row r="212" spans="4:16">
      <c r="D212" s="602" t="s">
        <v>551</v>
      </c>
      <c r="E212" s="435" t="s">
        <v>897</v>
      </c>
      <c r="F212" s="436">
        <v>41451</v>
      </c>
      <c r="G212" s="437">
        <f t="shared" si="6"/>
        <v>2013</v>
      </c>
      <c r="H212" s="437">
        <f t="shared" si="7"/>
        <v>6</v>
      </c>
      <c r="I212" s="438">
        <v>16</v>
      </c>
      <c r="J212" s="438">
        <v>10.445</v>
      </c>
      <c r="K212" s="438">
        <v>3.0680000000000001</v>
      </c>
      <c r="L212" s="604">
        <v>13.513</v>
      </c>
      <c r="M212" s="438">
        <v>8280</v>
      </c>
      <c r="N212" s="439">
        <v>1.6000000000000001E-3</v>
      </c>
      <c r="O212" s="438">
        <v>10.521000000000001</v>
      </c>
      <c r="P212" s="438">
        <v>3.0680000000000001</v>
      </c>
    </row>
    <row r="213" spans="4:16">
      <c r="D213" s="602" t="s">
        <v>551</v>
      </c>
      <c r="E213" s="435" t="s">
        <v>897</v>
      </c>
      <c r="F213" s="436">
        <v>41473</v>
      </c>
      <c r="G213" s="437">
        <f t="shared" si="6"/>
        <v>2013</v>
      </c>
      <c r="H213" s="437">
        <f t="shared" si="7"/>
        <v>7</v>
      </c>
      <c r="I213" s="438">
        <v>17</v>
      </c>
      <c r="J213" s="438">
        <v>13.795999999999999</v>
      </c>
      <c r="K213" s="438">
        <v>2.7719999999999998</v>
      </c>
      <c r="L213" s="604">
        <v>16.568000000000001</v>
      </c>
      <c r="M213" s="438">
        <v>9566</v>
      </c>
      <c r="N213" s="439">
        <v>1.6999999999999999E-3</v>
      </c>
      <c r="O213" s="438">
        <v>13.911</v>
      </c>
      <c r="P213" s="438">
        <v>2.7719999999999998</v>
      </c>
    </row>
    <row r="214" spans="4:16">
      <c r="D214" s="602" t="s">
        <v>551</v>
      </c>
      <c r="E214" s="435" t="s">
        <v>897</v>
      </c>
      <c r="F214" s="436">
        <v>41512</v>
      </c>
      <c r="G214" s="437">
        <f t="shared" si="6"/>
        <v>2013</v>
      </c>
      <c r="H214" s="437">
        <f t="shared" si="7"/>
        <v>8</v>
      </c>
      <c r="I214" s="438">
        <v>17</v>
      </c>
      <c r="J214" s="438">
        <v>19.170999999999999</v>
      </c>
      <c r="K214" s="438">
        <v>2.3959999999999999</v>
      </c>
      <c r="L214" s="604">
        <v>21.567</v>
      </c>
      <c r="M214" s="438">
        <v>9821</v>
      </c>
      <c r="N214" s="439">
        <v>2.2000000000000001E-3</v>
      </c>
      <c r="O214" s="438">
        <v>19.344999999999999</v>
      </c>
      <c r="P214" s="438">
        <v>2.3959999999999999</v>
      </c>
    </row>
    <row r="215" spans="4:16">
      <c r="D215" s="602" t="s">
        <v>551</v>
      </c>
      <c r="E215" s="435" t="s">
        <v>897</v>
      </c>
      <c r="F215" s="436">
        <v>41526</v>
      </c>
      <c r="G215" s="437">
        <f t="shared" si="6"/>
        <v>2013</v>
      </c>
      <c r="H215" s="437">
        <f t="shared" si="7"/>
        <v>9</v>
      </c>
      <c r="I215" s="438">
        <v>17</v>
      </c>
      <c r="J215" s="438">
        <v>17.827999999999999</v>
      </c>
      <c r="K215" s="438">
        <v>1.7829999999999999</v>
      </c>
      <c r="L215" s="604">
        <v>19.611000000000001</v>
      </c>
      <c r="M215" s="438">
        <v>8781</v>
      </c>
      <c r="N215" s="439">
        <v>2.2000000000000001E-3</v>
      </c>
      <c r="O215" s="438">
        <v>18.007999999999999</v>
      </c>
      <c r="P215" s="438">
        <v>1.7829999999999999</v>
      </c>
    </row>
    <row r="216" spans="4:16">
      <c r="D216" s="602" t="s">
        <v>551</v>
      </c>
      <c r="E216" s="435" t="s">
        <v>897</v>
      </c>
      <c r="F216" s="436">
        <v>41548</v>
      </c>
      <c r="G216" s="437">
        <f t="shared" si="6"/>
        <v>2013</v>
      </c>
      <c r="H216" s="437">
        <f t="shared" si="7"/>
        <v>10</v>
      </c>
      <c r="I216" s="438">
        <v>14</v>
      </c>
      <c r="J216" s="438">
        <v>11.746</v>
      </c>
      <c r="K216" s="438">
        <v>2.2869999999999999</v>
      </c>
      <c r="L216" s="604">
        <v>14.032999999999999</v>
      </c>
      <c r="M216" s="438">
        <v>6214</v>
      </c>
      <c r="N216" s="439">
        <v>2.3E-3</v>
      </c>
      <c r="O216" s="438">
        <v>11.94</v>
      </c>
      <c r="P216" s="438">
        <v>2.2869999999999999</v>
      </c>
    </row>
    <row r="217" spans="4:16">
      <c r="D217" s="602" t="s">
        <v>551</v>
      </c>
      <c r="E217" s="435" t="s">
        <v>897</v>
      </c>
      <c r="F217" s="436">
        <v>41604</v>
      </c>
      <c r="G217" s="437">
        <f t="shared" si="6"/>
        <v>2013</v>
      </c>
      <c r="H217" s="437">
        <f t="shared" si="7"/>
        <v>11</v>
      </c>
      <c r="I217" s="438">
        <v>18</v>
      </c>
      <c r="J217" s="438">
        <v>5.7809999999999997</v>
      </c>
      <c r="K217" s="438">
        <v>3.105</v>
      </c>
      <c r="L217" s="604">
        <v>8.8859999999999992</v>
      </c>
      <c r="M217" s="438">
        <v>6372</v>
      </c>
      <c r="N217" s="439">
        <v>1.4E-3</v>
      </c>
      <c r="O217" s="438">
        <v>5.8440000000000003</v>
      </c>
      <c r="P217" s="438">
        <v>3.105</v>
      </c>
    </row>
    <row r="218" spans="4:16">
      <c r="D218" s="602" t="s">
        <v>551</v>
      </c>
      <c r="E218" s="435" t="s">
        <v>897</v>
      </c>
      <c r="F218" s="436">
        <v>41619</v>
      </c>
      <c r="G218" s="437">
        <f t="shared" si="6"/>
        <v>2013</v>
      </c>
      <c r="H218" s="437">
        <f t="shared" si="7"/>
        <v>12</v>
      </c>
      <c r="I218" s="438">
        <v>18</v>
      </c>
      <c r="J218" s="438">
        <v>7.4790000000000001</v>
      </c>
      <c r="K218" s="438">
        <v>2.7349999999999999</v>
      </c>
      <c r="L218" s="604">
        <v>10.214</v>
      </c>
      <c r="M218" s="438">
        <v>6972</v>
      </c>
      <c r="N218" s="439">
        <v>1.5E-3</v>
      </c>
      <c r="O218" s="438">
        <v>7.569</v>
      </c>
      <c r="P218" s="438">
        <v>2.7349999999999999</v>
      </c>
    </row>
    <row r="219" spans="4:16">
      <c r="D219" s="602" t="s">
        <v>551</v>
      </c>
      <c r="E219" s="605" t="s">
        <v>897</v>
      </c>
      <c r="F219" s="606">
        <v>41645</v>
      </c>
      <c r="G219" s="437">
        <f t="shared" si="6"/>
        <v>2014</v>
      </c>
      <c r="H219" s="437">
        <f t="shared" si="7"/>
        <v>1</v>
      </c>
      <c r="I219" s="607">
        <v>18</v>
      </c>
      <c r="J219" s="607">
        <v>7.867</v>
      </c>
      <c r="K219" s="607">
        <v>2.8210000000000002</v>
      </c>
      <c r="L219" s="608">
        <v>10.688000000000001</v>
      </c>
      <c r="M219" s="609">
        <v>7188</v>
      </c>
      <c r="N219" s="607">
        <v>0.14899999999999999</v>
      </c>
      <c r="O219" s="607">
        <v>7.968</v>
      </c>
      <c r="P219" s="607">
        <v>2.8210000000000002</v>
      </c>
    </row>
    <row r="220" spans="4:16">
      <c r="D220" s="602" t="s">
        <v>551</v>
      </c>
      <c r="E220" s="605" t="s">
        <v>897</v>
      </c>
      <c r="F220" s="606">
        <v>41676</v>
      </c>
      <c r="G220" s="437">
        <f t="shared" si="6"/>
        <v>2014</v>
      </c>
      <c r="H220" s="437">
        <f t="shared" si="7"/>
        <v>2</v>
      </c>
      <c r="I220" s="607">
        <v>19</v>
      </c>
      <c r="J220" s="607">
        <v>6.9930000000000003</v>
      </c>
      <c r="K220" s="607">
        <v>2.6379999999999999</v>
      </c>
      <c r="L220" s="608">
        <v>9.6310000000000002</v>
      </c>
      <c r="M220" s="609">
        <v>6743</v>
      </c>
      <c r="N220" s="607">
        <v>0.14299999999999999</v>
      </c>
      <c r="O220" s="607">
        <v>7.0830000000000002</v>
      </c>
      <c r="P220" s="607">
        <v>2.6379999999999999</v>
      </c>
    </row>
    <row r="221" spans="4:16">
      <c r="D221" s="602" t="s">
        <v>551</v>
      </c>
      <c r="E221" s="605" t="s">
        <v>897</v>
      </c>
      <c r="F221" s="606">
        <v>41701</v>
      </c>
      <c r="G221" s="437">
        <f t="shared" si="6"/>
        <v>2014</v>
      </c>
      <c r="H221" s="437">
        <f t="shared" si="7"/>
        <v>3</v>
      </c>
      <c r="I221" s="607">
        <v>19</v>
      </c>
      <c r="J221" s="607">
        <v>6.7590000000000003</v>
      </c>
      <c r="K221" s="607">
        <v>2.3359999999999999</v>
      </c>
      <c r="L221" s="608">
        <v>9.0950000000000006</v>
      </c>
      <c r="M221" s="609">
        <v>6537</v>
      </c>
      <c r="N221" s="607">
        <v>0.13900000000000001</v>
      </c>
      <c r="O221" s="607">
        <v>6.8220000000000001</v>
      </c>
      <c r="P221" s="607">
        <v>2.3359999999999999</v>
      </c>
    </row>
    <row r="222" spans="4:16">
      <c r="D222" s="602" t="s">
        <v>551</v>
      </c>
      <c r="E222" s="605" t="s">
        <v>897</v>
      </c>
      <c r="F222" s="606">
        <v>41730</v>
      </c>
      <c r="G222" s="437">
        <f t="shared" si="6"/>
        <v>2014</v>
      </c>
      <c r="H222" s="437">
        <f t="shared" si="7"/>
        <v>4</v>
      </c>
      <c r="I222" s="607">
        <v>11</v>
      </c>
      <c r="J222" s="607">
        <v>3.2829999999999999</v>
      </c>
      <c r="K222" s="607">
        <v>5.4589999999999996</v>
      </c>
      <c r="L222" s="608">
        <v>8.7420000000000009</v>
      </c>
      <c r="M222" s="609">
        <v>5924</v>
      </c>
      <c r="N222" s="607">
        <v>0.14799999999999999</v>
      </c>
      <c r="O222" s="607">
        <v>3.387</v>
      </c>
      <c r="P222" s="607">
        <v>5.4589999999999996</v>
      </c>
    </row>
    <row r="223" spans="4:16">
      <c r="D223" s="602" t="s">
        <v>551</v>
      </c>
      <c r="E223" s="605" t="s">
        <v>897</v>
      </c>
      <c r="F223" s="606">
        <v>41789</v>
      </c>
      <c r="G223" s="437">
        <f t="shared" si="6"/>
        <v>2014</v>
      </c>
      <c r="H223" s="437">
        <f t="shared" si="7"/>
        <v>5</v>
      </c>
      <c r="I223" s="607">
        <v>16</v>
      </c>
      <c r="J223" s="607">
        <v>7.2290000000000001</v>
      </c>
      <c r="K223" s="607">
        <v>3.1459999999999999</v>
      </c>
      <c r="L223" s="608">
        <v>10.375</v>
      </c>
      <c r="M223" s="609">
        <v>7422</v>
      </c>
      <c r="N223" s="607">
        <v>0.14000000000000001</v>
      </c>
      <c r="O223" s="607">
        <v>7.2930000000000001</v>
      </c>
      <c r="P223" s="607">
        <v>3.1459999999999999</v>
      </c>
    </row>
    <row r="224" spans="4:16">
      <c r="D224" s="602" t="s">
        <v>551</v>
      </c>
      <c r="E224" s="605" t="s">
        <v>897</v>
      </c>
      <c r="F224" s="606">
        <v>41814</v>
      </c>
      <c r="G224" s="437">
        <f t="shared" si="6"/>
        <v>2014</v>
      </c>
      <c r="H224" s="437">
        <f t="shared" si="7"/>
        <v>6</v>
      </c>
      <c r="I224" s="607">
        <v>16</v>
      </c>
      <c r="J224" s="607">
        <v>9.048</v>
      </c>
      <c r="K224" s="607">
        <v>3.1070000000000002</v>
      </c>
      <c r="L224" s="608">
        <v>12.154999999999999</v>
      </c>
      <c r="M224" s="609">
        <v>7670</v>
      </c>
      <c r="N224" s="607">
        <v>0.158</v>
      </c>
      <c r="O224" s="607">
        <v>9.0969999999999995</v>
      </c>
      <c r="P224" s="607">
        <v>3.1070000000000002</v>
      </c>
    </row>
    <row r="225" spans="4:16">
      <c r="D225" s="602" t="s">
        <v>551</v>
      </c>
      <c r="E225" s="605" t="s">
        <v>897</v>
      </c>
      <c r="F225" s="606">
        <v>41841</v>
      </c>
      <c r="G225" s="437">
        <f t="shared" si="6"/>
        <v>2014</v>
      </c>
      <c r="H225" s="437">
        <f t="shared" si="7"/>
        <v>7</v>
      </c>
      <c r="I225" s="607">
        <v>17</v>
      </c>
      <c r="J225" s="607">
        <v>14.111000000000001</v>
      </c>
      <c r="K225" s="607">
        <v>3.0870000000000002</v>
      </c>
      <c r="L225" s="608">
        <v>17.198</v>
      </c>
      <c r="M225" s="609">
        <v>9150</v>
      </c>
      <c r="N225" s="607">
        <v>0.188</v>
      </c>
      <c r="O225" s="607">
        <v>14.202999999999999</v>
      </c>
      <c r="P225" s="607">
        <v>3.0870000000000002</v>
      </c>
    </row>
    <row r="226" spans="4:16">
      <c r="D226" s="602" t="s">
        <v>551</v>
      </c>
      <c r="E226" s="605" t="s">
        <v>897</v>
      </c>
      <c r="F226" s="606">
        <v>41869</v>
      </c>
      <c r="G226" s="437">
        <f t="shared" si="6"/>
        <v>2014</v>
      </c>
      <c r="H226" s="437">
        <f t="shared" si="7"/>
        <v>8</v>
      </c>
      <c r="I226" s="607">
        <v>16</v>
      </c>
      <c r="J226" s="607">
        <v>17.620999999999999</v>
      </c>
      <c r="K226" s="607">
        <v>2.3929999999999998</v>
      </c>
      <c r="L226" s="608">
        <v>20.013999999999999</v>
      </c>
      <c r="M226" s="609">
        <v>8190</v>
      </c>
      <c r="N226" s="607">
        <v>0.24399999999999999</v>
      </c>
      <c r="O226" s="607">
        <v>17.780999999999999</v>
      </c>
      <c r="P226" s="607">
        <v>2.3929999999999998</v>
      </c>
    </row>
    <row r="227" spans="4:16">
      <c r="D227" s="602" t="s">
        <v>551</v>
      </c>
      <c r="E227" s="605" t="s">
        <v>897</v>
      </c>
      <c r="F227" s="606">
        <v>41886</v>
      </c>
      <c r="G227" s="437">
        <f t="shared" si="6"/>
        <v>2014</v>
      </c>
      <c r="H227" s="437">
        <f t="shared" si="7"/>
        <v>9</v>
      </c>
      <c r="I227" s="607">
        <v>15</v>
      </c>
      <c r="J227" s="607">
        <v>13.897</v>
      </c>
      <c r="K227" s="607">
        <v>2.76</v>
      </c>
      <c r="L227" s="608">
        <v>16.657</v>
      </c>
      <c r="M227" s="609">
        <v>7758</v>
      </c>
      <c r="N227" s="607">
        <v>0.215</v>
      </c>
      <c r="O227" s="607">
        <v>14.141999999999999</v>
      </c>
      <c r="P227" s="607">
        <v>2.76</v>
      </c>
    </row>
    <row r="228" spans="4:16">
      <c r="D228" s="602" t="s">
        <v>551</v>
      </c>
      <c r="E228" s="605" t="s">
        <v>897</v>
      </c>
      <c r="F228" s="606">
        <v>41942</v>
      </c>
      <c r="G228" s="437">
        <f t="shared" si="6"/>
        <v>2014</v>
      </c>
      <c r="H228" s="437">
        <f t="shared" si="7"/>
        <v>10</v>
      </c>
      <c r="I228" s="607">
        <v>20</v>
      </c>
      <c r="J228" s="607">
        <v>5.3360000000000003</v>
      </c>
      <c r="K228" s="607">
        <v>3.0979999999999999</v>
      </c>
      <c r="L228" s="608">
        <v>8.4339999999999993</v>
      </c>
      <c r="M228" s="609">
        <v>5901</v>
      </c>
      <c r="N228" s="607">
        <v>0.14299999999999999</v>
      </c>
      <c r="O228" s="607">
        <v>5.407</v>
      </c>
      <c r="P228" s="607">
        <v>3.0979999999999999</v>
      </c>
    </row>
    <row r="229" spans="4:16">
      <c r="D229" s="602" t="s">
        <v>551</v>
      </c>
      <c r="E229" s="605" t="s">
        <v>897</v>
      </c>
      <c r="F229" s="606">
        <v>41960</v>
      </c>
      <c r="G229" s="437">
        <f t="shared" si="6"/>
        <v>2014</v>
      </c>
      <c r="H229" s="437">
        <f t="shared" si="7"/>
        <v>11</v>
      </c>
      <c r="I229" s="607">
        <v>18</v>
      </c>
      <c r="J229" s="607">
        <v>6.4240000000000004</v>
      </c>
      <c r="K229" s="607">
        <v>3.101</v>
      </c>
      <c r="L229" s="608">
        <v>9.5250000000000004</v>
      </c>
      <c r="M229" s="609">
        <v>6677</v>
      </c>
      <c r="N229" s="607">
        <v>0.14299999999999999</v>
      </c>
      <c r="O229" s="607">
        <v>6.4870000000000001</v>
      </c>
      <c r="P229" s="607">
        <v>3.101</v>
      </c>
    </row>
    <row r="230" spans="4:16">
      <c r="D230" s="602" t="s">
        <v>551</v>
      </c>
      <c r="E230" s="605" t="s">
        <v>897</v>
      </c>
      <c r="F230" s="606">
        <v>41974</v>
      </c>
      <c r="G230" s="437">
        <f t="shared" si="6"/>
        <v>2014</v>
      </c>
      <c r="H230" s="437">
        <f t="shared" si="7"/>
        <v>12</v>
      </c>
      <c r="I230" s="607">
        <v>18</v>
      </c>
      <c r="J230" s="607">
        <v>6.7640000000000002</v>
      </c>
      <c r="K230" s="607">
        <v>3.0939999999999999</v>
      </c>
      <c r="L230" s="608">
        <v>9.8580000000000005</v>
      </c>
      <c r="M230" s="609">
        <v>6850</v>
      </c>
      <c r="N230" s="607">
        <v>0.14399999999999999</v>
      </c>
      <c r="O230" s="607">
        <v>6.84</v>
      </c>
      <c r="P230" s="607">
        <v>3.0939999999999999</v>
      </c>
    </row>
    <row r="231" spans="4:16">
      <c r="D231" s="602" t="s">
        <v>551</v>
      </c>
      <c r="E231" s="605" t="s">
        <v>897</v>
      </c>
      <c r="F231" s="606">
        <v>42011</v>
      </c>
      <c r="G231" s="437">
        <f t="shared" si="6"/>
        <v>2015</v>
      </c>
      <c r="H231" s="437">
        <f t="shared" si="7"/>
        <v>1</v>
      </c>
      <c r="I231" s="607">
        <v>18</v>
      </c>
      <c r="J231" s="607">
        <v>7.2480000000000002</v>
      </c>
      <c r="K231" s="607">
        <v>2.9020000000000001</v>
      </c>
      <c r="L231" s="608">
        <v>10.15</v>
      </c>
      <c r="M231" s="609">
        <v>6978</v>
      </c>
      <c r="N231" s="607">
        <v>0.14499999999999999</v>
      </c>
      <c r="O231" s="607">
        <v>7.35</v>
      </c>
      <c r="P231" s="607">
        <v>2.9020000000000001</v>
      </c>
    </row>
    <row r="232" spans="4:16">
      <c r="D232" s="602" t="s">
        <v>551</v>
      </c>
      <c r="E232" s="605" t="s">
        <v>897</v>
      </c>
      <c r="F232" s="606">
        <v>42053</v>
      </c>
      <c r="G232" s="437">
        <f t="shared" si="6"/>
        <v>2015</v>
      </c>
      <c r="H232" s="437">
        <f t="shared" si="7"/>
        <v>2</v>
      </c>
      <c r="I232" s="607">
        <v>19</v>
      </c>
      <c r="J232" s="607">
        <v>6.8470000000000004</v>
      </c>
      <c r="K232" s="607">
        <v>2.9809999999999999</v>
      </c>
      <c r="L232" s="608">
        <v>9.8279999999999994</v>
      </c>
      <c r="M232" s="609">
        <v>6744</v>
      </c>
      <c r="N232" s="607">
        <v>0.14599999999999999</v>
      </c>
      <c r="O232" s="607">
        <v>6.9379999999999997</v>
      </c>
      <c r="P232" s="607">
        <v>2.9809999999999999</v>
      </c>
    </row>
    <row r="233" spans="4:16">
      <c r="D233" s="602" t="s">
        <v>551</v>
      </c>
      <c r="E233" s="605" t="s">
        <v>897</v>
      </c>
      <c r="F233" s="606">
        <v>42067</v>
      </c>
      <c r="G233" s="437">
        <f t="shared" si="6"/>
        <v>2015</v>
      </c>
      <c r="H233" s="437">
        <f t="shared" si="7"/>
        <v>3</v>
      </c>
      <c r="I233" s="607">
        <v>20</v>
      </c>
      <c r="J233" s="607">
        <v>6.218</v>
      </c>
      <c r="K233" s="607">
        <v>3.0579999999999998</v>
      </c>
      <c r="L233" s="608">
        <v>9.2759999999999998</v>
      </c>
      <c r="M233" s="609">
        <v>6470</v>
      </c>
      <c r="N233" s="607">
        <v>0.14299999999999999</v>
      </c>
      <c r="O233" s="607">
        <v>6.3</v>
      </c>
      <c r="P233" s="607">
        <v>3.0579999999999998</v>
      </c>
    </row>
    <row r="234" spans="4:16">
      <c r="D234" s="602" t="s">
        <v>551</v>
      </c>
      <c r="E234" s="605" t="s">
        <v>897</v>
      </c>
      <c r="F234" s="606">
        <v>42103</v>
      </c>
      <c r="G234" s="437">
        <f t="shared" si="6"/>
        <v>2015</v>
      </c>
      <c r="H234" s="437">
        <f t="shared" si="7"/>
        <v>4</v>
      </c>
      <c r="I234" s="607">
        <v>12</v>
      </c>
      <c r="J234" s="607">
        <v>5.7670000000000003</v>
      </c>
      <c r="K234" s="607">
        <v>2.5990000000000002</v>
      </c>
      <c r="L234" s="608">
        <v>8.3659999999999997</v>
      </c>
      <c r="M234" s="609">
        <v>5914</v>
      </c>
      <c r="N234" s="607">
        <v>0.14099999999999999</v>
      </c>
      <c r="O234" s="607">
        <v>5.8520000000000003</v>
      </c>
      <c r="P234" s="607">
        <v>2.5990000000000002</v>
      </c>
    </row>
    <row r="235" spans="4:16">
      <c r="D235" s="602" t="s">
        <v>551</v>
      </c>
      <c r="E235" s="605" t="s">
        <v>897</v>
      </c>
      <c r="F235" s="606">
        <v>42152</v>
      </c>
      <c r="G235" s="437">
        <f t="shared" si="6"/>
        <v>2015</v>
      </c>
      <c r="H235" s="437">
        <f t="shared" si="7"/>
        <v>5</v>
      </c>
      <c r="I235" s="607">
        <v>16</v>
      </c>
      <c r="J235" s="607">
        <v>6.633</v>
      </c>
      <c r="K235" s="607">
        <v>3.0630000000000002</v>
      </c>
      <c r="L235" s="608">
        <v>9.6959999999999997</v>
      </c>
      <c r="M235" s="609">
        <v>6837</v>
      </c>
      <c r="N235" s="607">
        <v>0.14199999999999999</v>
      </c>
      <c r="O235" s="607">
        <v>6.7</v>
      </c>
      <c r="P235" s="607">
        <v>3.0630000000000002</v>
      </c>
    </row>
    <row r="236" spans="4:16">
      <c r="D236" s="602" t="s">
        <v>551</v>
      </c>
      <c r="E236" s="605" t="s">
        <v>897</v>
      </c>
      <c r="F236" s="606">
        <v>42164</v>
      </c>
      <c r="G236" s="437">
        <f t="shared" si="6"/>
        <v>2015</v>
      </c>
      <c r="H236" s="437">
        <f t="shared" si="7"/>
        <v>6</v>
      </c>
      <c r="I236" s="607">
        <v>17</v>
      </c>
      <c r="J236" s="607">
        <v>9.8040000000000003</v>
      </c>
      <c r="K236" s="607">
        <v>2.641</v>
      </c>
      <c r="L236" s="608">
        <v>12.445</v>
      </c>
      <c r="M236" s="609">
        <v>8136</v>
      </c>
      <c r="N236" s="607">
        <v>0.153</v>
      </c>
      <c r="O236" s="607">
        <v>9.8710000000000004</v>
      </c>
      <c r="P236" s="607">
        <v>2.641</v>
      </c>
    </row>
    <row r="237" spans="4:16">
      <c r="D237" s="602" t="s">
        <v>551</v>
      </c>
      <c r="E237" s="605" t="s">
        <v>897</v>
      </c>
      <c r="F237" s="606">
        <v>42212</v>
      </c>
      <c r="G237" s="437">
        <f t="shared" si="6"/>
        <v>2015</v>
      </c>
      <c r="H237" s="437">
        <f t="shared" si="7"/>
        <v>7</v>
      </c>
      <c r="I237" s="607">
        <v>17</v>
      </c>
      <c r="J237" s="607">
        <v>11.95</v>
      </c>
      <c r="K237" s="607">
        <v>3.0609999999999999</v>
      </c>
      <c r="L237" s="608">
        <v>15.010999999999999</v>
      </c>
      <c r="M237" s="609">
        <v>8769</v>
      </c>
      <c r="N237" s="607">
        <v>0.17100000000000001</v>
      </c>
      <c r="O237" s="607">
        <v>12.054</v>
      </c>
      <c r="P237" s="607">
        <v>3.0609999999999999</v>
      </c>
    </row>
    <row r="238" spans="4:16">
      <c r="D238" s="602" t="s">
        <v>551</v>
      </c>
      <c r="E238" s="605" t="s">
        <v>897</v>
      </c>
      <c r="F238" s="606">
        <v>42230</v>
      </c>
      <c r="G238" s="437">
        <f t="shared" si="6"/>
        <v>2015</v>
      </c>
      <c r="H238" s="437">
        <f t="shared" si="7"/>
        <v>8</v>
      </c>
      <c r="I238" s="607">
        <v>16</v>
      </c>
      <c r="J238" s="607">
        <v>18.081</v>
      </c>
      <c r="K238" s="607">
        <v>3.06</v>
      </c>
      <c r="L238" s="608">
        <v>21.140999999999998</v>
      </c>
      <c r="M238" s="609">
        <v>8926</v>
      </c>
      <c r="N238" s="607">
        <v>0.23699999999999999</v>
      </c>
      <c r="O238" s="607">
        <v>18.231999999999999</v>
      </c>
      <c r="P238" s="607">
        <v>3.06</v>
      </c>
    </row>
    <row r="239" spans="4:16">
      <c r="D239" s="602" t="s">
        <v>551</v>
      </c>
      <c r="E239" s="605" t="s">
        <v>897</v>
      </c>
      <c r="F239" s="606">
        <v>42250</v>
      </c>
      <c r="G239" s="437">
        <f t="shared" si="6"/>
        <v>2015</v>
      </c>
      <c r="H239" s="437">
        <f t="shared" si="7"/>
        <v>9</v>
      </c>
      <c r="I239" s="607">
        <v>17</v>
      </c>
      <c r="J239" s="607">
        <v>18.384</v>
      </c>
      <c r="K239" s="607">
        <v>2.7770000000000001</v>
      </c>
      <c r="L239" s="608">
        <v>21.161000000000001</v>
      </c>
      <c r="M239" s="609">
        <v>8657</v>
      </c>
      <c r="N239" s="607">
        <v>0.24399999999999999</v>
      </c>
      <c r="O239" s="607">
        <v>18.547999999999998</v>
      </c>
      <c r="P239" s="607">
        <v>2.7770000000000001</v>
      </c>
    </row>
    <row r="240" spans="4:16">
      <c r="D240" s="602" t="s">
        <v>551</v>
      </c>
      <c r="E240" s="605" t="s">
        <v>897</v>
      </c>
      <c r="F240" s="606">
        <v>42285</v>
      </c>
      <c r="G240" s="437">
        <f t="shared" si="6"/>
        <v>2015</v>
      </c>
      <c r="H240" s="437">
        <f t="shared" si="7"/>
        <v>10</v>
      </c>
      <c r="I240" s="607">
        <v>12</v>
      </c>
      <c r="J240" s="607">
        <v>8.3539999999999992</v>
      </c>
      <c r="K240" s="607">
        <v>3.0619999999999998</v>
      </c>
      <c r="L240" s="608">
        <v>11.416</v>
      </c>
      <c r="M240" s="609">
        <v>5943</v>
      </c>
      <c r="N240" s="607">
        <v>0.192</v>
      </c>
      <c r="O240" s="607">
        <v>8.4450000000000003</v>
      </c>
      <c r="P240" s="607">
        <v>3.0619999999999998</v>
      </c>
    </row>
    <row r="241" spans="4:16">
      <c r="D241" s="602" t="s">
        <v>551</v>
      </c>
      <c r="E241" s="605" t="s">
        <v>897</v>
      </c>
      <c r="F241" s="606">
        <v>42338</v>
      </c>
      <c r="G241" s="437">
        <f t="shared" si="6"/>
        <v>2015</v>
      </c>
      <c r="H241" s="437">
        <f t="shared" si="7"/>
        <v>11</v>
      </c>
      <c r="I241" s="607">
        <v>18</v>
      </c>
      <c r="J241" s="607">
        <v>6.1550000000000002</v>
      </c>
      <c r="K241" s="607">
        <v>3.0950000000000002</v>
      </c>
      <c r="L241" s="608">
        <v>9.25</v>
      </c>
      <c r="M241" s="609">
        <v>6574</v>
      </c>
      <c r="N241" s="607">
        <v>0.14099999999999999</v>
      </c>
      <c r="O241" s="607">
        <v>6.23</v>
      </c>
      <c r="P241" s="607">
        <v>3.0950000000000002</v>
      </c>
    </row>
    <row r="242" spans="4:16">
      <c r="D242" s="602" t="s">
        <v>551</v>
      </c>
      <c r="E242" s="605" t="s">
        <v>897</v>
      </c>
      <c r="F242" s="606">
        <v>42355</v>
      </c>
      <c r="G242" s="437">
        <f t="shared" si="6"/>
        <v>2015</v>
      </c>
      <c r="H242" s="437">
        <f t="shared" si="7"/>
        <v>12</v>
      </c>
      <c r="I242" s="607">
        <v>18</v>
      </c>
      <c r="J242" s="607">
        <v>6.3479999999999999</v>
      </c>
      <c r="K242" s="607">
        <v>3.0419999999999998</v>
      </c>
      <c r="L242" s="608">
        <v>9.39</v>
      </c>
      <c r="M242" s="609">
        <v>6450</v>
      </c>
      <c r="N242" s="607">
        <v>0.14599999999999999</v>
      </c>
      <c r="O242" s="607">
        <v>6.4210000000000003</v>
      </c>
      <c r="P242" s="607">
        <v>3.0419999999999998</v>
      </c>
    </row>
    <row r="243" spans="4:16">
      <c r="D243" s="602" t="s">
        <v>551</v>
      </c>
      <c r="E243" s="435" t="s">
        <v>898</v>
      </c>
      <c r="F243" s="436">
        <v>40927</v>
      </c>
      <c r="G243" s="437">
        <f t="shared" si="6"/>
        <v>2012</v>
      </c>
      <c r="H243" s="437">
        <f t="shared" si="7"/>
        <v>1</v>
      </c>
      <c r="I243" s="438">
        <v>19</v>
      </c>
      <c r="J243" s="438">
        <v>1.9430000000000001</v>
      </c>
      <c r="K243" s="438">
        <v>0</v>
      </c>
      <c r="L243" s="604">
        <v>1.9430000000000001</v>
      </c>
      <c r="M243" s="438">
        <v>6604</v>
      </c>
      <c r="N243" s="439">
        <v>2.9999999999999997E-4</v>
      </c>
      <c r="O243" s="438">
        <v>1.97</v>
      </c>
      <c r="P243" s="438">
        <v>0</v>
      </c>
    </row>
    <row r="244" spans="4:16">
      <c r="D244" s="602" t="s">
        <v>551</v>
      </c>
      <c r="E244" s="435" t="s">
        <v>898</v>
      </c>
      <c r="F244" s="436">
        <v>40967</v>
      </c>
      <c r="G244" s="437">
        <f t="shared" si="6"/>
        <v>2012</v>
      </c>
      <c r="H244" s="437">
        <f t="shared" si="7"/>
        <v>2</v>
      </c>
      <c r="I244" s="438">
        <v>19</v>
      </c>
      <c r="J244" s="438">
        <v>1.768</v>
      </c>
      <c r="K244" s="438">
        <v>0</v>
      </c>
      <c r="L244" s="604">
        <v>1.768</v>
      </c>
      <c r="M244" s="438">
        <v>6178</v>
      </c>
      <c r="N244" s="439">
        <v>2.9999999999999997E-4</v>
      </c>
      <c r="O244" s="438">
        <v>1.796</v>
      </c>
      <c r="P244" s="438">
        <v>0</v>
      </c>
    </row>
    <row r="245" spans="4:16">
      <c r="D245" s="602" t="s">
        <v>551</v>
      </c>
      <c r="E245" s="435" t="s">
        <v>898</v>
      </c>
      <c r="F245" s="436">
        <v>40987</v>
      </c>
      <c r="G245" s="437">
        <f t="shared" si="6"/>
        <v>2012</v>
      </c>
      <c r="H245" s="437">
        <f t="shared" si="7"/>
        <v>3</v>
      </c>
      <c r="I245" s="438">
        <v>14</v>
      </c>
      <c r="J245" s="438">
        <v>1.3320000000000001</v>
      </c>
      <c r="K245" s="438">
        <v>0</v>
      </c>
      <c r="L245" s="604">
        <v>1.3320000000000001</v>
      </c>
      <c r="M245" s="438">
        <v>6170</v>
      </c>
      <c r="N245" s="439">
        <v>2.0000000000000001E-4</v>
      </c>
      <c r="O245" s="438">
        <v>1.351</v>
      </c>
      <c r="P245" s="438">
        <v>0</v>
      </c>
    </row>
    <row r="246" spans="4:16">
      <c r="D246" s="602" t="s">
        <v>551</v>
      </c>
      <c r="E246" s="435" t="s">
        <v>898</v>
      </c>
      <c r="F246" s="436">
        <v>41024</v>
      </c>
      <c r="G246" s="437">
        <f t="shared" si="6"/>
        <v>2012</v>
      </c>
      <c r="H246" s="437">
        <f t="shared" si="7"/>
        <v>4</v>
      </c>
      <c r="I246" s="438">
        <v>15</v>
      </c>
      <c r="J246" s="438">
        <v>1.2969999999999999</v>
      </c>
      <c r="K246" s="438">
        <v>0</v>
      </c>
      <c r="L246" s="604">
        <v>1.2969999999999999</v>
      </c>
      <c r="M246" s="438">
        <v>5813</v>
      </c>
      <c r="N246" s="439">
        <v>2.0000000000000001E-4</v>
      </c>
      <c r="O246" s="438">
        <v>1.3160000000000001</v>
      </c>
      <c r="P246" s="438">
        <v>0</v>
      </c>
    </row>
    <row r="247" spans="4:16">
      <c r="D247" s="602" t="s">
        <v>551</v>
      </c>
      <c r="E247" s="435" t="s">
        <v>898</v>
      </c>
      <c r="F247" s="436">
        <v>41047</v>
      </c>
      <c r="G247" s="437">
        <f t="shared" si="6"/>
        <v>2012</v>
      </c>
      <c r="H247" s="437">
        <f t="shared" si="7"/>
        <v>5</v>
      </c>
      <c r="I247" s="438">
        <v>17</v>
      </c>
      <c r="J247" s="438">
        <v>2.0640000000000001</v>
      </c>
      <c r="K247" s="438">
        <v>0</v>
      </c>
      <c r="L247" s="604">
        <v>2.0640000000000001</v>
      </c>
      <c r="M247" s="438">
        <v>7203</v>
      </c>
      <c r="N247" s="439">
        <v>2.9999999999999997E-4</v>
      </c>
      <c r="O247" s="438">
        <v>2.0939999999999999</v>
      </c>
      <c r="P247" s="438">
        <v>0</v>
      </c>
    </row>
    <row r="248" spans="4:16">
      <c r="D248" s="602" t="s">
        <v>551</v>
      </c>
      <c r="E248" s="435" t="s">
        <v>898</v>
      </c>
      <c r="F248" s="436">
        <v>41087</v>
      </c>
      <c r="G248" s="437">
        <f t="shared" si="6"/>
        <v>2012</v>
      </c>
      <c r="H248" s="437">
        <f t="shared" si="7"/>
        <v>6</v>
      </c>
      <c r="I248" s="438">
        <v>17</v>
      </c>
      <c r="J248" s="438">
        <v>3.0289999999999999</v>
      </c>
      <c r="K248" s="438">
        <v>0</v>
      </c>
      <c r="L248" s="604">
        <v>3.0289999999999999</v>
      </c>
      <c r="M248" s="438">
        <v>8833</v>
      </c>
      <c r="N248" s="439">
        <v>2.9999999999999997E-4</v>
      </c>
      <c r="O248" s="438">
        <v>3.0750000000000002</v>
      </c>
      <c r="P248" s="438">
        <v>0</v>
      </c>
    </row>
    <row r="249" spans="4:16">
      <c r="D249" s="602" t="s">
        <v>551</v>
      </c>
      <c r="E249" s="435" t="s">
        <v>898</v>
      </c>
      <c r="F249" s="436">
        <v>41092</v>
      </c>
      <c r="G249" s="437">
        <f t="shared" si="6"/>
        <v>2012</v>
      </c>
      <c r="H249" s="437">
        <f t="shared" si="7"/>
        <v>7</v>
      </c>
      <c r="I249" s="438">
        <v>17</v>
      </c>
      <c r="J249" s="438">
        <v>3.327</v>
      </c>
      <c r="K249" s="438">
        <v>0</v>
      </c>
      <c r="L249" s="604">
        <v>3.327</v>
      </c>
      <c r="M249" s="438">
        <v>9682</v>
      </c>
      <c r="N249" s="439">
        <v>2.9999999999999997E-4</v>
      </c>
      <c r="O249" s="438">
        <v>3.379</v>
      </c>
      <c r="P249" s="438">
        <v>0</v>
      </c>
    </row>
    <row r="250" spans="4:16">
      <c r="D250" s="602" t="s">
        <v>551</v>
      </c>
      <c r="E250" s="435" t="s">
        <v>898</v>
      </c>
      <c r="F250" s="436">
        <v>41122</v>
      </c>
      <c r="G250" s="437">
        <f t="shared" si="6"/>
        <v>2012</v>
      </c>
      <c r="H250" s="437">
        <f t="shared" si="7"/>
        <v>8</v>
      </c>
      <c r="I250" s="438">
        <v>17</v>
      </c>
      <c r="J250" s="438">
        <v>3.0059999999999998</v>
      </c>
      <c r="K250" s="438">
        <v>0</v>
      </c>
      <c r="L250" s="604">
        <v>3.0059999999999998</v>
      </c>
      <c r="M250" s="438">
        <v>8979</v>
      </c>
      <c r="N250" s="439">
        <v>2.9999999999999997E-4</v>
      </c>
      <c r="O250" s="438">
        <v>3.052</v>
      </c>
      <c r="P250" s="438">
        <v>0</v>
      </c>
    </row>
    <row r="251" spans="4:16">
      <c r="D251" s="602" t="s">
        <v>551</v>
      </c>
      <c r="E251" s="435" t="s">
        <v>898</v>
      </c>
      <c r="F251" s="436">
        <v>41156</v>
      </c>
      <c r="G251" s="437">
        <f t="shared" si="6"/>
        <v>2012</v>
      </c>
      <c r="H251" s="437">
        <f t="shared" si="7"/>
        <v>9</v>
      </c>
      <c r="I251" s="438">
        <v>16</v>
      </c>
      <c r="J251" s="438">
        <v>2.8119999999999998</v>
      </c>
      <c r="K251" s="438">
        <v>0</v>
      </c>
      <c r="L251" s="604">
        <v>2.8119999999999998</v>
      </c>
      <c r="M251" s="438">
        <v>8521</v>
      </c>
      <c r="N251" s="439">
        <v>2.9999999999999997E-4</v>
      </c>
      <c r="O251" s="438">
        <v>2.855</v>
      </c>
      <c r="P251" s="438">
        <v>0</v>
      </c>
    </row>
    <row r="252" spans="4:16">
      <c r="D252" s="602" t="s">
        <v>551</v>
      </c>
      <c r="E252" s="435" t="s">
        <v>898</v>
      </c>
      <c r="F252" s="436">
        <v>41185</v>
      </c>
      <c r="G252" s="437">
        <f t="shared" si="6"/>
        <v>2012</v>
      </c>
      <c r="H252" s="437">
        <f t="shared" si="7"/>
        <v>10</v>
      </c>
      <c r="I252" s="438">
        <v>14</v>
      </c>
      <c r="J252" s="438">
        <v>1.347</v>
      </c>
      <c r="K252" s="438">
        <v>0</v>
      </c>
      <c r="L252" s="604">
        <v>1.347</v>
      </c>
      <c r="M252" s="438">
        <v>6122</v>
      </c>
      <c r="N252" s="439">
        <v>2.0000000000000001E-4</v>
      </c>
      <c r="O252" s="438">
        <v>1.365</v>
      </c>
      <c r="P252" s="438">
        <v>0</v>
      </c>
    </row>
    <row r="253" spans="4:16">
      <c r="D253" s="602" t="s">
        <v>551</v>
      </c>
      <c r="E253" s="435" t="s">
        <v>898</v>
      </c>
      <c r="F253" s="436">
        <v>41239</v>
      </c>
      <c r="G253" s="437">
        <f t="shared" si="6"/>
        <v>2012</v>
      </c>
      <c r="H253" s="437">
        <f t="shared" si="7"/>
        <v>11</v>
      </c>
      <c r="I253" s="438">
        <v>18</v>
      </c>
      <c r="J253" s="438">
        <v>1.9810000000000001</v>
      </c>
      <c r="K253" s="438">
        <v>0</v>
      </c>
      <c r="L253" s="604">
        <v>1.9810000000000001</v>
      </c>
      <c r="M253" s="438">
        <v>6416</v>
      </c>
      <c r="N253" s="439">
        <v>2.9999999999999997E-4</v>
      </c>
      <c r="O253" s="438">
        <v>2.0070000000000001</v>
      </c>
      <c r="P253" s="438">
        <v>0</v>
      </c>
    </row>
    <row r="254" spans="4:16">
      <c r="D254" s="602" t="s">
        <v>551</v>
      </c>
      <c r="E254" s="435" t="s">
        <v>898</v>
      </c>
      <c r="F254" s="436">
        <v>41253</v>
      </c>
      <c r="G254" s="437">
        <f t="shared" si="6"/>
        <v>2012</v>
      </c>
      <c r="H254" s="437">
        <f t="shared" si="7"/>
        <v>12</v>
      </c>
      <c r="I254" s="438">
        <v>18</v>
      </c>
      <c r="J254" s="438">
        <v>2.0920000000000001</v>
      </c>
      <c r="K254" s="438">
        <v>0</v>
      </c>
      <c r="L254" s="604">
        <v>2.0920000000000001</v>
      </c>
      <c r="M254" s="438">
        <v>6609</v>
      </c>
      <c r="N254" s="439">
        <v>2.9999999999999997E-4</v>
      </c>
      <c r="O254" s="438">
        <v>2.1219999999999999</v>
      </c>
      <c r="P254" s="438">
        <v>0</v>
      </c>
    </row>
    <row r="255" spans="4:16">
      <c r="D255" s="602" t="s">
        <v>551</v>
      </c>
      <c r="E255" s="435" t="s">
        <v>898</v>
      </c>
      <c r="F255" s="436">
        <v>41295</v>
      </c>
      <c r="G255" s="437">
        <f t="shared" si="6"/>
        <v>2013</v>
      </c>
      <c r="H255" s="437">
        <f t="shared" si="7"/>
        <v>1</v>
      </c>
      <c r="I255" s="438">
        <v>19</v>
      </c>
      <c r="J255" s="438">
        <v>2.008</v>
      </c>
      <c r="K255" s="438">
        <v>0</v>
      </c>
      <c r="L255" s="604">
        <v>2.008</v>
      </c>
      <c r="M255" s="438">
        <v>6846</v>
      </c>
      <c r="N255" s="439">
        <v>2.9999999999999997E-4</v>
      </c>
      <c r="O255" s="438">
        <v>2.0390000000000001</v>
      </c>
      <c r="P255" s="438">
        <v>0</v>
      </c>
    </row>
    <row r="256" spans="4:16">
      <c r="D256" s="602" t="s">
        <v>551</v>
      </c>
      <c r="E256" s="435" t="s">
        <v>898</v>
      </c>
      <c r="F256" s="436">
        <v>41324</v>
      </c>
      <c r="G256" s="437">
        <f t="shared" si="6"/>
        <v>2013</v>
      </c>
      <c r="H256" s="437">
        <f t="shared" si="7"/>
        <v>2</v>
      </c>
      <c r="I256" s="438">
        <v>19</v>
      </c>
      <c r="J256" s="438">
        <v>1.9319999999999999</v>
      </c>
      <c r="K256" s="438">
        <v>0</v>
      </c>
      <c r="L256" s="604">
        <v>1.9319999999999999</v>
      </c>
      <c r="M256" s="438">
        <v>6511</v>
      </c>
      <c r="N256" s="439">
        <v>2.9999999999999997E-4</v>
      </c>
      <c r="O256" s="438">
        <v>1.9590000000000001</v>
      </c>
      <c r="P256" s="438">
        <v>0</v>
      </c>
    </row>
    <row r="257" spans="4:16">
      <c r="D257" s="602" t="s">
        <v>551</v>
      </c>
      <c r="E257" s="435" t="s">
        <v>898</v>
      </c>
      <c r="F257" s="436">
        <v>41337</v>
      </c>
      <c r="G257" s="437">
        <f t="shared" si="6"/>
        <v>2013</v>
      </c>
      <c r="H257" s="437">
        <f t="shared" si="7"/>
        <v>3</v>
      </c>
      <c r="I257" s="438">
        <v>19</v>
      </c>
      <c r="J257" s="438">
        <v>1.7110000000000001</v>
      </c>
      <c r="K257" s="438">
        <v>0</v>
      </c>
      <c r="L257" s="604">
        <v>1.7110000000000001</v>
      </c>
      <c r="M257" s="438">
        <v>6172</v>
      </c>
      <c r="N257" s="439">
        <v>2.9999999999999997E-4</v>
      </c>
      <c r="O257" s="438">
        <v>1.74</v>
      </c>
      <c r="P257" s="438">
        <v>0</v>
      </c>
    </row>
    <row r="258" spans="4:16">
      <c r="D258" s="602" t="s">
        <v>551</v>
      </c>
      <c r="E258" s="435" t="s">
        <v>898</v>
      </c>
      <c r="F258" s="436">
        <v>41382</v>
      </c>
      <c r="G258" s="437">
        <f t="shared" si="6"/>
        <v>2013</v>
      </c>
      <c r="H258" s="437">
        <f t="shared" si="7"/>
        <v>4</v>
      </c>
      <c r="I258" s="438">
        <v>12</v>
      </c>
      <c r="J258" s="438">
        <v>1.42</v>
      </c>
      <c r="K258" s="438">
        <v>0</v>
      </c>
      <c r="L258" s="604">
        <v>1.42</v>
      </c>
      <c r="M258" s="438">
        <v>5851</v>
      </c>
      <c r="N258" s="439">
        <v>2.0000000000000001E-4</v>
      </c>
      <c r="O258" s="438">
        <v>1.4410000000000001</v>
      </c>
      <c r="P258" s="438">
        <v>0</v>
      </c>
    </row>
    <row r="259" spans="4:16">
      <c r="D259" s="602" t="s">
        <v>551</v>
      </c>
      <c r="E259" s="435" t="s">
        <v>898</v>
      </c>
      <c r="F259" s="436">
        <v>41408</v>
      </c>
      <c r="G259" s="437">
        <f t="shared" ref="G259:G322" si="8">YEAR(F259)</f>
        <v>2013</v>
      </c>
      <c r="H259" s="437">
        <f t="shared" ref="H259:H322" si="9">MONTH(F259)</f>
        <v>5</v>
      </c>
      <c r="I259" s="438">
        <v>17</v>
      </c>
      <c r="J259" s="438">
        <v>1.7210000000000001</v>
      </c>
      <c r="K259" s="438">
        <v>0</v>
      </c>
      <c r="L259" s="604">
        <v>1.7210000000000001</v>
      </c>
      <c r="M259" s="438">
        <v>6516</v>
      </c>
      <c r="N259" s="439">
        <v>2.9999999999999997E-4</v>
      </c>
      <c r="O259" s="438">
        <v>1.742</v>
      </c>
      <c r="P259" s="438">
        <v>0</v>
      </c>
    </row>
    <row r="260" spans="4:16">
      <c r="D260" s="602" t="s">
        <v>551</v>
      </c>
      <c r="E260" s="435" t="s">
        <v>898</v>
      </c>
      <c r="F260" s="436">
        <v>41451</v>
      </c>
      <c r="G260" s="437">
        <f t="shared" si="8"/>
        <v>2013</v>
      </c>
      <c r="H260" s="437">
        <f t="shared" si="9"/>
        <v>6</v>
      </c>
      <c r="I260" s="438">
        <v>16</v>
      </c>
      <c r="J260" s="438">
        <v>2.5739999999999998</v>
      </c>
      <c r="K260" s="438">
        <v>0</v>
      </c>
      <c r="L260" s="604">
        <v>2.5739999999999998</v>
      </c>
      <c r="M260" s="438">
        <v>8280</v>
      </c>
      <c r="N260" s="439">
        <v>2.9999999999999997E-4</v>
      </c>
      <c r="O260" s="438">
        <v>2.6110000000000002</v>
      </c>
      <c r="P260" s="438">
        <v>0</v>
      </c>
    </row>
    <row r="261" spans="4:16">
      <c r="D261" s="602" t="s">
        <v>551</v>
      </c>
      <c r="E261" s="435" t="s">
        <v>898</v>
      </c>
      <c r="F261" s="436">
        <v>41473</v>
      </c>
      <c r="G261" s="437">
        <f t="shared" si="8"/>
        <v>2013</v>
      </c>
      <c r="H261" s="437">
        <f t="shared" si="9"/>
        <v>7</v>
      </c>
      <c r="I261" s="438">
        <v>17</v>
      </c>
      <c r="J261" s="438">
        <v>3.137</v>
      </c>
      <c r="K261" s="438">
        <v>0</v>
      </c>
      <c r="L261" s="604">
        <v>3.137</v>
      </c>
      <c r="M261" s="438">
        <v>9566</v>
      </c>
      <c r="N261" s="439">
        <v>2.9999999999999997E-4</v>
      </c>
      <c r="O261" s="438">
        <v>3.1829999999999998</v>
      </c>
      <c r="P261" s="438">
        <v>0</v>
      </c>
    </row>
    <row r="262" spans="4:16">
      <c r="D262" s="602" t="s">
        <v>551</v>
      </c>
      <c r="E262" s="435" t="s">
        <v>898</v>
      </c>
      <c r="F262" s="436">
        <v>41512</v>
      </c>
      <c r="G262" s="437">
        <f t="shared" si="8"/>
        <v>2013</v>
      </c>
      <c r="H262" s="437">
        <f t="shared" si="9"/>
        <v>8</v>
      </c>
      <c r="I262" s="438">
        <v>17</v>
      </c>
      <c r="J262" s="438">
        <v>3.153</v>
      </c>
      <c r="K262" s="438">
        <v>0</v>
      </c>
      <c r="L262" s="604">
        <v>3.153</v>
      </c>
      <c r="M262" s="438">
        <v>9821</v>
      </c>
      <c r="N262" s="439">
        <v>2.9999999999999997E-4</v>
      </c>
      <c r="O262" s="438">
        <v>3.1989999999999998</v>
      </c>
      <c r="P262" s="438">
        <v>0</v>
      </c>
    </row>
    <row r="263" spans="4:16">
      <c r="D263" s="602" t="s">
        <v>551</v>
      </c>
      <c r="E263" s="435" t="s">
        <v>898</v>
      </c>
      <c r="F263" s="436">
        <v>41526</v>
      </c>
      <c r="G263" s="437">
        <f t="shared" si="8"/>
        <v>2013</v>
      </c>
      <c r="H263" s="437">
        <f t="shared" si="9"/>
        <v>9</v>
      </c>
      <c r="I263" s="438">
        <v>17</v>
      </c>
      <c r="J263" s="438">
        <v>3.077</v>
      </c>
      <c r="K263" s="438">
        <v>0</v>
      </c>
      <c r="L263" s="604">
        <v>3.077</v>
      </c>
      <c r="M263" s="438">
        <v>8781</v>
      </c>
      <c r="N263" s="439">
        <v>4.0000000000000002E-4</v>
      </c>
      <c r="O263" s="438">
        <v>3.1219999999999999</v>
      </c>
      <c r="P263" s="438">
        <v>0</v>
      </c>
    </row>
    <row r="264" spans="4:16">
      <c r="D264" s="602" t="s">
        <v>551</v>
      </c>
      <c r="E264" s="435" t="s">
        <v>898</v>
      </c>
      <c r="F264" s="436">
        <v>41548</v>
      </c>
      <c r="G264" s="437">
        <f t="shared" si="8"/>
        <v>2013</v>
      </c>
      <c r="H264" s="437">
        <f t="shared" si="9"/>
        <v>10</v>
      </c>
      <c r="I264" s="438">
        <v>14</v>
      </c>
      <c r="J264" s="438">
        <v>1.409</v>
      </c>
      <c r="K264" s="438">
        <v>0</v>
      </c>
      <c r="L264" s="604">
        <v>1.409</v>
      </c>
      <c r="M264" s="438">
        <v>6214</v>
      </c>
      <c r="N264" s="439">
        <v>2.0000000000000001E-4</v>
      </c>
      <c r="O264" s="438">
        <v>1.429</v>
      </c>
      <c r="P264" s="438">
        <v>0</v>
      </c>
    </row>
    <row r="265" spans="4:16">
      <c r="D265" s="602" t="s">
        <v>551</v>
      </c>
      <c r="E265" s="435" t="s">
        <v>898</v>
      </c>
      <c r="F265" s="436">
        <v>41604</v>
      </c>
      <c r="G265" s="437">
        <f t="shared" si="8"/>
        <v>2013</v>
      </c>
      <c r="H265" s="437">
        <f t="shared" si="9"/>
        <v>11</v>
      </c>
      <c r="I265" s="438">
        <v>18</v>
      </c>
      <c r="J265" s="438">
        <v>1.9410000000000001</v>
      </c>
      <c r="K265" s="438">
        <v>0</v>
      </c>
      <c r="L265" s="604">
        <v>1.9410000000000001</v>
      </c>
      <c r="M265" s="438">
        <v>6372</v>
      </c>
      <c r="N265" s="439">
        <v>2.9999999999999997E-4</v>
      </c>
      <c r="O265" s="438">
        <v>1.9650000000000001</v>
      </c>
      <c r="P265" s="438">
        <v>0</v>
      </c>
    </row>
    <row r="266" spans="4:16">
      <c r="D266" s="602" t="s">
        <v>551</v>
      </c>
      <c r="E266" s="435" t="s">
        <v>898</v>
      </c>
      <c r="F266" s="436">
        <v>41619</v>
      </c>
      <c r="G266" s="437">
        <f t="shared" si="8"/>
        <v>2013</v>
      </c>
      <c r="H266" s="437">
        <f t="shared" si="9"/>
        <v>12</v>
      </c>
      <c r="I266" s="438">
        <v>18</v>
      </c>
      <c r="J266" s="438">
        <v>2.1120000000000001</v>
      </c>
      <c r="K266" s="438">
        <v>0</v>
      </c>
      <c r="L266" s="604">
        <v>2.1120000000000001</v>
      </c>
      <c r="M266" s="438">
        <v>6972</v>
      </c>
      <c r="N266" s="439">
        <v>2.9999999999999997E-4</v>
      </c>
      <c r="O266" s="438">
        <v>2.1360000000000001</v>
      </c>
      <c r="P266" s="438">
        <v>0</v>
      </c>
    </row>
    <row r="267" spans="4:16">
      <c r="D267" s="602" t="s">
        <v>551</v>
      </c>
      <c r="E267" s="605" t="s">
        <v>898</v>
      </c>
      <c r="F267" s="606">
        <v>41645</v>
      </c>
      <c r="G267" s="437">
        <f t="shared" si="8"/>
        <v>2014</v>
      </c>
      <c r="H267" s="437">
        <f t="shared" si="9"/>
        <v>1</v>
      </c>
      <c r="I267" s="607">
        <v>18</v>
      </c>
      <c r="J267" s="607">
        <v>2.2639999999999998</v>
      </c>
      <c r="K267" s="607">
        <v>0</v>
      </c>
      <c r="L267" s="608">
        <v>2.2639999999999998</v>
      </c>
      <c r="M267" s="609">
        <v>7188</v>
      </c>
      <c r="N267" s="607">
        <v>3.1E-2</v>
      </c>
      <c r="O267" s="607">
        <v>2.29</v>
      </c>
      <c r="P267" s="607">
        <v>0</v>
      </c>
    </row>
    <row r="268" spans="4:16">
      <c r="D268" s="602" t="s">
        <v>551</v>
      </c>
      <c r="E268" s="605" t="s">
        <v>898</v>
      </c>
      <c r="F268" s="606">
        <v>41676</v>
      </c>
      <c r="G268" s="437">
        <f t="shared" si="8"/>
        <v>2014</v>
      </c>
      <c r="H268" s="437">
        <f t="shared" si="9"/>
        <v>2</v>
      </c>
      <c r="I268" s="607">
        <v>19</v>
      </c>
      <c r="J268" s="607">
        <v>1.9239999999999999</v>
      </c>
      <c r="K268" s="607">
        <v>0</v>
      </c>
      <c r="L268" s="608">
        <v>1.9239999999999999</v>
      </c>
      <c r="M268" s="609">
        <v>6743</v>
      </c>
      <c r="N268" s="607">
        <v>2.9000000000000001E-2</v>
      </c>
      <c r="O268" s="607">
        <v>1.9550000000000001</v>
      </c>
      <c r="P268" s="607">
        <v>0</v>
      </c>
    </row>
    <row r="269" spans="4:16">
      <c r="D269" s="602" t="s">
        <v>551</v>
      </c>
      <c r="E269" s="605" t="s">
        <v>898</v>
      </c>
      <c r="F269" s="606">
        <v>41701</v>
      </c>
      <c r="G269" s="437">
        <f t="shared" si="8"/>
        <v>2014</v>
      </c>
      <c r="H269" s="437">
        <f t="shared" si="9"/>
        <v>3</v>
      </c>
      <c r="I269" s="607">
        <v>19</v>
      </c>
      <c r="J269" s="607">
        <v>1.88</v>
      </c>
      <c r="K269" s="607">
        <v>0</v>
      </c>
      <c r="L269" s="608">
        <v>1.88</v>
      </c>
      <c r="M269" s="609">
        <v>6537</v>
      </c>
      <c r="N269" s="607">
        <v>2.9000000000000001E-2</v>
      </c>
      <c r="O269" s="607">
        <v>1.9079999999999999</v>
      </c>
      <c r="P269" s="607">
        <v>0</v>
      </c>
    </row>
    <row r="270" spans="4:16">
      <c r="D270" s="602" t="s">
        <v>551</v>
      </c>
      <c r="E270" s="605" t="s">
        <v>898</v>
      </c>
      <c r="F270" s="606">
        <v>41730</v>
      </c>
      <c r="G270" s="437">
        <f t="shared" si="8"/>
        <v>2014</v>
      </c>
      <c r="H270" s="437">
        <f t="shared" si="9"/>
        <v>4</v>
      </c>
      <c r="I270" s="607">
        <v>11</v>
      </c>
      <c r="J270" s="607">
        <v>1.4670000000000001</v>
      </c>
      <c r="K270" s="607">
        <v>0</v>
      </c>
      <c r="L270" s="608">
        <v>1.4670000000000001</v>
      </c>
      <c r="M270" s="609">
        <v>5924</v>
      </c>
      <c r="N270" s="607">
        <v>2.5000000000000001E-2</v>
      </c>
      <c r="O270" s="607">
        <v>1.4870000000000001</v>
      </c>
      <c r="P270" s="607">
        <v>0</v>
      </c>
    </row>
    <row r="271" spans="4:16">
      <c r="D271" s="602" t="s">
        <v>551</v>
      </c>
      <c r="E271" s="605" t="s">
        <v>898</v>
      </c>
      <c r="F271" s="606">
        <v>41789</v>
      </c>
      <c r="G271" s="437">
        <f t="shared" si="8"/>
        <v>2014</v>
      </c>
      <c r="H271" s="437">
        <f t="shared" si="9"/>
        <v>5</v>
      </c>
      <c r="I271" s="607">
        <v>16</v>
      </c>
      <c r="J271" s="607">
        <v>2.0840000000000001</v>
      </c>
      <c r="K271" s="607">
        <v>0</v>
      </c>
      <c r="L271" s="608">
        <v>2.0840000000000001</v>
      </c>
      <c r="M271" s="609">
        <v>7422</v>
      </c>
      <c r="N271" s="607">
        <v>2.8000000000000001E-2</v>
      </c>
      <c r="O271" s="607">
        <v>2.1080000000000001</v>
      </c>
      <c r="P271" s="607">
        <v>0</v>
      </c>
    </row>
    <row r="272" spans="4:16">
      <c r="D272" s="602" t="s">
        <v>551</v>
      </c>
      <c r="E272" s="605" t="s">
        <v>898</v>
      </c>
      <c r="F272" s="606">
        <v>41814</v>
      </c>
      <c r="G272" s="437">
        <f t="shared" si="8"/>
        <v>2014</v>
      </c>
      <c r="H272" s="437">
        <f t="shared" si="9"/>
        <v>6</v>
      </c>
      <c r="I272" s="607">
        <v>16</v>
      </c>
      <c r="J272" s="607">
        <v>2.1309999999999998</v>
      </c>
      <c r="K272" s="607">
        <v>0</v>
      </c>
      <c r="L272" s="608">
        <v>2.1309999999999998</v>
      </c>
      <c r="M272" s="609">
        <v>7670</v>
      </c>
      <c r="N272" s="607">
        <v>2.8000000000000001E-2</v>
      </c>
      <c r="O272" s="607">
        <v>2.157</v>
      </c>
      <c r="P272" s="607">
        <v>0</v>
      </c>
    </row>
    <row r="273" spans="4:16">
      <c r="D273" s="602" t="s">
        <v>551</v>
      </c>
      <c r="E273" s="605" t="s">
        <v>898</v>
      </c>
      <c r="F273" s="606">
        <v>41841</v>
      </c>
      <c r="G273" s="437">
        <f t="shared" si="8"/>
        <v>2014</v>
      </c>
      <c r="H273" s="437">
        <f t="shared" si="9"/>
        <v>7</v>
      </c>
      <c r="I273" s="607">
        <v>17</v>
      </c>
      <c r="J273" s="607">
        <v>2.8570000000000002</v>
      </c>
      <c r="K273" s="607">
        <v>0</v>
      </c>
      <c r="L273" s="608">
        <v>2.8570000000000002</v>
      </c>
      <c r="M273" s="609">
        <v>9150</v>
      </c>
      <c r="N273" s="607">
        <v>3.1E-2</v>
      </c>
      <c r="O273" s="607">
        <v>2.8919999999999999</v>
      </c>
      <c r="P273" s="607">
        <v>0</v>
      </c>
    </row>
    <row r="274" spans="4:16">
      <c r="D274" s="602" t="s">
        <v>551</v>
      </c>
      <c r="E274" s="605" t="s">
        <v>898</v>
      </c>
      <c r="F274" s="606">
        <v>41869</v>
      </c>
      <c r="G274" s="437">
        <f t="shared" si="8"/>
        <v>2014</v>
      </c>
      <c r="H274" s="437">
        <f t="shared" si="9"/>
        <v>8</v>
      </c>
      <c r="I274" s="607">
        <v>16</v>
      </c>
      <c r="J274" s="607">
        <v>2.6389999999999998</v>
      </c>
      <c r="K274" s="607">
        <v>0</v>
      </c>
      <c r="L274" s="608">
        <v>2.6389999999999998</v>
      </c>
      <c r="M274" s="609">
        <v>8190</v>
      </c>
      <c r="N274" s="607">
        <v>3.2000000000000001E-2</v>
      </c>
      <c r="O274" s="607">
        <v>2.673</v>
      </c>
      <c r="P274" s="607">
        <v>0</v>
      </c>
    </row>
    <row r="275" spans="4:16">
      <c r="D275" s="602" t="s">
        <v>551</v>
      </c>
      <c r="E275" s="605" t="s">
        <v>898</v>
      </c>
      <c r="F275" s="606">
        <v>41886</v>
      </c>
      <c r="G275" s="437">
        <f t="shared" si="8"/>
        <v>2014</v>
      </c>
      <c r="H275" s="437">
        <f t="shared" si="9"/>
        <v>9</v>
      </c>
      <c r="I275" s="607">
        <v>15</v>
      </c>
      <c r="J275" s="607">
        <v>2.4180000000000001</v>
      </c>
      <c r="K275" s="607">
        <v>0</v>
      </c>
      <c r="L275" s="608">
        <v>2.4180000000000001</v>
      </c>
      <c r="M275" s="609">
        <v>7758</v>
      </c>
      <c r="N275" s="607">
        <v>3.1E-2</v>
      </c>
      <c r="O275" s="607">
        <v>2.4569999999999999</v>
      </c>
      <c r="P275" s="607">
        <v>0</v>
      </c>
    </row>
    <row r="276" spans="4:16">
      <c r="D276" s="602" t="s">
        <v>551</v>
      </c>
      <c r="E276" s="605" t="s">
        <v>898</v>
      </c>
      <c r="F276" s="606">
        <v>41942</v>
      </c>
      <c r="G276" s="437">
        <f t="shared" si="8"/>
        <v>2014</v>
      </c>
      <c r="H276" s="437">
        <f t="shared" si="9"/>
        <v>10</v>
      </c>
      <c r="I276" s="607">
        <v>20</v>
      </c>
      <c r="J276" s="607">
        <v>1.726</v>
      </c>
      <c r="K276" s="607">
        <v>0</v>
      </c>
      <c r="L276" s="608">
        <v>1.726</v>
      </c>
      <c r="M276" s="609">
        <v>5901</v>
      </c>
      <c r="N276" s="607">
        <v>2.9000000000000001E-2</v>
      </c>
      <c r="O276" s="607">
        <v>1.7509999999999999</v>
      </c>
      <c r="P276" s="607">
        <v>0</v>
      </c>
    </row>
    <row r="277" spans="4:16">
      <c r="D277" s="602" t="s">
        <v>551</v>
      </c>
      <c r="E277" s="605" t="s">
        <v>898</v>
      </c>
      <c r="F277" s="606">
        <v>41960</v>
      </c>
      <c r="G277" s="437">
        <f t="shared" si="8"/>
        <v>2014</v>
      </c>
      <c r="H277" s="437">
        <f t="shared" si="9"/>
        <v>11</v>
      </c>
      <c r="I277" s="607">
        <v>18</v>
      </c>
      <c r="J277" s="607">
        <v>1.9670000000000001</v>
      </c>
      <c r="K277" s="607">
        <v>0</v>
      </c>
      <c r="L277" s="608">
        <v>1.9670000000000001</v>
      </c>
      <c r="M277" s="609">
        <v>6677</v>
      </c>
      <c r="N277" s="607">
        <v>2.9000000000000001E-2</v>
      </c>
      <c r="O277" s="607">
        <v>1.9810000000000001</v>
      </c>
      <c r="P277" s="607">
        <v>0</v>
      </c>
    </row>
    <row r="278" spans="4:16">
      <c r="D278" s="602" t="s">
        <v>551</v>
      </c>
      <c r="E278" s="605" t="s">
        <v>898</v>
      </c>
      <c r="F278" s="606">
        <v>41974</v>
      </c>
      <c r="G278" s="437">
        <f t="shared" si="8"/>
        <v>2014</v>
      </c>
      <c r="H278" s="437">
        <f t="shared" si="9"/>
        <v>12</v>
      </c>
      <c r="I278" s="607">
        <v>18</v>
      </c>
      <c r="J278" s="607">
        <v>1.994</v>
      </c>
      <c r="K278" s="607">
        <v>0</v>
      </c>
      <c r="L278" s="608">
        <v>1.994</v>
      </c>
      <c r="M278" s="609">
        <v>6850</v>
      </c>
      <c r="N278" s="607">
        <v>2.9000000000000001E-2</v>
      </c>
      <c r="O278" s="607">
        <v>2.0049999999999999</v>
      </c>
      <c r="P278" s="607">
        <v>0</v>
      </c>
    </row>
    <row r="279" spans="4:16">
      <c r="D279" s="602" t="s">
        <v>551</v>
      </c>
      <c r="E279" s="605" t="s">
        <v>898</v>
      </c>
      <c r="F279" s="606">
        <v>42011</v>
      </c>
      <c r="G279" s="437">
        <f t="shared" si="8"/>
        <v>2015</v>
      </c>
      <c r="H279" s="437">
        <f t="shared" si="9"/>
        <v>1</v>
      </c>
      <c r="I279" s="607">
        <v>18</v>
      </c>
      <c r="J279" s="607">
        <v>2.0960000000000001</v>
      </c>
      <c r="K279" s="607">
        <v>0</v>
      </c>
      <c r="L279" s="608">
        <v>2.0960000000000001</v>
      </c>
      <c r="M279" s="609">
        <v>6978</v>
      </c>
      <c r="N279" s="607">
        <v>0.03</v>
      </c>
      <c r="O279" s="607">
        <v>2.1030000000000002</v>
      </c>
      <c r="P279" s="607">
        <v>0</v>
      </c>
    </row>
    <row r="280" spans="4:16">
      <c r="D280" s="602" t="s">
        <v>551</v>
      </c>
      <c r="E280" s="605" t="s">
        <v>898</v>
      </c>
      <c r="F280" s="606">
        <v>42053</v>
      </c>
      <c r="G280" s="437">
        <f t="shared" si="8"/>
        <v>2015</v>
      </c>
      <c r="H280" s="437">
        <f t="shared" si="9"/>
        <v>2</v>
      </c>
      <c r="I280" s="607">
        <v>19</v>
      </c>
      <c r="J280" s="607">
        <v>1.9630000000000001</v>
      </c>
      <c r="K280" s="607">
        <v>0</v>
      </c>
      <c r="L280" s="608">
        <v>1.9630000000000001</v>
      </c>
      <c r="M280" s="609">
        <v>6744</v>
      </c>
      <c r="N280" s="607">
        <v>2.9000000000000001E-2</v>
      </c>
      <c r="O280" s="607">
        <v>1.9950000000000001</v>
      </c>
      <c r="P280" s="607">
        <v>0</v>
      </c>
    </row>
    <row r="281" spans="4:16">
      <c r="D281" s="602" t="s">
        <v>551</v>
      </c>
      <c r="E281" s="605" t="s">
        <v>898</v>
      </c>
      <c r="F281" s="606">
        <v>42067</v>
      </c>
      <c r="G281" s="437">
        <f t="shared" si="8"/>
        <v>2015</v>
      </c>
      <c r="H281" s="437">
        <f t="shared" si="9"/>
        <v>3</v>
      </c>
      <c r="I281" s="607">
        <v>20</v>
      </c>
      <c r="J281" s="607">
        <v>1.804</v>
      </c>
      <c r="K281" s="607">
        <v>0</v>
      </c>
      <c r="L281" s="608">
        <v>1.804</v>
      </c>
      <c r="M281" s="609">
        <v>6470</v>
      </c>
      <c r="N281" s="607">
        <v>2.8000000000000001E-2</v>
      </c>
      <c r="O281" s="607">
        <v>1.835</v>
      </c>
      <c r="P281" s="607">
        <v>0</v>
      </c>
    </row>
    <row r="282" spans="4:16">
      <c r="D282" s="602" t="s">
        <v>551</v>
      </c>
      <c r="E282" s="605" t="s">
        <v>898</v>
      </c>
      <c r="F282" s="606">
        <v>42103</v>
      </c>
      <c r="G282" s="437">
        <f t="shared" si="8"/>
        <v>2015</v>
      </c>
      <c r="H282" s="437">
        <f t="shared" si="9"/>
        <v>4</v>
      </c>
      <c r="I282" s="607">
        <v>12</v>
      </c>
      <c r="J282" s="607">
        <v>1.3939999999999999</v>
      </c>
      <c r="K282" s="607">
        <v>0</v>
      </c>
      <c r="L282" s="608">
        <v>1.3939999999999999</v>
      </c>
      <c r="M282" s="609">
        <v>5914</v>
      </c>
      <c r="N282" s="607">
        <v>2.4E-2</v>
      </c>
      <c r="O282" s="607">
        <v>1.415</v>
      </c>
      <c r="P282" s="607">
        <v>0</v>
      </c>
    </row>
    <row r="283" spans="4:16">
      <c r="D283" s="602" t="s">
        <v>551</v>
      </c>
      <c r="E283" s="605" t="s">
        <v>898</v>
      </c>
      <c r="F283" s="606">
        <v>42152</v>
      </c>
      <c r="G283" s="437">
        <f t="shared" si="8"/>
        <v>2015</v>
      </c>
      <c r="H283" s="437">
        <f t="shared" si="9"/>
        <v>5</v>
      </c>
      <c r="I283" s="607">
        <v>16</v>
      </c>
      <c r="J283" s="607">
        <v>1.649</v>
      </c>
      <c r="K283" s="607">
        <v>0</v>
      </c>
      <c r="L283" s="608">
        <v>1.649</v>
      </c>
      <c r="M283" s="609">
        <v>6837</v>
      </c>
      <c r="N283" s="607">
        <v>2.4E-2</v>
      </c>
      <c r="O283" s="607">
        <v>1.671</v>
      </c>
      <c r="P283" s="607">
        <v>0</v>
      </c>
    </row>
    <row r="284" spans="4:16">
      <c r="D284" s="602" t="s">
        <v>551</v>
      </c>
      <c r="E284" s="605" t="s">
        <v>898</v>
      </c>
      <c r="F284" s="606">
        <v>42164</v>
      </c>
      <c r="G284" s="437">
        <f t="shared" si="8"/>
        <v>2015</v>
      </c>
      <c r="H284" s="437">
        <f t="shared" si="9"/>
        <v>6</v>
      </c>
      <c r="I284" s="607">
        <v>17</v>
      </c>
      <c r="J284" s="607">
        <v>2.5619999999999998</v>
      </c>
      <c r="K284" s="607">
        <v>0</v>
      </c>
      <c r="L284" s="608">
        <v>2.5619999999999998</v>
      </c>
      <c r="M284" s="609">
        <v>8136</v>
      </c>
      <c r="N284" s="607">
        <v>3.1E-2</v>
      </c>
      <c r="O284" s="607">
        <v>2.5950000000000002</v>
      </c>
      <c r="P284" s="607">
        <v>0</v>
      </c>
    </row>
    <row r="285" spans="4:16">
      <c r="D285" s="602" t="s">
        <v>551</v>
      </c>
      <c r="E285" s="605" t="s">
        <v>898</v>
      </c>
      <c r="F285" s="606">
        <v>42212</v>
      </c>
      <c r="G285" s="437">
        <f t="shared" si="8"/>
        <v>2015</v>
      </c>
      <c r="H285" s="437">
        <f t="shared" si="9"/>
        <v>7</v>
      </c>
      <c r="I285" s="607">
        <v>17</v>
      </c>
      <c r="J285" s="607">
        <v>2.6629999999999998</v>
      </c>
      <c r="K285" s="607">
        <v>0</v>
      </c>
      <c r="L285" s="608">
        <v>2.6629999999999998</v>
      </c>
      <c r="M285" s="609">
        <v>8769</v>
      </c>
      <c r="N285" s="607">
        <v>0.03</v>
      </c>
      <c r="O285" s="607">
        <v>2.702</v>
      </c>
      <c r="P285" s="607">
        <v>0</v>
      </c>
    </row>
    <row r="286" spans="4:16">
      <c r="D286" s="602" t="s">
        <v>551</v>
      </c>
      <c r="E286" s="605" t="s">
        <v>898</v>
      </c>
      <c r="F286" s="606">
        <v>42230</v>
      </c>
      <c r="G286" s="437">
        <f t="shared" si="8"/>
        <v>2015</v>
      </c>
      <c r="H286" s="437">
        <f t="shared" si="9"/>
        <v>8</v>
      </c>
      <c r="I286" s="607">
        <v>16</v>
      </c>
      <c r="J286" s="607">
        <v>2.9359999999999999</v>
      </c>
      <c r="K286" s="607">
        <v>0</v>
      </c>
      <c r="L286" s="608">
        <v>2.9359999999999999</v>
      </c>
      <c r="M286" s="609">
        <v>8926</v>
      </c>
      <c r="N286" s="607">
        <v>3.3000000000000002E-2</v>
      </c>
      <c r="O286" s="607">
        <v>2.9809999999999999</v>
      </c>
      <c r="P286" s="607">
        <v>0</v>
      </c>
    </row>
    <row r="287" spans="4:16">
      <c r="D287" s="602" t="s">
        <v>551</v>
      </c>
      <c r="E287" s="605" t="s">
        <v>898</v>
      </c>
      <c r="F287" s="606">
        <v>42250</v>
      </c>
      <c r="G287" s="437">
        <f t="shared" si="8"/>
        <v>2015</v>
      </c>
      <c r="H287" s="437">
        <f t="shared" si="9"/>
        <v>9</v>
      </c>
      <c r="I287" s="607">
        <v>17</v>
      </c>
      <c r="J287" s="607">
        <v>2.48</v>
      </c>
      <c r="K287" s="607">
        <v>0</v>
      </c>
      <c r="L287" s="608">
        <v>2.48</v>
      </c>
      <c r="M287" s="609">
        <v>8657</v>
      </c>
      <c r="N287" s="607">
        <v>2.9000000000000001E-2</v>
      </c>
      <c r="O287" s="607">
        <v>3.109</v>
      </c>
      <c r="P287" s="607">
        <v>0</v>
      </c>
    </row>
    <row r="288" spans="4:16">
      <c r="D288" s="602" t="s">
        <v>551</v>
      </c>
      <c r="E288" s="605" t="s">
        <v>898</v>
      </c>
      <c r="F288" s="606">
        <v>42285</v>
      </c>
      <c r="G288" s="437">
        <f t="shared" si="8"/>
        <v>2015</v>
      </c>
      <c r="H288" s="437">
        <f t="shared" si="9"/>
        <v>10</v>
      </c>
      <c r="I288" s="607">
        <v>12</v>
      </c>
      <c r="J288" s="607">
        <v>1.3240000000000001</v>
      </c>
      <c r="K288" s="607">
        <v>0</v>
      </c>
      <c r="L288" s="608">
        <v>1.3240000000000001</v>
      </c>
      <c r="M288" s="609">
        <v>5943</v>
      </c>
      <c r="N288" s="607">
        <v>2.1999999999999999E-2</v>
      </c>
      <c r="O288" s="607">
        <v>1.3420000000000001</v>
      </c>
      <c r="P288" s="607">
        <v>0</v>
      </c>
    </row>
    <row r="289" spans="4:16">
      <c r="D289" s="601" t="s">
        <v>551</v>
      </c>
      <c r="E289" s="610" t="s">
        <v>898</v>
      </c>
      <c r="F289" s="611">
        <v>42338</v>
      </c>
      <c r="G289" s="612">
        <f t="shared" si="8"/>
        <v>2015</v>
      </c>
      <c r="H289" s="612">
        <f t="shared" si="9"/>
        <v>11</v>
      </c>
      <c r="I289" s="613">
        <v>18</v>
      </c>
      <c r="J289" s="613">
        <v>1.907</v>
      </c>
      <c r="K289" s="613">
        <v>0</v>
      </c>
      <c r="L289" s="614">
        <v>1.907</v>
      </c>
      <c r="M289" s="615">
        <v>6574</v>
      </c>
      <c r="N289" s="613">
        <v>2.9000000000000001E-2</v>
      </c>
      <c r="O289" s="613">
        <v>1.9350000000000001</v>
      </c>
      <c r="P289" s="613">
        <v>0</v>
      </c>
    </row>
    <row r="290" spans="4:16">
      <c r="D290" s="602" t="s">
        <v>551</v>
      </c>
      <c r="E290" s="602" t="s">
        <v>898</v>
      </c>
      <c r="F290" s="616">
        <v>42355</v>
      </c>
      <c r="G290" s="617">
        <f t="shared" si="8"/>
        <v>2015</v>
      </c>
      <c r="H290" s="617">
        <f t="shared" si="9"/>
        <v>12</v>
      </c>
      <c r="I290" s="602">
        <v>18</v>
      </c>
      <c r="J290" s="602">
        <v>1.883</v>
      </c>
      <c r="K290" s="602">
        <v>0</v>
      </c>
      <c r="L290" s="618">
        <v>1.883</v>
      </c>
      <c r="M290" s="619">
        <v>6450</v>
      </c>
      <c r="N290" s="602">
        <v>2.9000000000000001E-2</v>
      </c>
      <c r="O290" s="602">
        <v>1.9119999999999999</v>
      </c>
      <c r="P290" s="602">
        <v>0</v>
      </c>
    </row>
    <row r="291" spans="4:16">
      <c r="D291" s="602" t="s">
        <v>551</v>
      </c>
      <c r="E291" s="620" t="s">
        <v>899</v>
      </c>
      <c r="F291" s="621">
        <v>40927</v>
      </c>
      <c r="G291" s="617">
        <f t="shared" si="8"/>
        <v>2012</v>
      </c>
      <c r="H291" s="617">
        <f t="shared" si="9"/>
        <v>1</v>
      </c>
      <c r="I291" s="620">
        <v>19</v>
      </c>
      <c r="J291" s="620">
        <v>5.4589999999999996</v>
      </c>
      <c r="K291" s="620">
        <v>0</v>
      </c>
      <c r="L291" s="622">
        <v>5.4589999999999996</v>
      </c>
      <c r="M291" s="620">
        <v>6604</v>
      </c>
      <c r="N291" s="623">
        <v>8.0000000000000004E-4</v>
      </c>
      <c r="O291" s="620">
        <v>5.5469999999999997</v>
      </c>
      <c r="P291" s="620">
        <v>0</v>
      </c>
    </row>
    <row r="292" spans="4:16">
      <c r="D292" s="602" t="s">
        <v>551</v>
      </c>
      <c r="E292" s="620" t="s">
        <v>899</v>
      </c>
      <c r="F292" s="621">
        <v>40967</v>
      </c>
      <c r="G292" s="617">
        <f t="shared" si="8"/>
        <v>2012</v>
      </c>
      <c r="H292" s="617">
        <f t="shared" si="9"/>
        <v>2</v>
      </c>
      <c r="I292" s="620">
        <v>19</v>
      </c>
      <c r="J292" s="620">
        <v>5.0599999999999996</v>
      </c>
      <c r="K292" s="620">
        <v>0</v>
      </c>
      <c r="L292" s="622">
        <v>5.0599999999999996</v>
      </c>
      <c r="M292" s="620">
        <v>6178</v>
      </c>
      <c r="N292" s="623">
        <v>8.0000000000000004E-4</v>
      </c>
      <c r="O292" s="620">
        <v>5.1180000000000003</v>
      </c>
      <c r="P292" s="620">
        <v>0</v>
      </c>
    </row>
    <row r="293" spans="4:16">
      <c r="D293" s="602" t="s">
        <v>551</v>
      </c>
      <c r="E293" s="620" t="s">
        <v>899</v>
      </c>
      <c r="F293" s="621">
        <v>40987</v>
      </c>
      <c r="G293" s="617">
        <f t="shared" si="8"/>
        <v>2012</v>
      </c>
      <c r="H293" s="617">
        <f t="shared" si="9"/>
        <v>3</v>
      </c>
      <c r="I293" s="620">
        <v>14</v>
      </c>
      <c r="J293" s="620">
        <v>4.117</v>
      </c>
      <c r="K293" s="620">
        <v>0</v>
      </c>
      <c r="L293" s="622">
        <v>4.117</v>
      </c>
      <c r="M293" s="620">
        <v>6170</v>
      </c>
      <c r="N293" s="623">
        <v>6.9999999999999999E-4</v>
      </c>
      <c r="O293" s="620">
        <v>4.1520000000000001</v>
      </c>
      <c r="P293" s="620">
        <v>0</v>
      </c>
    </row>
    <row r="294" spans="4:16">
      <c r="D294" s="602" t="s">
        <v>551</v>
      </c>
      <c r="E294" s="620" t="s">
        <v>899</v>
      </c>
      <c r="F294" s="621">
        <v>41024</v>
      </c>
      <c r="G294" s="617">
        <f t="shared" si="8"/>
        <v>2012</v>
      </c>
      <c r="H294" s="617">
        <f t="shared" si="9"/>
        <v>4</v>
      </c>
      <c r="I294" s="620">
        <v>15</v>
      </c>
      <c r="J294" s="620">
        <v>3.9140000000000001</v>
      </c>
      <c r="K294" s="620">
        <v>0</v>
      </c>
      <c r="L294" s="622">
        <v>3.9140000000000001</v>
      </c>
      <c r="M294" s="620">
        <v>5813</v>
      </c>
      <c r="N294" s="623">
        <v>6.9999999999999999E-4</v>
      </c>
      <c r="O294" s="620">
        <v>3.9569999999999999</v>
      </c>
      <c r="P294" s="620">
        <v>0</v>
      </c>
    </row>
    <row r="295" spans="4:16">
      <c r="D295" s="602" t="s">
        <v>551</v>
      </c>
      <c r="E295" s="620" t="s">
        <v>899</v>
      </c>
      <c r="F295" s="621">
        <v>41047</v>
      </c>
      <c r="G295" s="617">
        <f t="shared" si="8"/>
        <v>2012</v>
      </c>
      <c r="H295" s="617">
        <f t="shared" si="9"/>
        <v>5</v>
      </c>
      <c r="I295" s="620">
        <v>17</v>
      </c>
      <c r="J295" s="620">
        <v>5.7140000000000004</v>
      </c>
      <c r="K295" s="620">
        <v>0</v>
      </c>
      <c r="L295" s="622">
        <v>5.7140000000000004</v>
      </c>
      <c r="M295" s="620">
        <v>7203</v>
      </c>
      <c r="N295" s="623">
        <v>8.0000000000000004E-4</v>
      </c>
      <c r="O295" s="620">
        <v>5.76</v>
      </c>
      <c r="P295" s="620">
        <v>0</v>
      </c>
    </row>
    <row r="296" spans="4:16">
      <c r="D296" s="602" t="s">
        <v>551</v>
      </c>
      <c r="E296" s="620" t="s">
        <v>899</v>
      </c>
      <c r="F296" s="621">
        <v>41087</v>
      </c>
      <c r="G296" s="617">
        <f t="shared" si="8"/>
        <v>2012</v>
      </c>
      <c r="H296" s="617">
        <f t="shared" si="9"/>
        <v>6</v>
      </c>
      <c r="I296" s="620">
        <v>17</v>
      </c>
      <c r="J296" s="620">
        <v>8.766</v>
      </c>
      <c r="K296" s="620">
        <v>0</v>
      </c>
      <c r="L296" s="622">
        <v>8.766</v>
      </c>
      <c r="M296" s="620">
        <v>8833</v>
      </c>
      <c r="N296" s="623">
        <v>1E-3</v>
      </c>
      <c r="O296" s="620">
        <v>8.8659999999999997</v>
      </c>
      <c r="P296" s="620">
        <v>0</v>
      </c>
    </row>
    <row r="297" spans="4:16">
      <c r="D297" s="602" t="s">
        <v>551</v>
      </c>
      <c r="E297" s="620" t="s">
        <v>899</v>
      </c>
      <c r="F297" s="621">
        <v>41092</v>
      </c>
      <c r="G297" s="617">
        <f t="shared" si="8"/>
        <v>2012</v>
      </c>
      <c r="H297" s="617">
        <f t="shared" si="9"/>
        <v>7</v>
      </c>
      <c r="I297" s="620">
        <v>17</v>
      </c>
      <c r="J297" s="620">
        <v>9.3569999999999993</v>
      </c>
      <c r="K297" s="620">
        <v>0</v>
      </c>
      <c r="L297" s="622">
        <v>9.3569999999999993</v>
      </c>
      <c r="M297" s="620">
        <v>9682</v>
      </c>
      <c r="N297" s="623">
        <v>1E-3</v>
      </c>
      <c r="O297" s="620">
        <v>9.4459999999999997</v>
      </c>
      <c r="P297" s="620">
        <v>0</v>
      </c>
    </row>
    <row r="298" spans="4:16">
      <c r="D298" s="602" t="s">
        <v>551</v>
      </c>
      <c r="E298" s="620" t="s">
        <v>899</v>
      </c>
      <c r="F298" s="621">
        <v>41122</v>
      </c>
      <c r="G298" s="617">
        <f t="shared" si="8"/>
        <v>2012</v>
      </c>
      <c r="H298" s="617">
        <f t="shared" si="9"/>
        <v>8</v>
      </c>
      <c r="I298" s="620">
        <v>17</v>
      </c>
      <c r="J298" s="620">
        <v>8.5210000000000008</v>
      </c>
      <c r="K298" s="620">
        <v>0</v>
      </c>
      <c r="L298" s="622">
        <v>8.5210000000000008</v>
      </c>
      <c r="M298" s="620">
        <v>8979</v>
      </c>
      <c r="N298" s="623">
        <v>8.9999999999999998E-4</v>
      </c>
      <c r="O298" s="620">
        <v>8.6029999999999998</v>
      </c>
      <c r="P298" s="620">
        <v>0</v>
      </c>
    </row>
    <row r="299" spans="4:16">
      <c r="D299" s="602" t="s">
        <v>551</v>
      </c>
      <c r="E299" s="620" t="s">
        <v>899</v>
      </c>
      <c r="F299" s="621">
        <v>41156</v>
      </c>
      <c r="G299" s="617">
        <f t="shared" si="8"/>
        <v>2012</v>
      </c>
      <c r="H299" s="617">
        <f t="shared" si="9"/>
        <v>9</v>
      </c>
      <c r="I299" s="620">
        <v>16</v>
      </c>
      <c r="J299" s="620">
        <v>8.1349999999999998</v>
      </c>
      <c r="K299" s="620">
        <v>0</v>
      </c>
      <c r="L299" s="622">
        <v>8.1349999999999998</v>
      </c>
      <c r="M299" s="620">
        <v>8521</v>
      </c>
      <c r="N299" s="623">
        <v>1E-3</v>
      </c>
      <c r="O299" s="620">
        <v>8.2560000000000002</v>
      </c>
      <c r="P299" s="620">
        <v>0</v>
      </c>
    </row>
    <row r="300" spans="4:16">
      <c r="D300" s="602" t="s">
        <v>551</v>
      </c>
      <c r="E300" s="620" t="s">
        <v>899</v>
      </c>
      <c r="F300" s="621">
        <v>41185</v>
      </c>
      <c r="G300" s="617">
        <f t="shared" si="8"/>
        <v>2012</v>
      </c>
      <c r="H300" s="617">
        <f t="shared" si="9"/>
        <v>10</v>
      </c>
      <c r="I300" s="620">
        <v>14</v>
      </c>
      <c r="J300" s="620">
        <v>4.0270000000000001</v>
      </c>
      <c r="K300" s="620">
        <v>0</v>
      </c>
      <c r="L300" s="622">
        <v>4.0270000000000001</v>
      </c>
      <c r="M300" s="620">
        <v>6122</v>
      </c>
      <c r="N300" s="623">
        <v>6.9999999999999999E-4</v>
      </c>
      <c r="O300" s="620">
        <v>4.0590000000000002</v>
      </c>
      <c r="P300" s="620">
        <v>0</v>
      </c>
    </row>
    <row r="301" spans="4:16">
      <c r="D301" s="602" t="s">
        <v>551</v>
      </c>
      <c r="E301" s="620" t="s">
        <v>899</v>
      </c>
      <c r="F301" s="621">
        <v>41239</v>
      </c>
      <c r="G301" s="617">
        <f t="shared" si="8"/>
        <v>2012</v>
      </c>
      <c r="H301" s="617">
        <f t="shared" si="9"/>
        <v>11</v>
      </c>
      <c r="I301" s="620">
        <v>18</v>
      </c>
      <c r="J301" s="620">
        <v>5.2889999999999997</v>
      </c>
      <c r="K301" s="620">
        <v>0</v>
      </c>
      <c r="L301" s="622">
        <v>5.2889999999999997</v>
      </c>
      <c r="M301" s="620">
        <v>6416</v>
      </c>
      <c r="N301" s="623">
        <v>8.0000000000000004E-4</v>
      </c>
      <c r="O301" s="620">
        <v>5.407</v>
      </c>
      <c r="P301" s="620">
        <v>0</v>
      </c>
    </row>
    <row r="302" spans="4:16">
      <c r="D302" s="602" t="s">
        <v>551</v>
      </c>
      <c r="E302" s="620" t="s">
        <v>899</v>
      </c>
      <c r="F302" s="621">
        <v>41253</v>
      </c>
      <c r="G302" s="617">
        <f t="shared" si="8"/>
        <v>2012</v>
      </c>
      <c r="H302" s="617">
        <f t="shared" si="9"/>
        <v>12</v>
      </c>
      <c r="I302" s="620">
        <v>18</v>
      </c>
      <c r="J302" s="620">
        <v>5.4589999999999996</v>
      </c>
      <c r="K302" s="620">
        <v>0</v>
      </c>
      <c r="L302" s="622">
        <v>5.4589999999999996</v>
      </c>
      <c r="M302" s="620">
        <v>6609</v>
      </c>
      <c r="N302" s="623">
        <v>8.0000000000000004E-4</v>
      </c>
      <c r="O302" s="620">
        <v>5.56</v>
      </c>
      <c r="P302" s="620">
        <v>0</v>
      </c>
    </row>
    <row r="303" spans="4:16">
      <c r="D303" s="602" t="s">
        <v>551</v>
      </c>
      <c r="E303" s="620" t="s">
        <v>899</v>
      </c>
      <c r="F303" s="621">
        <v>41295</v>
      </c>
      <c r="G303" s="617">
        <f t="shared" si="8"/>
        <v>2013</v>
      </c>
      <c r="H303" s="617">
        <f t="shared" si="9"/>
        <v>1</v>
      </c>
      <c r="I303" s="620">
        <v>19</v>
      </c>
      <c r="J303" s="620">
        <v>5.8559999999999999</v>
      </c>
      <c r="K303" s="620">
        <v>0</v>
      </c>
      <c r="L303" s="622">
        <v>5.8559999999999999</v>
      </c>
      <c r="M303" s="620">
        <v>6846</v>
      </c>
      <c r="N303" s="623">
        <v>8.9999999999999998E-4</v>
      </c>
      <c r="O303" s="620">
        <v>5.9569999999999999</v>
      </c>
      <c r="P303" s="620">
        <v>0</v>
      </c>
    </row>
    <row r="304" spans="4:16">
      <c r="D304" s="602" t="s">
        <v>551</v>
      </c>
      <c r="E304" s="620" t="s">
        <v>899</v>
      </c>
      <c r="F304" s="621">
        <v>41324</v>
      </c>
      <c r="G304" s="617">
        <f t="shared" si="8"/>
        <v>2013</v>
      </c>
      <c r="H304" s="617">
        <f t="shared" si="9"/>
        <v>2</v>
      </c>
      <c r="I304" s="620">
        <v>19</v>
      </c>
      <c r="J304" s="620">
        <v>5.4690000000000003</v>
      </c>
      <c r="K304" s="620">
        <v>0</v>
      </c>
      <c r="L304" s="622">
        <v>5.4690000000000003</v>
      </c>
      <c r="M304" s="620">
        <v>6511</v>
      </c>
      <c r="N304" s="623">
        <v>8.0000000000000004E-4</v>
      </c>
      <c r="O304" s="620">
        <v>5.5750000000000002</v>
      </c>
      <c r="P304" s="620">
        <v>0</v>
      </c>
    </row>
    <row r="305" spans="4:16">
      <c r="D305" s="602" t="s">
        <v>551</v>
      </c>
      <c r="E305" s="620" t="s">
        <v>899</v>
      </c>
      <c r="F305" s="621">
        <v>41337</v>
      </c>
      <c r="G305" s="617">
        <f t="shared" si="8"/>
        <v>2013</v>
      </c>
      <c r="H305" s="617">
        <f t="shared" si="9"/>
        <v>3</v>
      </c>
      <c r="I305" s="620">
        <v>19</v>
      </c>
      <c r="J305" s="620">
        <v>4.9210000000000003</v>
      </c>
      <c r="K305" s="620">
        <v>0</v>
      </c>
      <c r="L305" s="622">
        <v>4.9210000000000003</v>
      </c>
      <c r="M305" s="620">
        <v>6172</v>
      </c>
      <c r="N305" s="623">
        <v>8.0000000000000004E-4</v>
      </c>
      <c r="O305" s="620">
        <v>5.024</v>
      </c>
      <c r="P305" s="620">
        <v>0</v>
      </c>
    </row>
    <row r="306" spans="4:16">
      <c r="D306" s="602" t="s">
        <v>551</v>
      </c>
      <c r="E306" s="620" t="s">
        <v>899</v>
      </c>
      <c r="F306" s="621">
        <v>41382</v>
      </c>
      <c r="G306" s="617">
        <f t="shared" si="8"/>
        <v>2013</v>
      </c>
      <c r="H306" s="617">
        <f t="shared" si="9"/>
        <v>4</v>
      </c>
      <c r="I306" s="620">
        <v>12</v>
      </c>
      <c r="J306" s="620">
        <v>4.0140000000000002</v>
      </c>
      <c r="K306" s="620">
        <v>0</v>
      </c>
      <c r="L306" s="622">
        <v>4.0140000000000002</v>
      </c>
      <c r="M306" s="620">
        <v>5851</v>
      </c>
      <c r="N306" s="623">
        <v>6.9999999999999999E-4</v>
      </c>
      <c r="O306" s="620">
        <v>4.0810000000000004</v>
      </c>
      <c r="P306" s="620">
        <v>0</v>
      </c>
    </row>
    <row r="307" spans="4:16">
      <c r="D307" s="602" t="s">
        <v>551</v>
      </c>
      <c r="E307" s="620" t="s">
        <v>899</v>
      </c>
      <c r="F307" s="621">
        <v>41408</v>
      </c>
      <c r="G307" s="617">
        <f t="shared" si="8"/>
        <v>2013</v>
      </c>
      <c r="H307" s="617">
        <f t="shared" si="9"/>
        <v>5</v>
      </c>
      <c r="I307" s="620">
        <v>17</v>
      </c>
      <c r="J307" s="620">
        <v>4.8659999999999997</v>
      </c>
      <c r="K307" s="620">
        <v>0</v>
      </c>
      <c r="L307" s="622">
        <v>4.8659999999999997</v>
      </c>
      <c r="M307" s="620">
        <v>6516</v>
      </c>
      <c r="N307" s="623">
        <v>6.9999999999999999E-4</v>
      </c>
      <c r="O307" s="620">
        <v>4.9279999999999999</v>
      </c>
      <c r="P307" s="620">
        <v>0</v>
      </c>
    </row>
    <row r="308" spans="4:16">
      <c r="D308" s="602" t="s">
        <v>551</v>
      </c>
      <c r="E308" s="620" t="s">
        <v>899</v>
      </c>
      <c r="F308" s="621">
        <v>41451</v>
      </c>
      <c r="G308" s="617">
        <f t="shared" si="8"/>
        <v>2013</v>
      </c>
      <c r="H308" s="617">
        <f t="shared" si="9"/>
        <v>6</v>
      </c>
      <c r="I308" s="620">
        <v>16</v>
      </c>
      <c r="J308" s="620">
        <v>4.9870000000000001</v>
      </c>
      <c r="K308" s="620">
        <v>0</v>
      </c>
      <c r="L308" s="622">
        <v>4.9870000000000001</v>
      </c>
      <c r="M308" s="620">
        <v>8280</v>
      </c>
      <c r="N308" s="623">
        <v>5.9999999999999995E-4</v>
      </c>
      <c r="O308" s="620">
        <v>7.0010000000000003</v>
      </c>
      <c r="P308" s="620">
        <v>0</v>
      </c>
    </row>
    <row r="309" spans="4:16">
      <c r="D309" s="602" t="s">
        <v>551</v>
      </c>
      <c r="E309" s="620" t="s">
        <v>899</v>
      </c>
      <c r="F309" s="621">
        <v>41473</v>
      </c>
      <c r="G309" s="617">
        <f t="shared" si="8"/>
        <v>2013</v>
      </c>
      <c r="H309" s="617">
        <f t="shared" si="9"/>
        <v>7</v>
      </c>
      <c r="I309" s="620">
        <v>17</v>
      </c>
      <c r="J309" s="620">
        <v>4.6420000000000003</v>
      </c>
      <c r="K309" s="620">
        <v>0</v>
      </c>
      <c r="L309" s="622">
        <v>4.6420000000000003</v>
      </c>
      <c r="M309" s="620">
        <v>9566</v>
      </c>
      <c r="N309" s="623">
        <v>5.0000000000000001E-4</v>
      </c>
      <c r="O309" s="620">
        <v>9.24</v>
      </c>
      <c r="P309" s="620">
        <v>0</v>
      </c>
    </row>
    <row r="310" spans="4:16">
      <c r="D310" s="602" t="s">
        <v>551</v>
      </c>
      <c r="E310" s="620" t="s">
        <v>899</v>
      </c>
      <c r="F310" s="621">
        <v>41512</v>
      </c>
      <c r="G310" s="617">
        <f t="shared" si="8"/>
        <v>2013</v>
      </c>
      <c r="H310" s="617">
        <f t="shared" si="9"/>
        <v>8</v>
      </c>
      <c r="I310" s="620">
        <v>17</v>
      </c>
      <c r="J310" s="620">
        <v>9.2859999999999996</v>
      </c>
      <c r="K310" s="620">
        <v>0</v>
      </c>
      <c r="L310" s="622">
        <v>9.2859999999999996</v>
      </c>
      <c r="M310" s="620">
        <v>9821</v>
      </c>
      <c r="N310" s="623">
        <v>8.9999999999999998E-4</v>
      </c>
      <c r="O310" s="620">
        <v>9.3689999999999998</v>
      </c>
      <c r="P310" s="620">
        <v>0</v>
      </c>
    </row>
    <row r="311" spans="4:16">
      <c r="D311" s="602" t="s">
        <v>551</v>
      </c>
      <c r="E311" s="620" t="s">
        <v>899</v>
      </c>
      <c r="F311" s="621">
        <v>41526</v>
      </c>
      <c r="G311" s="617">
        <f t="shared" si="8"/>
        <v>2013</v>
      </c>
      <c r="H311" s="617">
        <f t="shared" si="9"/>
        <v>9</v>
      </c>
      <c r="I311" s="620">
        <v>17</v>
      </c>
      <c r="J311" s="620">
        <v>8.6739999999999995</v>
      </c>
      <c r="K311" s="620">
        <v>0</v>
      </c>
      <c r="L311" s="622">
        <v>8.6739999999999995</v>
      </c>
      <c r="M311" s="620">
        <v>8781</v>
      </c>
      <c r="N311" s="623">
        <v>1E-3</v>
      </c>
      <c r="O311" s="620">
        <v>8.766</v>
      </c>
      <c r="P311" s="620">
        <v>0</v>
      </c>
    </row>
    <row r="312" spans="4:16">
      <c r="D312" s="602" t="s">
        <v>551</v>
      </c>
      <c r="E312" s="620" t="s">
        <v>899</v>
      </c>
      <c r="F312" s="621">
        <v>41548</v>
      </c>
      <c r="G312" s="617">
        <f t="shared" si="8"/>
        <v>2013</v>
      </c>
      <c r="H312" s="617">
        <f t="shared" si="9"/>
        <v>10</v>
      </c>
      <c r="I312" s="620">
        <v>14</v>
      </c>
      <c r="J312" s="620">
        <v>4.1669999999999998</v>
      </c>
      <c r="K312" s="620">
        <v>0</v>
      </c>
      <c r="L312" s="622">
        <v>4.1669999999999998</v>
      </c>
      <c r="M312" s="620">
        <v>6214</v>
      </c>
      <c r="N312" s="623">
        <v>6.9999999999999999E-4</v>
      </c>
      <c r="O312" s="620">
        <v>4.4009999999999998</v>
      </c>
      <c r="P312" s="620">
        <v>0</v>
      </c>
    </row>
    <row r="313" spans="4:16">
      <c r="D313" s="602" t="s">
        <v>551</v>
      </c>
      <c r="E313" s="620" t="s">
        <v>899</v>
      </c>
      <c r="F313" s="621">
        <v>41604</v>
      </c>
      <c r="G313" s="617">
        <f t="shared" si="8"/>
        <v>2013</v>
      </c>
      <c r="H313" s="617">
        <f t="shared" si="9"/>
        <v>11</v>
      </c>
      <c r="I313" s="620">
        <v>18</v>
      </c>
      <c r="J313" s="620">
        <v>5.1920000000000002</v>
      </c>
      <c r="K313" s="620">
        <v>0</v>
      </c>
      <c r="L313" s="622">
        <v>5.1920000000000002</v>
      </c>
      <c r="M313" s="620">
        <v>6372</v>
      </c>
      <c r="N313" s="623">
        <v>8.0000000000000004E-4</v>
      </c>
      <c r="O313" s="620">
        <v>5.2779999999999996</v>
      </c>
      <c r="P313" s="620">
        <v>0</v>
      </c>
    </row>
    <row r="314" spans="4:16">
      <c r="D314" s="602" t="s">
        <v>551</v>
      </c>
      <c r="E314" s="620" t="s">
        <v>899</v>
      </c>
      <c r="F314" s="621">
        <v>41619</v>
      </c>
      <c r="G314" s="617">
        <f t="shared" si="8"/>
        <v>2013</v>
      </c>
      <c r="H314" s="617">
        <f t="shared" si="9"/>
        <v>12</v>
      </c>
      <c r="I314" s="620">
        <v>18</v>
      </c>
      <c r="J314" s="620">
        <v>5.6970000000000001</v>
      </c>
      <c r="K314" s="620">
        <v>0</v>
      </c>
      <c r="L314" s="622">
        <v>5.6970000000000001</v>
      </c>
      <c r="M314" s="620">
        <v>6972</v>
      </c>
      <c r="N314" s="623">
        <v>8.0000000000000004E-4</v>
      </c>
      <c r="O314" s="620">
        <v>5.7990000000000004</v>
      </c>
      <c r="P314" s="620">
        <v>0</v>
      </c>
    </row>
    <row r="315" spans="4:16">
      <c r="D315" s="602" t="s">
        <v>551</v>
      </c>
      <c r="E315" s="602" t="s">
        <v>899</v>
      </c>
      <c r="F315" s="616">
        <v>41645</v>
      </c>
      <c r="G315" s="617">
        <f t="shared" si="8"/>
        <v>2014</v>
      </c>
      <c r="H315" s="617">
        <f t="shared" si="9"/>
        <v>1</v>
      </c>
      <c r="I315" s="602">
        <v>18</v>
      </c>
      <c r="J315" s="602">
        <v>6.1189999999999998</v>
      </c>
      <c r="K315" s="602">
        <v>0</v>
      </c>
      <c r="L315" s="618">
        <v>6.1189999999999998</v>
      </c>
      <c r="M315" s="619">
        <v>7188</v>
      </c>
      <c r="N315" s="602">
        <v>8.5000000000000006E-2</v>
      </c>
      <c r="O315" s="602">
        <v>6.24</v>
      </c>
      <c r="P315" s="602">
        <v>0</v>
      </c>
    </row>
    <row r="316" spans="4:16">
      <c r="D316" s="602" t="s">
        <v>551</v>
      </c>
      <c r="E316" s="602" t="s">
        <v>899</v>
      </c>
      <c r="F316" s="616">
        <v>41676</v>
      </c>
      <c r="G316" s="617">
        <f t="shared" si="8"/>
        <v>2014</v>
      </c>
      <c r="H316" s="617">
        <f t="shared" si="9"/>
        <v>2</v>
      </c>
      <c r="I316" s="602">
        <v>19</v>
      </c>
      <c r="J316" s="602">
        <v>5.4370000000000003</v>
      </c>
      <c r="K316" s="602">
        <v>0</v>
      </c>
      <c r="L316" s="618">
        <v>5.4370000000000003</v>
      </c>
      <c r="M316" s="619">
        <v>6743</v>
      </c>
      <c r="N316" s="602">
        <v>8.1000000000000003E-2</v>
      </c>
      <c r="O316" s="602">
        <v>5.54</v>
      </c>
      <c r="P316" s="602">
        <v>0</v>
      </c>
    </row>
    <row r="317" spans="4:16">
      <c r="D317" s="602" t="s">
        <v>551</v>
      </c>
      <c r="E317" s="602" t="s">
        <v>899</v>
      </c>
      <c r="F317" s="616">
        <v>41701</v>
      </c>
      <c r="G317" s="617">
        <f t="shared" si="8"/>
        <v>2014</v>
      </c>
      <c r="H317" s="617">
        <f t="shared" si="9"/>
        <v>3</v>
      </c>
      <c r="I317" s="602">
        <v>19</v>
      </c>
      <c r="J317" s="602">
        <v>5.3529999999999998</v>
      </c>
      <c r="K317" s="602">
        <v>0</v>
      </c>
      <c r="L317" s="618">
        <v>5.3529999999999998</v>
      </c>
      <c r="M317" s="619">
        <v>6537</v>
      </c>
      <c r="N317" s="602">
        <v>8.2000000000000003E-2</v>
      </c>
      <c r="O317" s="602">
        <v>5.4569999999999999</v>
      </c>
      <c r="P317" s="602">
        <v>0</v>
      </c>
    </row>
    <row r="318" spans="4:16">
      <c r="D318" s="602" t="s">
        <v>551</v>
      </c>
      <c r="E318" s="602" t="s">
        <v>899</v>
      </c>
      <c r="F318" s="616">
        <v>41730</v>
      </c>
      <c r="G318" s="617">
        <f t="shared" si="8"/>
        <v>2014</v>
      </c>
      <c r="H318" s="617">
        <f t="shared" si="9"/>
        <v>4</v>
      </c>
      <c r="I318" s="602">
        <v>11</v>
      </c>
      <c r="J318" s="602">
        <v>4.0419999999999998</v>
      </c>
      <c r="K318" s="602">
        <v>0</v>
      </c>
      <c r="L318" s="618">
        <v>4.0419999999999998</v>
      </c>
      <c r="M318" s="619">
        <v>5924</v>
      </c>
      <c r="N318" s="602">
        <v>6.8000000000000005E-2</v>
      </c>
      <c r="O318" s="602">
        <v>4.1230000000000002</v>
      </c>
      <c r="P318" s="602">
        <v>0</v>
      </c>
    </row>
    <row r="319" spans="4:16">
      <c r="D319" s="602" t="s">
        <v>551</v>
      </c>
      <c r="E319" s="602" t="s">
        <v>899</v>
      </c>
      <c r="F319" s="616">
        <v>41789</v>
      </c>
      <c r="G319" s="617">
        <f t="shared" si="8"/>
        <v>2014</v>
      </c>
      <c r="H319" s="617">
        <f t="shared" si="9"/>
        <v>5</v>
      </c>
      <c r="I319" s="602">
        <v>16</v>
      </c>
      <c r="J319" s="602">
        <v>6.26</v>
      </c>
      <c r="K319" s="602">
        <v>0</v>
      </c>
      <c r="L319" s="618">
        <v>6.26</v>
      </c>
      <c r="M319" s="619">
        <v>7422</v>
      </c>
      <c r="N319" s="602">
        <v>8.4000000000000005E-2</v>
      </c>
      <c r="O319" s="602">
        <v>6.2729999999999997</v>
      </c>
      <c r="P319" s="602">
        <v>0</v>
      </c>
    </row>
    <row r="320" spans="4:16">
      <c r="D320" s="602" t="s">
        <v>551</v>
      </c>
      <c r="E320" s="602" t="s">
        <v>899</v>
      </c>
      <c r="F320" s="616">
        <v>41814</v>
      </c>
      <c r="G320" s="617">
        <f t="shared" si="8"/>
        <v>2014</v>
      </c>
      <c r="H320" s="617">
        <f t="shared" si="9"/>
        <v>6</v>
      </c>
      <c r="I320" s="602">
        <v>16</v>
      </c>
      <c r="J320" s="602">
        <v>6.7590000000000003</v>
      </c>
      <c r="K320" s="602">
        <v>0</v>
      </c>
      <c r="L320" s="618">
        <v>6.7590000000000003</v>
      </c>
      <c r="M320" s="619">
        <v>7670</v>
      </c>
      <c r="N320" s="602">
        <v>8.7999999999999995E-2</v>
      </c>
      <c r="O320" s="602">
        <v>6.83</v>
      </c>
      <c r="P320" s="602">
        <v>0</v>
      </c>
    </row>
    <row r="321" spans="4:16">
      <c r="D321" s="602" t="s">
        <v>551</v>
      </c>
      <c r="E321" s="602" t="s">
        <v>899</v>
      </c>
      <c r="F321" s="616">
        <v>41841</v>
      </c>
      <c r="G321" s="617">
        <f t="shared" si="8"/>
        <v>2014</v>
      </c>
      <c r="H321" s="617">
        <f t="shared" si="9"/>
        <v>7</v>
      </c>
      <c r="I321" s="602">
        <v>17</v>
      </c>
      <c r="J321" s="602">
        <v>8.8849999999999998</v>
      </c>
      <c r="K321" s="602">
        <v>0</v>
      </c>
      <c r="L321" s="618">
        <v>8.8849999999999998</v>
      </c>
      <c r="M321" s="619">
        <v>9150</v>
      </c>
      <c r="N321" s="602">
        <v>9.7000000000000003E-2</v>
      </c>
      <c r="O321" s="602">
        <v>8.9629999999999992</v>
      </c>
      <c r="P321" s="602">
        <v>0</v>
      </c>
    </row>
    <row r="322" spans="4:16">
      <c r="D322" s="602" t="s">
        <v>551</v>
      </c>
      <c r="E322" s="602" t="s">
        <v>899</v>
      </c>
      <c r="F322" s="616">
        <v>41869</v>
      </c>
      <c r="G322" s="617">
        <f t="shared" si="8"/>
        <v>2014</v>
      </c>
      <c r="H322" s="617">
        <f t="shared" si="9"/>
        <v>8</v>
      </c>
      <c r="I322" s="602">
        <v>16</v>
      </c>
      <c r="J322" s="602">
        <v>7.9710000000000001</v>
      </c>
      <c r="K322" s="602">
        <v>0</v>
      </c>
      <c r="L322" s="618">
        <v>7.9710000000000001</v>
      </c>
      <c r="M322" s="619">
        <v>8190</v>
      </c>
      <c r="N322" s="602">
        <v>9.7000000000000003E-2</v>
      </c>
      <c r="O322" s="602">
        <v>8.1010000000000009</v>
      </c>
      <c r="P322" s="602">
        <v>0</v>
      </c>
    </row>
    <row r="323" spans="4:16">
      <c r="D323" s="602" t="s">
        <v>551</v>
      </c>
      <c r="E323" s="602" t="s">
        <v>899</v>
      </c>
      <c r="F323" s="616">
        <v>41886</v>
      </c>
      <c r="G323" s="617">
        <f t="shared" ref="G323:G386" si="10">YEAR(F323)</f>
        <v>2014</v>
      </c>
      <c r="H323" s="617">
        <f t="shared" ref="H323:H386" si="11">MONTH(F323)</f>
        <v>9</v>
      </c>
      <c r="I323" s="602">
        <v>15</v>
      </c>
      <c r="J323" s="602">
        <v>7.1289999999999996</v>
      </c>
      <c r="K323" s="602">
        <v>0</v>
      </c>
      <c r="L323" s="618">
        <v>7.1289999999999996</v>
      </c>
      <c r="M323" s="619">
        <v>7758</v>
      </c>
      <c r="N323" s="602">
        <v>9.1999999999999998E-2</v>
      </c>
      <c r="O323" s="602">
        <v>7.1890000000000001</v>
      </c>
      <c r="P323" s="602">
        <v>0</v>
      </c>
    </row>
    <row r="324" spans="4:16">
      <c r="D324" s="602" t="s">
        <v>551</v>
      </c>
      <c r="E324" s="602" t="s">
        <v>899</v>
      </c>
      <c r="F324" s="616">
        <v>41942</v>
      </c>
      <c r="G324" s="617">
        <f t="shared" si="10"/>
        <v>2014</v>
      </c>
      <c r="H324" s="617">
        <f t="shared" si="11"/>
        <v>10</v>
      </c>
      <c r="I324" s="602">
        <v>20</v>
      </c>
      <c r="J324" s="602">
        <v>4.5869999999999997</v>
      </c>
      <c r="K324" s="602">
        <v>0</v>
      </c>
      <c r="L324" s="618">
        <v>4.5869999999999997</v>
      </c>
      <c r="M324" s="619">
        <v>5901</v>
      </c>
      <c r="N324" s="602">
        <v>7.8E-2</v>
      </c>
      <c r="O324" s="602">
        <v>4.6189999999999998</v>
      </c>
      <c r="P324" s="602">
        <v>0</v>
      </c>
    </row>
    <row r="325" spans="4:16">
      <c r="D325" s="602" t="s">
        <v>551</v>
      </c>
      <c r="E325" s="602" t="s">
        <v>899</v>
      </c>
      <c r="F325" s="616">
        <v>41960</v>
      </c>
      <c r="G325" s="617">
        <f t="shared" si="10"/>
        <v>2014</v>
      </c>
      <c r="H325" s="617">
        <f t="shared" si="11"/>
        <v>11</v>
      </c>
      <c r="I325" s="602">
        <v>18</v>
      </c>
      <c r="J325" s="602">
        <v>6.0030000000000001</v>
      </c>
      <c r="K325" s="602">
        <v>0</v>
      </c>
      <c r="L325" s="618">
        <v>6.0030000000000001</v>
      </c>
      <c r="M325" s="619">
        <v>6677</v>
      </c>
      <c r="N325" s="602">
        <v>0.09</v>
      </c>
      <c r="O325" s="602">
        <v>6.1379999999999999</v>
      </c>
      <c r="P325" s="602">
        <v>0</v>
      </c>
    </row>
    <row r="326" spans="4:16">
      <c r="D326" s="602" t="s">
        <v>551</v>
      </c>
      <c r="E326" s="602" t="s">
        <v>899</v>
      </c>
      <c r="F326" s="616">
        <v>41974</v>
      </c>
      <c r="G326" s="617">
        <f t="shared" si="10"/>
        <v>2014</v>
      </c>
      <c r="H326" s="617">
        <f t="shared" si="11"/>
        <v>12</v>
      </c>
      <c r="I326" s="602">
        <v>18</v>
      </c>
      <c r="J326" s="602">
        <v>5.4530000000000003</v>
      </c>
      <c r="K326" s="602">
        <v>0</v>
      </c>
      <c r="L326" s="618">
        <v>5.4530000000000003</v>
      </c>
      <c r="M326" s="619">
        <v>6850</v>
      </c>
      <c r="N326" s="602">
        <v>0.08</v>
      </c>
      <c r="O326" s="602">
        <v>5.5830000000000002</v>
      </c>
      <c r="P326" s="602">
        <v>0</v>
      </c>
    </row>
    <row r="327" spans="4:16">
      <c r="D327" s="602" t="s">
        <v>551</v>
      </c>
      <c r="E327" s="602" t="s">
        <v>899</v>
      </c>
      <c r="F327" s="616">
        <v>42011</v>
      </c>
      <c r="G327" s="617">
        <f t="shared" si="10"/>
        <v>2015</v>
      </c>
      <c r="H327" s="617">
        <f t="shared" si="11"/>
        <v>1</v>
      </c>
      <c r="I327" s="602">
        <v>18</v>
      </c>
      <c r="J327" s="602">
        <v>5.5979999999999999</v>
      </c>
      <c r="K327" s="602">
        <v>0</v>
      </c>
      <c r="L327" s="618">
        <v>5.5979999999999999</v>
      </c>
      <c r="M327" s="619">
        <v>6978</v>
      </c>
      <c r="N327" s="602">
        <v>0.08</v>
      </c>
      <c r="O327" s="602">
        <v>5.6909999999999998</v>
      </c>
      <c r="P327" s="602">
        <v>0</v>
      </c>
    </row>
    <row r="328" spans="4:16">
      <c r="D328" s="602" t="s">
        <v>551</v>
      </c>
      <c r="E328" s="602" t="s">
        <v>899</v>
      </c>
      <c r="F328" s="616">
        <v>42053</v>
      </c>
      <c r="G328" s="617">
        <f t="shared" si="10"/>
        <v>2015</v>
      </c>
      <c r="H328" s="617">
        <f t="shared" si="11"/>
        <v>2</v>
      </c>
      <c r="I328" s="602">
        <v>19</v>
      </c>
      <c r="J328" s="602">
        <v>5.258</v>
      </c>
      <c r="K328" s="602">
        <v>0</v>
      </c>
      <c r="L328" s="618">
        <v>5.258</v>
      </c>
      <c r="M328" s="619">
        <v>6744</v>
      </c>
      <c r="N328" s="602">
        <v>7.8E-2</v>
      </c>
      <c r="O328" s="602">
        <v>5.359</v>
      </c>
      <c r="P328" s="602">
        <v>0</v>
      </c>
    </row>
    <row r="329" spans="4:16">
      <c r="D329" s="602" t="s">
        <v>551</v>
      </c>
      <c r="E329" s="602" t="s">
        <v>899</v>
      </c>
      <c r="F329" s="616">
        <v>42067</v>
      </c>
      <c r="G329" s="617">
        <f t="shared" si="10"/>
        <v>2015</v>
      </c>
      <c r="H329" s="617">
        <f t="shared" si="11"/>
        <v>3</v>
      </c>
      <c r="I329" s="602">
        <v>20</v>
      </c>
      <c r="J329" s="602">
        <v>4.9029999999999996</v>
      </c>
      <c r="K329" s="602">
        <v>0</v>
      </c>
      <c r="L329" s="618">
        <v>4.9029999999999996</v>
      </c>
      <c r="M329" s="619">
        <v>6470</v>
      </c>
      <c r="N329" s="602">
        <v>7.5999999999999998E-2</v>
      </c>
      <c r="O329" s="602">
        <v>4.9770000000000003</v>
      </c>
      <c r="P329" s="602">
        <v>0</v>
      </c>
    </row>
    <row r="330" spans="4:16">
      <c r="D330" s="602" t="s">
        <v>551</v>
      </c>
      <c r="E330" s="602" t="s">
        <v>899</v>
      </c>
      <c r="F330" s="616">
        <v>42103</v>
      </c>
      <c r="G330" s="617">
        <f t="shared" si="10"/>
        <v>2015</v>
      </c>
      <c r="H330" s="617">
        <f t="shared" si="11"/>
        <v>4</v>
      </c>
      <c r="I330" s="602">
        <v>12</v>
      </c>
      <c r="J330" s="602">
        <v>3.7759999999999998</v>
      </c>
      <c r="K330" s="602">
        <v>0</v>
      </c>
      <c r="L330" s="618">
        <v>3.7759999999999998</v>
      </c>
      <c r="M330" s="619">
        <v>5914</v>
      </c>
      <c r="N330" s="602">
        <v>6.4000000000000001E-2</v>
      </c>
      <c r="O330" s="602">
        <v>3.8140000000000001</v>
      </c>
      <c r="P330" s="602">
        <v>0</v>
      </c>
    </row>
    <row r="331" spans="4:16">
      <c r="D331" s="602" t="s">
        <v>551</v>
      </c>
      <c r="E331" s="602" t="s">
        <v>899</v>
      </c>
      <c r="F331" s="616">
        <v>42152</v>
      </c>
      <c r="G331" s="617">
        <f t="shared" si="10"/>
        <v>2015</v>
      </c>
      <c r="H331" s="617">
        <f t="shared" si="11"/>
        <v>5</v>
      </c>
      <c r="I331" s="602">
        <v>16</v>
      </c>
      <c r="J331" s="602">
        <v>4.9969999999999999</v>
      </c>
      <c r="K331" s="602">
        <v>0</v>
      </c>
      <c r="L331" s="618">
        <v>4.9969999999999999</v>
      </c>
      <c r="M331" s="619">
        <v>6837</v>
      </c>
      <c r="N331" s="602">
        <v>7.2999999999999995E-2</v>
      </c>
      <c r="O331" s="602">
        <v>5.0540000000000003</v>
      </c>
      <c r="P331" s="602">
        <v>0</v>
      </c>
    </row>
    <row r="332" spans="4:16">
      <c r="D332" s="602" t="s">
        <v>551</v>
      </c>
      <c r="E332" s="602" t="s">
        <v>899</v>
      </c>
      <c r="F332" s="616">
        <v>42164</v>
      </c>
      <c r="G332" s="617">
        <f t="shared" si="10"/>
        <v>2015</v>
      </c>
      <c r="H332" s="617">
        <f t="shared" si="11"/>
        <v>6</v>
      </c>
      <c r="I332" s="602">
        <v>17</v>
      </c>
      <c r="J332" s="602">
        <v>6.952</v>
      </c>
      <c r="K332" s="602">
        <v>0</v>
      </c>
      <c r="L332" s="618">
        <v>6.952</v>
      </c>
      <c r="M332" s="619">
        <v>8136</v>
      </c>
      <c r="N332" s="602">
        <v>8.5000000000000006E-2</v>
      </c>
      <c r="O332" s="602">
        <v>7.0359999999999996</v>
      </c>
      <c r="P332" s="602">
        <v>0</v>
      </c>
    </row>
    <row r="333" spans="4:16">
      <c r="D333" s="602" t="s">
        <v>551</v>
      </c>
      <c r="E333" s="602" t="s">
        <v>899</v>
      </c>
      <c r="F333" s="616">
        <v>42212</v>
      </c>
      <c r="G333" s="617">
        <f t="shared" si="10"/>
        <v>2015</v>
      </c>
      <c r="H333" s="617">
        <f t="shared" si="11"/>
        <v>7</v>
      </c>
      <c r="I333" s="602">
        <v>17</v>
      </c>
      <c r="J333" s="602">
        <v>7.24</v>
      </c>
      <c r="K333" s="602">
        <v>0</v>
      </c>
      <c r="L333" s="618">
        <v>7.24</v>
      </c>
      <c r="M333" s="619">
        <v>8769</v>
      </c>
      <c r="N333" s="602">
        <v>8.3000000000000004E-2</v>
      </c>
      <c r="O333" s="602">
        <v>7.3659999999999997</v>
      </c>
      <c r="P333" s="602">
        <v>0</v>
      </c>
    </row>
    <row r="334" spans="4:16">
      <c r="D334" s="602" t="s">
        <v>551</v>
      </c>
      <c r="E334" s="602" t="s">
        <v>899</v>
      </c>
      <c r="F334" s="616">
        <v>42230</v>
      </c>
      <c r="G334" s="617">
        <f t="shared" si="10"/>
        <v>2015</v>
      </c>
      <c r="H334" s="617">
        <f t="shared" si="11"/>
        <v>8</v>
      </c>
      <c r="I334" s="602">
        <v>16</v>
      </c>
      <c r="J334" s="602">
        <v>8.1720000000000006</v>
      </c>
      <c r="K334" s="602">
        <v>0</v>
      </c>
      <c r="L334" s="618">
        <v>8.1720000000000006</v>
      </c>
      <c r="M334" s="619">
        <v>8926</v>
      </c>
      <c r="N334" s="602">
        <v>9.1999999999999998E-2</v>
      </c>
      <c r="O334" s="602">
        <v>8.2550000000000008</v>
      </c>
      <c r="P334" s="602">
        <v>0</v>
      </c>
    </row>
    <row r="335" spans="4:16">
      <c r="D335" s="602" t="s">
        <v>551</v>
      </c>
      <c r="E335" s="602" t="s">
        <v>899</v>
      </c>
      <c r="F335" s="616">
        <v>42250</v>
      </c>
      <c r="G335" s="617">
        <f t="shared" si="10"/>
        <v>2015</v>
      </c>
      <c r="H335" s="617">
        <f t="shared" si="11"/>
        <v>9</v>
      </c>
      <c r="I335" s="602">
        <v>17</v>
      </c>
      <c r="J335" s="602">
        <v>8.3439999999999994</v>
      </c>
      <c r="K335" s="602">
        <v>0</v>
      </c>
      <c r="L335" s="618">
        <v>8.3439999999999994</v>
      </c>
      <c r="M335" s="619">
        <v>8657</v>
      </c>
      <c r="N335" s="602">
        <v>9.6000000000000002E-2</v>
      </c>
      <c r="O335" s="602">
        <v>8.4510000000000005</v>
      </c>
      <c r="P335" s="602">
        <v>0</v>
      </c>
    </row>
    <row r="336" spans="4:16">
      <c r="D336" s="602" t="s">
        <v>551</v>
      </c>
      <c r="E336" s="602" t="s">
        <v>899</v>
      </c>
      <c r="F336" s="616">
        <v>42285</v>
      </c>
      <c r="G336" s="617">
        <f t="shared" si="10"/>
        <v>2015</v>
      </c>
      <c r="H336" s="617">
        <f t="shared" si="11"/>
        <v>10</v>
      </c>
      <c r="I336" s="602">
        <v>12</v>
      </c>
      <c r="J336" s="602">
        <v>4.0990000000000002</v>
      </c>
      <c r="K336" s="602">
        <v>0</v>
      </c>
      <c r="L336" s="618">
        <v>4.0990000000000002</v>
      </c>
      <c r="M336" s="619">
        <v>5943</v>
      </c>
      <c r="N336" s="602">
        <v>6.9000000000000006E-2</v>
      </c>
      <c r="O336" s="602">
        <v>4.1660000000000004</v>
      </c>
      <c r="P336" s="602">
        <v>0</v>
      </c>
    </row>
    <row r="337" spans="4:16">
      <c r="D337" s="602" t="s">
        <v>551</v>
      </c>
      <c r="E337" s="602" t="s">
        <v>899</v>
      </c>
      <c r="F337" s="616">
        <v>42338</v>
      </c>
      <c r="G337" s="617">
        <f t="shared" si="10"/>
        <v>2015</v>
      </c>
      <c r="H337" s="617">
        <f t="shared" si="11"/>
        <v>11</v>
      </c>
      <c r="I337" s="602">
        <v>18</v>
      </c>
      <c r="J337" s="602">
        <v>4.9619999999999997</v>
      </c>
      <c r="K337" s="602">
        <v>0</v>
      </c>
      <c r="L337" s="618">
        <v>4.9619999999999997</v>
      </c>
      <c r="M337" s="619">
        <v>6574</v>
      </c>
      <c r="N337" s="602">
        <v>7.4999999999999997E-2</v>
      </c>
      <c r="O337" s="602">
        <v>5.0990000000000002</v>
      </c>
      <c r="P337" s="602">
        <v>0</v>
      </c>
    </row>
    <row r="338" spans="4:16">
      <c r="D338" s="602" t="s">
        <v>551</v>
      </c>
      <c r="E338" s="602" t="s">
        <v>899</v>
      </c>
      <c r="F338" s="616">
        <v>42355</v>
      </c>
      <c r="G338" s="617">
        <f t="shared" si="10"/>
        <v>2015</v>
      </c>
      <c r="H338" s="617">
        <f t="shared" si="11"/>
        <v>12</v>
      </c>
      <c r="I338" s="602">
        <v>18</v>
      </c>
      <c r="J338" s="602">
        <v>5.04</v>
      </c>
      <c r="K338" s="602">
        <v>0</v>
      </c>
      <c r="L338" s="618">
        <v>5.04</v>
      </c>
      <c r="M338" s="619">
        <v>6450</v>
      </c>
      <c r="N338" s="602">
        <v>7.8E-2</v>
      </c>
      <c r="O338" s="602">
        <v>5.1470000000000002</v>
      </c>
      <c r="P338" s="602">
        <v>0</v>
      </c>
    </row>
    <row r="339" spans="4:16">
      <c r="D339" s="602" t="s">
        <v>551</v>
      </c>
      <c r="E339" s="620" t="s">
        <v>900</v>
      </c>
      <c r="F339" s="621">
        <v>40927</v>
      </c>
      <c r="G339" s="617">
        <f t="shared" si="10"/>
        <v>2012</v>
      </c>
      <c r="H339" s="617">
        <f t="shared" si="11"/>
        <v>1</v>
      </c>
      <c r="I339" s="620">
        <v>19</v>
      </c>
      <c r="J339" s="620">
        <v>2.0830000000000002</v>
      </c>
      <c r="K339" s="620">
        <v>0</v>
      </c>
      <c r="L339" s="622">
        <v>2.0830000000000002</v>
      </c>
      <c r="M339" s="620">
        <v>6604</v>
      </c>
      <c r="N339" s="623">
        <v>2.9999999999999997E-4</v>
      </c>
      <c r="O339" s="620">
        <v>2.1269999999999998</v>
      </c>
      <c r="P339" s="620">
        <v>0</v>
      </c>
    </row>
    <row r="340" spans="4:16">
      <c r="D340" s="602" t="s">
        <v>551</v>
      </c>
      <c r="E340" s="620" t="s">
        <v>900</v>
      </c>
      <c r="F340" s="621">
        <v>40967</v>
      </c>
      <c r="G340" s="617">
        <f t="shared" si="10"/>
        <v>2012</v>
      </c>
      <c r="H340" s="617">
        <f t="shared" si="11"/>
        <v>2</v>
      </c>
      <c r="I340" s="620">
        <v>19</v>
      </c>
      <c r="J340" s="620">
        <v>1.929</v>
      </c>
      <c r="K340" s="620">
        <v>0</v>
      </c>
      <c r="L340" s="622">
        <v>1.929</v>
      </c>
      <c r="M340" s="620">
        <v>6178</v>
      </c>
      <c r="N340" s="623">
        <v>2.9999999999999997E-4</v>
      </c>
      <c r="O340" s="620">
        <v>1.9790000000000001</v>
      </c>
      <c r="P340" s="620">
        <v>0</v>
      </c>
    </row>
    <row r="341" spans="4:16">
      <c r="D341" s="602" t="s">
        <v>551</v>
      </c>
      <c r="E341" s="620" t="s">
        <v>900</v>
      </c>
      <c r="F341" s="621">
        <v>40987</v>
      </c>
      <c r="G341" s="617">
        <f t="shared" si="10"/>
        <v>2012</v>
      </c>
      <c r="H341" s="617">
        <f t="shared" si="11"/>
        <v>3</v>
      </c>
      <c r="I341" s="620">
        <v>14</v>
      </c>
      <c r="J341" s="620">
        <v>2.6070000000000002</v>
      </c>
      <c r="K341" s="620">
        <v>0</v>
      </c>
      <c r="L341" s="622">
        <v>2.6070000000000002</v>
      </c>
      <c r="M341" s="620">
        <v>6170</v>
      </c>
      <c r="N341" s="623">
        <v>4.0000000000000002E-4</v>
      </c>
      <c r="O341" s="620">
        <v>2.6520000000000001</v>
      </c>
      <c r="P341" s="620">
        <v>0</v>
      </c>
    </row>
    <row r="342" spans="4:16">
      <c r="D342" s="602" t="s">
        <v>551</v>
      </c>
      <c r="E342" s="620" t="s">
        <v>900</v>
      </c>
      <c r="F342" s="621">
        <v>41024</v>
      </c>
      <c r="G342" s="617">
        <f t="shared" si="10"/>
        <v>2012</v>
      </c>
      <c r="H342" s="617">
        <f t="shared" si="11"/>
        <v>4</v>
      </c>
      <c r="I342" s="620">
        <v>15</v>
      </c>
      <c r="J342" s="620">
        <v>2.419</v>
      </c>
      <c r="K342" s="620">
        <v>0</v>
      </c>
      <c r="L342" s="622">
        <v>2.419</v>
      </c>
      <c r="M342" s="620">
        <v>5813</v>
      </c>
      <c r="N342" s="623">
        <v>4.0000000000000002E-4</v>
      </c>
      <c r="O342" s="620">
        <v>2.4620000000000002</v>
      </c>
      <c r="P342" s="620">
        <v>0</v>
      </c>
    </row>
    <row r="343" spans="4:16">
      <c r="D343" s="602" t="s">
        <v>551</v>
      </c>
      <c r="E343" s="620" t="s">
        <v>900</v>
      </c>
      <c r="F343" s="621">
        <v>41047</v>
      </c>
      <c r="G343" s="617">
        <f t="shared" si="10"/>
        <v>2012</v>
      </c>
      <c r="H343" s="617">
        <f t="shared" si="11"/>
        <v>5</v>
      </c>
      <c r="I343" s="620">
        <v>17</v>
      </c>
      <c r="J343" s="620">
        <v>2.0979999999999999</v>
      </c>
      <c r="K343" s="620">
        <v>0</v>
      </c>
      <c r="L343" s="622">
        <v>2.0979999999999999</v>
      </c>
      <c r="M343" s="620">
        <v>7203</v>
      </c>
      <c r="N343" s="623">
        <v>2.9999999999999997E-4</v>
      </c>
      <c r="O343" s="620">
        <v>2.1469999999999998</v>
      </c>
      <c r="P343" s="620">
        <v>0</v>
      </c>
    </row>
    <row r="344" spans="4:16">
      <c r="D344" s="602" t="s">
        <v>551</v>
      </c>
      <c r="E344" s="620" t="s">
        <v>900</v>
      </c>
      <c r="F344" s="621">
        <v>41087</v>
      </c>
      <c r="G344" s="617">
        <f t="shared" si="10"/>
        <v>2012</v>
      </c>
      <c r="H344" s="617">
        <f t="shared" si="11"/>
        <v>6</v>
      </c>
      <c r="I344" s="620">
        <v>17</v>
      </c>
      <c r="J344" s="620">
        <v>3.3740000000000001</v>
      </c>
      <c r="K344" s="620">
        <v>0</v>
      </c>
      <c r="L344" s="622">
        <v>3.3740000000000001</v>
      </c>
      <c r="M344" s="620">
        <v>8833</v>
      </c>
      <c r="N344" s="623">
        <v>4.0000000000000002E-4</v>
      </c>
      <c r="O344" s="620">
        <v>3.456</v>
      </c>
      <c r="P344" s="620">
        <v>0</v>
      </c>
    </row>
    <row r="345" spans="4:16">
      <c r="D345" s="602" t="s">
        <v>551</v>
      </c>
      <c r="E345" s="620" t="s">
        <v>900</v>
      </c>
      <c r="F345" s="621">
        <v>41092</v>
      </c>
      <c r="G345" s="617">
        <f t="shared" si="10"/>
        <v>2012</v>
      </c>
      <c r="H345" s="617">
        <f t="shared" si="11"/>
        <v>7</v>
      </c>
      <c r="I345" s="620">
        <v>17</v>
      </c>
      <c r="J345" s="620">
        <v>3.3460000000000001</v>
      </c>
      <c r="K345" s="620">
        <v>0</v>
      </c>
      <c r="L345" s="622">
        <v>3.3460000000000001</v>
      </c>
      <c r="M345" s="620">
        <v>9682</v>
      </c>
      <c r="N345" s="623">
        <v>2.9999999999999997E-4</v>
      </c>
      <c r="O345" s="620">
        <v>3.411</v>
      </c>
      <c r="P345" s="620">
        <v>0</v>
      </c>
    </row>
    <row r="346" spans="4:16">
      <c r="D346" s="602" t="s">
        <v>551</v>
      </c>
      <c r="E346" s="620" t="s">
        <v>900</v>
      </c>
      <c r="F346" s="621">
        <v>41122</v>
      </c>
      <c r="G346" s="617">
        <f t="shared" si="10"/>
        <v>2012</v>
      </c>
      <c r="H346" s="617">
        <f t="shared" si="11"/>
        <v>8</v>
      </c>
      <c r="I346" s="620">
        <v>17</v>
      </c>
      <c r="J346" s="620">
        <v>3.4350000000000001</v>
      </c>
      <c r="K346" s="620">
        <v>0</v>
      </c>
      <c r="L346" s="622">
        <v>3.4350000000000001</v>
      </c>
      <c r="M346" s="620">
        <v>8979</v>
      </c>
      <c r="N346" s="623">
        <v>4.0000000000000002E-4</v>
      </c>
      <c r="O346" s="620">
        <v>3.5049999999999999</v>
      </c>
      <c r="P346" s="620">
        <v>0</v>
      </c>
    </row>
    <row r="347" spans="4:16">
      <c r="D347" s="602" t="s">
        <v>551</v>
      </c>
      <c r="E347" s="620" t="s">
        <v>900</v>
      </c>
      <c r="F347" s="621">
        <v>41156</v>
      </c>
      <c r="G347" s="617">
        <f t="shared" si="10"/>
        <v>2012</v>
      </c>
      <c r="H347" s="617">
        <f t="shared" si="11"/>
        <v>9</v>
      </c>
      <c r="I347" s="620">
        <v>16</v>
      </c>
      <c r="J347" s="620">
        <v>3.5510000000000002</v>
      </c>
      <c r="K347" s="620">
        <v>0</v>
      </c>
      <c r="L347" s="622">
        <v>3.5510000000000002</v>
      </c>
      <c r="M347" s="620">
        <v>8521</v>
      </c>
      <c r="N347" s="623">
        <v>4.0000000000000002E-4</v>
      </c>
      <c r="O347" s="620">
        <v>3.625</v>
      </c>
      <c r="P347" s="620">
        <v>0</v>
      </c>
    </row>
    <row r="348" spans="4:16">
      <c r="D348" s="602" t="s">
        <v>551</v>
      </c>
      <c r="E348" s="620" t="s">
        <v>900</v>
      </c>
      <c r="F348" s="621">
        <v>41185</v>
      </c>
      <c r="G348" s="617">
        <f t="shared" si="10"/>
        <v>2012</v>
      </c>
      <c r="H348" s="617">
        <f t="shared" si="11"/>
        <v>10</v>
      </c>
      <c r="I348" s="620">
        <v>14</v>
      </c>
      <c r="J348" s="620">
        <v>2.5920000000000001</v>
      </c>
      <c r="K348" s="620">
        <v>0</v>
      </c>
      <c r="L348" s="622">
        <v>2.5920000000000001</v>
      </c>
      <c r="M348" s="620">
        <v>6122</v>
      </c>
      <c r="N348" s="623">
        <v>4.0000000000000002E-4</v>
      </c>
      <c r="O348" s="620">
        <v>2.6419999999999999</v>
      </c>
      <c r="P348" s="620">
        <v>0</v>
      </c>
    </row>
    <row r="349" spans="4:16">
      <c r="D349" s="602" t="s">
        <v>551</v>
      </c>
      <c r="E349" s="620" t="s">
        <v>900</v>
      </c>
      <c r="F349" s="621">
        <v>41239</v>
      </c>
      <c r="G349" s="617">
        <f t="shared" si="10"/>
        <v>2012</v>
      </c>
      <c r="H349" s="617">
        <f t="shared" si="11"/>
        <v>11</v>
      </c>
      <c r="I349" s="620">
        <v>18</v>
      </c>
      <c r="J349" s="620">
        <v>2.3940000000000001</v>
      </c>
      <c r="K349" s="620">
        <v>0</v>
      </c>
      <c r="L349" s="622">
        <v>2.3940000000000001</v>
      </c>
      <c r="M349" s="620">
        <v>6416</v>
      </c>
      <c r="N349" s="623">
        <v>4.0000000000000002E-4</v>
      </c>
      <c r="O349" s="620">
        <v>2.4529999999999998</v>
      </c>
      <c r="P349" s="620">
        <v>0</v>
      </c>
    </row>
    <row r="350" spans="4:16">
      <c r="D350" s="602" t="s">
        <v>551</v>
      </c>
      <c r="E350" s="620" t="s">
        <v>900</v>
      </c>
      <c r="F350" s="621">
        <v>41253</v>
      </c>
      <c r="G350" s="617">
        <f t="shared" si="10"/>
        <v>2012</v>
      </c>
      <c r="H350" s="617">
        <f t="shared" si="11"/>
        <v>12</v>
      </c>
      <c r="I350" s="620">
        <v>18</v>
      </c>
      <c r="J350" s="620">
        <v>2.5859999999999999</v>
      </c>
      <c r="K350" s="620">
        <v>0</v>
      </c>
      <c r="L350" s="622">
        <v>2.5859999999999999</v>
      </c>
      <c r="M350" s="620">
        <v>6609</v>
      </c>
      <c r="N350" s="623">
        <v>4.0000000000000002E-4</v>
      </c>
      <c r="O350" s="620">
        <v>2.6320000000000001</v>
      </c>
      <c r="P350" s="620">
        <v>0</v>
      </c>
    </row>
    <row r="351" spans="4:16">
      <c r="D351" s="602" t="s">
        <v>551</v>
      </c>
      <c r="E351" s="620" t="s">
        <v>900</v>
      </c>
      <c r="F351" s="621">
        <v>41295</v>
      </c>
      <c r="G351" s="617">
        <f t="shared" si="10"/>
        <v>2013</v>
      </c>
      <c r="H351" s="617">
        <f t="shared" si="11"/>
        <v>1</v>
      </c>
      <c r="I351" s="620">
        <v>19</v>
      </c>
      <c r="J351" s="620">
        <v>2.4609999999999999</v>
      </c>
      <c r="K351" s="620">
        <v>0</v>
      </c>
      <c r="L351" s="622">
        <v>2.4609999999999999</v>
      </c>
      <c r="M351" s="620">
        <v>6846</v>
      </c>
      <c r="N351" s="623">
        <v>4.0000000000000002E-4</v>
      </c>
      <c r="O351" s="620">
        <v>2.5089999999999999</v>
      </c>
      <c r="P351" s="620">
        <v>0</v>
      </c>
    </row>
    <row r="352" spans="4:16">
      <c r="D352" s="602" t="s">
        <v>551</v>
      </c>
      <c r="E352" s="620" t="s">
        <v>900</v>
      </c>
      <c r="F352" s="621">
        <v>41324</v>
      </c>
      <c r="G352" s="617">
        <f t="shared" si="10"/>
        <v>2013</v>
      </c>
      <c r="H352" s="617">
        <f t="shared" si="11"/>
        <v>2</v>
      </c>
      <c r="I352" s="620">
        <v>19</v>
      </c>
      <c r="J352" s="620">
        <v>2.2149999999999999</v>
      </c>
      <c r="K352" s="620">
        <v>0</v>
      </c>
      <c r="L352" s="622">
        <v>2.2149999999999999</v>
      </c>
      <c r="M352" s="620">
        <v>6511</v>
      </c>
      <c r="N352" s="623">
        <v>2.9999999999999997E-4</v>
      </c>
      <c r="O352" s="620">
        <v>2.2650000000000001</v>
      </c>
      <c r="P352" s="620">
        <v>0</v>
      </c>
    </row>
    <row r="353" spans="4:16">
      <c r="D353" s="602" t="s">
        <v>551</v>
      </c>
      <c r="E353" s="620" t="s">
        <v>900</v>
      </c>
      <c r="F353" s="621">
        <v>41337</v>
      </c>
      <c r="G353" s="617">
        <f t="shared" si="10"/>
        <v>2013</v>
      </c>
      <c r="H353" s="617">
        <f t="shared" si="11"/>
        <v>3</v>
      </c>
      <c r="I353" s="620">
        <v>19</v>
      </c>
      <c r="J353" s="620">
        <v>2.31</v>
      </c>
      <c r="K353" s="620">
        <v>0</v>
      </c>
      <c r="L353" s="622">
        <v>2.31</v>
      </c>
      <c r="M353" s="620">
        <v>6172</v>
      </c>
      <c r="N353" s="623">
        <v>4.0000000000000002E-4</v>
      </c>
      <c r="O353" s="620">
        <v>2.117</v>
      </c>
      <c r="P353" s="620">
        <v>0</v>
      </c>
    </row>
    <row r="354" spans="4:16">
      <c r="D354" s="602" t="s">
        <v>551</v>
      </c>
      <c r="E354" s="620" t="s">
        <v>900</v>
      </c>
      <c r="F354" s="621">
        <v>41382</v>
      </c>
      <c r="G354" s="617">
        <f t="shared" si="10"/>
        <v>2013</v>
      </c>
      <c r="H354" s="617">
        <f t="shared" si="11"/>
        <v>4</v>
      </c>
      <c r="I354" s="620">
        <v>12</v>
      </c>
      <c r="J354" s="620">
        <v>1.1970000000000001</v>
      </c>
      <c r="K354" s="620">
        <v>2.4540000000000002</v>
      </c>
      <c r="L354" s="622">
        <v>3.6509999999999998</v>
      </c>
      <c r="M354" s="620">
        <v>5851</v>
      </c>
      <c r="N354" s="623">
        <v>5.9999999999999995E-4</v>
      </c>
      <c r="O354" s="620">
        <v>1.2230000000000001</v>
      </c>
      <c r="P354" s="620">
        <v>2.4540000000000002</v>
      </c>
    </row>
    <row r="355" spans="4:16">
      <c r="D355" s="602" t="s">
        <v>551</v>
      </c>
      <c r="E355" s="620" t="s">
        <v>900</v>
      </c>
      <c r="F355" s="621">
        <v>41408</v>
      </c>
      <c r="G355" s="617">
        <f t="shared" si="10"/>
        <v>2013</v>
      </c>
      <c r="H355" s="617">
        <f t="shared" si="11"/>
        <v>5</v>
      </c>
      <c r="I355" s="620">
        <v>17</v>
      </c>
      <c r="J355" s="620">
        <v>2.177</v>
      </c>
      <c r="K355" s="620">
        <v>0</v>
      </c>
      <c r="L355" s="622">
        <v>2.177</v>
      </c>
      <c r="M355" s="620">
        <v>6516</v>
      </c>
      <c r="N355" s="623">
        <v>2.9999999999999997E-4</v>
      </c>
      <c r="O355" s="620">
        <v>2.2080000000000002</v>
      </c>
      <c r="P355" s="620">
        <v>0</v>
      </c>
    </row>
    <row r="356" spans="4:16">
      <c r="D356" s="602" t="s">
        <v>551</v>
      </c>
      <c r="E356" s="620" t="s">
        <v>900</v>
      </c>
      <c r="F356" s="621">
        <v>41451</v>
      </c>
      <c r="G356" s="617">
        <f t="shared" si="10"/>
        <v>2013</v>
      </c>
      <c r="H356" s="617">
        <f t="shared" si="11"/>
        <v>6</v>
      </c>
      <c r="I356" s="620">
        <v>16</v>
      </c>
      <c r="J356" s="620">
        <v>3.3450000000000002</v>
      </c>
      <c r="K356" s="620">
        <v>0</v>
      </c>
      <c r="L356" s="622">
        <v>3.3450000000000002</v>
      </c>
      <c r="M356" s="620">
        <v>8280</v>
      </c>
      <c r="N356" s="623">
        <v>4.0000000000000002E-4</v>
      </c>
      <c r="O356" s="620">
        <v>3.375</v>
      </c>
      <c r="P356" s="620">
        <v>0</v>
      </c>
    </row>
    <row r="357" spans="4:16">
      <c r="D357" s="602" t="s">
        <v>551</v>
      </c>
      <c r="E357" s="620" t="s">
        <v>900</v>
      </c>
      <c r="F357" s="621">
        <v>41473</v>
      </c>
      <c r="G357" s="617">
        <f t="shared" si="10"/>
        <v>2013</v>
      </c>
      <c r="H357" s="617">
        <f t="shared" si="11"/>
        <v>7</v>
      </c>
      <c r="I357" s="620">
        <v>17</v>
      </c>
      <c r="J357" s="620">
        <v>3.73</v>
      </c>
      <c r="K357" s="620">
        <v>0</v>
      </c>
      <c r="L357" s="622">
        <v>3.73</v>
      </c>
      <c r="M357" s="620">
        <v>9566</v>
      </c>
      <c r="N357" s="623">
        <v>4.0000000000000002E-4</v>
      </c>
      <c r="O357" s="620">
        <v>3.7850000000000001</v>
      </c>
      <c r="P357" s="620">
        <v>0</v>
      </c>
    </row>
    <row r="358" spans="4:16">
      <c r="D358" s="602" t="s">
        <v>551</v>
      </c>
      <c r="E358" s="620" t="s">
        <v>900</v>
      </c>
      <c r="F358" s="621">
        <v>41512</v>
      </c>
      <c r="G358" s="617">
        <f t="shared" si="10"/>
        <v>2013</v>
      </c>
      <c r="H358" s="617">
        <f t="shared" si="11"/>
        <v>8</v>
      </c>
      <c r="I358" s="620">
        <v>17</v>
      </c>
      <c r="J358" s="620">
        <v>3.4460000000000002</v>
      </c>
      <c r="K358" s="620">
        <v>0.26100000000000001</v>
      </c>
      <c r="L358" s="622">
        <v>3.7069999999999999</v>
      </c>
      <c r="M358" s="620">
        <v>9821</v>
      </c>
      <c r="N358" s="623">
        <v>4.0000000000000002E-4</v>
      </c>
      <c r="O358" s="620">
        <v>3.2789999999999999</v>
      </c>
      <c r="P358" s="620">
        <v>0.26100000000000001</v>
      </c>
    </row>
    <row r="359" spans="4:16">
      <c r="D359" s="602" t="s">
        <v>551</v>
      </c>
      <c r="E359" s="620" t="s">
        <v>900</v>
      </c>
      <c r="F359" s="621">
        <v>41526</v>
      </c>
      <c r="G359" s="617">
        <f t="shared" si="10"/>
        <v>2013</v>
      </c>
      <c r="H359" s="617">
        <f t="shared" si="11"/>
        <v>9</v>
      </c>
      <c r="I359" s="620">
        <v>17</v>
      </c>
      <c r="J359" s="620">
        <v>3.169</v>
      </c>
      <c r="K359" s="620">
        <v>0</v>
      </c>
      <c r="L359" s="622">
        <v>3.169</v>
      </c>
      <c r="M359" s="620">
        <v>8781</v>
      </c>
      <c r="N359" s="623">
        <v>4.0000000000000002E-4</v>
      </c>
      <c r="O359" s="620">
        <v>3.2130000000000001</v>
      </c>
      <c r="P359" s="620">
        <v>0</v>
      </c>
    </row>
    <row r="360" spans="4:16">
      <c r="D360" s="602" t="s">
        <v>551</v>
      </c>
      <c r="E360" s="620" t="s">
        <v>900</v>
      </c>
      <c r="F360" s="621">
        <v>41548</v>
      </c>
      <c r="G360" s="617">
        <f t="shared" si="10"/>
        <v>2013</v>
      </c>
      <c r="H360" s="617">
        <f t="shared" si="11"/>
        <v>10</v>
      </c>
      <c r="I360" s="620">
        <v>14</v>
      </c>
      <c r="J360" s="620">
        <v>2.4990000000000001</v>
      </c>
      <c r="K360" s="620">
        <v>0</v>
      </c>
      <c r="L360" s="622">
        <v>2.4990000000000001</v>
      </c>
      <c r="M360" s="620">
        <v>6214</v>
      </c>
      <c r="N360" s="623">
        <v>4.0000000000000002E-4</v>
      </c>
      <c r="O360" s="620">
        <v>2.528</v>
      </c>
      <c r="P360" s="620">
        <v>0</v>
      </c>
    </row>
    <row r="361" spans="4:16">
      <c r="D361" s="602" t="s">
        <v>551</v>
      </c>
      <c r="E361" s="620" t="s">
        <v>900</v>
      </c>
      <c r="F361" s="621">
        <v>41604</v>
      </c>
      <c r="G361" s="617">
        <f t="shared" si="10"/>
        <v>2013</v>
      </c>
      <c r="H361" s="617">
        <f t="shared" si="11"/>
        <v>11</v>
      </c>
      <c r="I361" s="620">
        <v>18</v>
      </c>
      <c r="J361" s="620">
        <v>2.6150000000000002</v>
      </c>
      <c r="K361" s="620">
        <v>0</v>
      </c>
      <c r="L361" s="622">
        <v>2.6150000000000002</v>
      </c>
      <c r="M361" s="620">
        <v>6372</v>
      </c>
      <c r="N361" s="623">
        <v>4.0000000000000002E-4</v>
      </c>
      <c r="O361" s="620">
        <v>2.6440000000000001</v>
      </c>
      <c r="P361" s="620">
        <v>0</v>
      </c>
    </row>
    <row r="362" spans="4:16">
      <c r="D362" s="602" t="s">
        <v>551</v>
      </c>
      <c r="E362" s="620" t="s">
        <v>900</v>
      </c>
      <c r="F362" s="621">
        <v>41619</v>
      </c>
      <c r="G362" s="617">
        <f t="shared" si="10"/>
        <v>2013</v>
      </c>
      <c r="H362" s="617">
        <f t="shared" si="11"/>
        <v>12</v>
      </c>
      <c r="I362" s="620">
        <v>18</v>
      </c>
      <c r="J362" s="620">
        <v>2.4060000000000001</v>
      </c>
      <c r="K362" s="620">
        <v>0</v>
      </c>
      <c r="L362" s="622">
        <v>2.4060000000000001</v>
      </c>
      <c r="M362" s="620">
        <v>6972</v>
      </c>
      <c r="N362" s="623">
        <v>2.9999999999999997E-4</v>
      </c>
      <c r="O362" s="620">
        <v>2.4289999999999998</v>
      </c>
      <c r="P362" s="620">
        <v>0</v>
      </c>
    </row>
    <row r="363" spans="4:16">
      <c r="D363" s="602" t="s">
        <v>551</v>
      </c>
      <c r="E363" s="602" t="s">
        <v>900</v>
      </c>
      <c r="F363" s="616">
        <v>41645</v>
      </c>
      <c r="G363" s="617">
        <f t="shared" si="10"/>
        <v>2014</v>
      </c>
      <c r="H363" s="617">
        <f t="shared" si="11"/>
        <v>1</v>
      </c>
      <c r="I363" s="602">
        <v>18</v>
      </c>
      <c r="J363" s="602">
        <v>2.4750000000000001</v>
      </c>
      <c r="K363" s="602">
        <v>0</v>
      </c>
      <c r="L363" s="618">
        <v>2.4750000000000001</v>
      </c>
      <c r="M363" s="619">
        <v>7188</v>
      </c>
      <c r="N363" s="602">
        <v>3.4000000000000002E-2</v>
      </c>
      <c r="O363" s="602">
        <v>2.4889999999999999</v>
      </c>
      <c r="P363" s="602">
        <v>0</v>
      </c>
    </row>
    <row r="364" spans="4:16">
      <c r="D364" s="602" t="s">
        <v>551</v>
      </c>
      <c r="E364" s="602" t="s">
        <v>900</v>
      </c>
      <c r="F364" s="616">
        <v>41676</v>
      </c>
      <c r="G364" s="617">
        <f t="shared" si="10"/>
        <v>2014</v>
      </c>
      <c r="H364" s="617">
        <f t="shared" si="11"/>
        <v>2</v>
      </c>
      <c r="I364" s="602">
        <v>19</v>
      </c>
      <c r="J364" s="602">
        <v>2.3149999999999999</v>
      </c>
      <c r="K364" s="602">
        <v>0</v>
      </c>
      <c r="L364" s="618">
        <v>2.3149999999999999</v>
      </c>
      <c r="M364" s="619">
        <v>6743</v>
      </c>
      <c r="N364" s="602">
        <v>3.4000000000000002E-2</v>
      </c>
      <c r="O364" s="602">
        <v>2.3319999999999999</v>
      </c>
      <c r="P364" s="602">
        <v>0</v>
      </c>
    </row>
    <row r="365" spans="4:16">
      <c r="D365" s="602" t="s">
        <v>551</v>
      </c>
      <c r="E365" s="602" t="s">
        <v>900</v>
      </c>
      <c r="F365" s="616">
        <v>41701</v>
      </c>
      <c r="G365" s="617">
        <f t="shared" si="10"/>
        <v>2014</v>
      </c>
      <c r="H365" s="617">
        <f t="shared" si="11"/>
        <v>3</v>
      </c>
      <c r="I365" s="602">
        <v>19</v>
      </c>
      <c r="J365" s="602">
        <v>2.2730000000000001</v>
      </c>
      <c r="K365" s="602">
        <v>0</v>
      </c>
      <c r="L365" s="618">
        <v>2.2730000000000001</v>
      </c>
      <c r="M365" s="619">
        <v>6537</v>
      </c>
      <c r="N365" s="602">
        <v>3.5000000000000003E-2</v>
      </c>
      <c r="O365" s="602">
        <v>2.282</v>
      </c>
      <c r="P365" s="602">
        <v>0</v>
      </c>
    </row>
    <row r="366" spans="4:16">
      <c r="D366" s="602" t="s">
        <v>551</v>
      </c>
      <c r="E366" s="602" t="s">
        <v>900</v>
      </c>
      <c r="F366" s="616">
        <v>41730</v>
      </c>
      <c r="G366" s="617">
        <f t="shared" si="10"/>
        <v>2014</v>
      </c>
      <c r="H366" s="617">
        <f t="shared" si="11"/>
        <v>4</v>
      </c>
      <c r="I366" s="602">
        <v>11</v>
      </c>
      <c r="J366" s="602">
        <v>2.4510000000000001</v>
      </c>
      <c r="K366" s="602">
        <v>0</v>
      </c>
      <c r="L366" s="618">
        <v>2.4510000000000001</v>
      </c>
      <c r="M366" s="619">
        <v>5924</v>
      </c>
      <c r="N366" s="602">
        <v>4.1000000000000002E-2</v>
      </c>
      <c r="O366" s="602">
        <v>2.4710000000000001</v>
      </c>
      <c r="P366" s="602">
        <v>0</v>
      </c>
    </row>
    <row r="367" spans="4:16">
      <c r="D367" s="602" t="s">
        <v>551</v>
      </c>
      <c r="E367" s="602" t="s">
        <v>900</v>
      </c>
      <c r="F367" s="616">
        <v>41789</v>
      </c>
      <c r="G367" s="617">
        <f t="shared" si="10"/>
        <v>2014</v>
      </c>
      <c r="H367" s="617">
        <f t="shared" si="11"/>
        <v>5</v>
      </c>
      <c r="I367" s="602">
        <v>16</v>
      </c>
      <c r="J367" s="602">
        <v>2.3450000000000002</v>
      </c>
      <c r="K367" s="602">
        <v>0</v>
      </c>
      <c r="L367" s="618">
        <v>2.3450000000000002</v>
      </c>
      <c r="M367" s="619">
        <v>7422</v>
      </c>
      <c r="N367" s="602">
        <v>3.2000000000000001E-2</v>
      </c>
      <c r="O367" s="602">
        <v>2.3679999999999999</v>
      </c>
      <c r="P367" s="602">
        <v>0</v>
      </c>
    </row>
    <row r="368" spans="4:16">
      <c r="D368" s="602" t="s">
        <v>551</v>
      </c>
      <c r="E368" s="602" t="s">
        <v>900</v>
      </c>
      <c r="F368" s="616">
        <v>41814</v>
      </c>
      <c r="G368" s="617">
        <f t="shared" si="10"/>
        <v>2014</v>
      </c>
      <c r="H368" s="617">
        <f t="shared" si="11"/>
        <v>6</v>
      </c>
      <c r="I368" s="602">
        <v>16</v>
      </c>
      <c r="J368" s="602">
        <v>2.7770000000000001</v>
      </c>
      <c r="K368" s="602">
        <v>0</v>
      </c>
      <c r="L368" s="618">
        <v>2.7770000000000001</v>
      </c>
      <c r="M368" s="619">
        <v>7670</v>
      </c>
      <c r="N368" s="602">
        <v>3.5999999999999997E-2</v>
      </c>
      <c r="O368" s="602">
        <v>2.8050000000000002</v>
      </c>
      <c r="P368" s="602">
        <v>0</v>
      </c>
    </row>
    <row r="369" spans="4:16">
      <c r="D369" s="602" t="s">
        <v>551</v>
      </c>
      <c r="E369" s="602" t="s">
        <v>900</v>
      </c>
      <c r="F369" s="616">
        <v>41841</v>
      </c>
      <c r="G369" s="617">
        <f t="shared" si="10"/>
        <v>2014</v>
      </c>
      <c r="H369" s="617">
        <f t="shared" si="11"/>
        <v>7</v>
      </c>
      <c r="I369" s="602">
        <v>17</v>
      </c>
      <c r="J369" s="602">
        <v>3.09</v>
      </c>
      <c r="K369" s="602">
        <v>0</v>
      </c>
      <c r="L369" s="618">
        <v>3.09</v>
      </c>
      <c r="M369" s="619">
        <v>9150</v>
      </c>
      <c r="N369" s="602">
        <v>3.4000000000000002E-2</v>
      </c>
      <c r="O369" s="602">
        <v>3.4689999999999999</v>
      </c>
      <c r="P369" s="602">
        <v>0</v>
      </c>
    </row>
    <row r="370" spans="4:16">
      <c r="D370" s="602" t="s">
        <v>551</v>
      </c>
      <c r="E370" s="602" t="s">
        <v>900</v>
      </c>
      <c r="F370" s="616">
        <v>41869</v>
      </c>
      <c r="G370" s="617">
        <f t="shared" si="10"/>
        <v>2014</v>
      </c>
      <c r="H370" s="617">
        <f t="shared" si="11"/>
        <v>8</v>
      </c>
      <c r="I370" s="602">
        <v>16</v>
      </c>
      <c r="J370" s="602">
        <v>3.26</v>
      </c>
      <c r="K370" s="602">
        <v>0</v>
      </c>
      <c r="L370" s="618">
        <v>3.26</v>
      </c>
      <c r="M370" s="619">
        <v>8190</v>
      </c>
      <c r="N370" s="602">
        <v>0.04</v>
      </c>
      <c r="O370" s="602">
        <v>3.2930000000000001</v>
      </c>
      <c r="P370" s="602">
        <v>0</v>
      </c>
    </row>
    <row r="371" spans="4:16">
      <c r="D371" s="602" t="s">
        <v>551</v>
      </c>
      <c r="E371" s="602" t="s">
        <v>900</v>
      </c>
      <c r="F371" s="616">
        <v>41886</v>
      </c>
      <c r="G371" s="617">
        <f t="shared" si="10"/>
        <v>2014</v>
      </c>
      <c r="H371" s="617">
        <f t="shared" si="11"/>
        <v>9</v>
      </c>
      <c r="I371" s="602">
        <v>15</v>
      </c>
      <c r="J371" s="602">
        <v>3.2639999999999998</v>
      </c>
      <c r="K371" s="602">
        <v>0</v>
      </c>
      <c r="L371" s="618">
        <v>3.2639999999999998</v>
      </c>
      <c r="M371" s="619">
        <v>7758</v>
      </c>
      <c r="N371" s="602">
        <v>4.2000000000000003E-2</v>
      </c>
      <c r="O371" s="602">
        <v>3.2919999999999998</v>
      </c>
      <c r="P371" s="602">
        <v>0</v>
      </c>
    </row>
    <row r="372" spans="4:16">
      <c r="D372" s="602" t="s">
        <v>551</v>
      </c>
      <c r="E372" s="602" t="s">
        <v>900</v>
      </c>
      <c r="F372" s="616">
        <v>41942</v>
      </c>
      <c r="G372" s="617">
        <f t="shared" si="10"/>
        <v>2014</v>
      </c>
      <c r="H372" s="617">
        <f t="shared" si="11"/>
        <v>10</v>
      </c>
      <c r="I372" s="602">
        <v>20</v>
      </c>
      <c r="J372" s="602">
        <v>2.125</v>
      </c>
      <c r="K372" s="602">
        <v>0</v>
      </c>
      <c r="L372" s="618">
        <v>2.125</v>
      </c>
      <c r="M372" s="619">
        <v>5901</v>
      </c>
      <c r="N372" s="602">
        <v>3.5999999999999997E-2</v>
      </c>
      <c r="O372" s="602">
        <v>2.16</v>
      </c>
      <c r="P372" s="602">
        <v>0</v>
      </c>
    </row>
    <row r="373" spans="4:16">
      <c r="D373" s="602" t="s">
        <v>551</v>
      </c>
      <c r="E373" s="602" t="s">
        <v>900</v>
      </c>
      <c r="F373" s="616">
        <v>41960</v>
      </c>
      <c r="G373" s="617">
        <f t="shared" si="10"/>
        <v>2014</v>
      </c>
      <c r="H373" s="617">
        <f t="shared" si="11"/>
        <v>11</v>
      </c>
      <c r="I373" s="602">
        <v>18</v>
      </c>
      <c r="J373" s="602">
        <v>2.46</v>
      </c>
      <c r="K373" s="602">
        <v>0</v>
      </c>
      <c r="L373" s="618">
        <v>2.46</v>
      </c>
      <c r="M373" s="619">
        <v>6677</v>
      </c>
      <c r="N373" s="602">
        <v>3.6999999999999998E-2</v>
      </c>
      <c r="O373" s="602">
        <v>2.4710000000000001</v>
      </c>
      <c r="P373" s="602">
        <v>0</v>
      </c>
    </row>
    <row r="374" spans="4:16">
      <c r="D374" s="602" t="s">
        <v>551</v>
      </c>
      <c r="E374" s="602" t="s">
        <v>900</v>
      </c>
      <c r="F374" s="616">
        <v>41974</v>
      </c>
      <c r="G374" s="617">
        <f t="shared" si="10"/>
        <v>2014</v>
      </c>
      <c r="H374" s="617">
        <f t="shared" si="11"/>
        <v>12</v>
      </c>
      <c r="I374" s="602">
        <v>18</v>
      </c>
      <c r="J374" s="602">
        <v>2.7149999999999999</v>
      </c>
      <c r="K374" s="602">
        <v>0</v>
      </c>
      <c r="L374" s="618">
        <v>2.7149999999999999</v>
      </c>
      <c r="M374" s="619">
        <v>6850</v>
      </c>
      <c r="N374" s="602">
        <v>0.04</v>
      </c>
      <c r="O374" s="602">
        <v>2.7389999999999999</v>
      </c>
      <c r="P374" s="602">
        <v>0</v>
      </c>
    </row>
    <row r="375" spans="4:16">
      <c r="D375" s="602" t="s">
        <v>551</v>
      </c>
      <c r="E375" s="602" t="s">
        <v>900</v>
      </c>
      <c r="F375" s="616">
        <v>42011</v>
      </c>
      <c r="G375" s="617">
        <f t="shared" si="10"/>
        <v>2015</v>
      </c>
      <c r="H375" s="617">
        <f t="shared" si="11"/>
        <v>1</v>
      </c>
      <c r="I375" s="602">
        <v>18</v>
      </c>
      <c r="J375" s="602">
        <v>2.7109999999999999</v>
      </c>
      <c r="K375" s="602">
        <v>0</v>
      </c>
      <c r="L375" s="618">
        <v>2.7109999999999999</v>
      </c>
      <c r="M375" s="619">
        <v>6978</v>
      </c>
      <c r="N375" s="602">
        <v>3.9E-2</v>
      </c>
      <c r="O375" s="602">
        <v>2.7509999999999999</v>
      </c>
      <c r="P375" s="602">
        <v>0</v>
      </c>
    </row>
    <row r="376" spans="4:16">
      <c r="D376" s="602" t="s">
        <v>551</v>
      </c>
      <c r="E376" s="602" t="s">
        <v>900</v>
      </c>
      <c r="F376" s="616">
        <v>42053</v>
      </c>
      <c r="G376" s="617">
        <f t="shared" si="10"/>
        <v>2015</v>
      </c>
      <c r="H376" s="617">
        <f t="shared" si="11"/>
        <v>2</v>
      </c>
      <c r="I376" s="602">
        <v>19</v>
      </c>
      <c r="J376" s="602">
        <v>2.464</v>
      </c>
      <c r="K376" s="602">
        <v>0</v>
      </c>
      <c r="L376" s="618">
        <v>2.464</v>
      </c>
      <c r="M376" s="619">
        <v>6744</v>
      </c>
      <c r="N376" s="602">
        <v>3.6999999999999998E-2</v>
      </c>
      <c r="O376" s="602">
        <v>2.4670000000000001</v>
      </c>
      <c r="P376" s="602">
        <v>0</v>
      </c>
    </row>
    <row r="377" spans="4:16">
      <c r="D377" s="602" t="s">
        <v>551</v>
      </c>
      <c r="E377" s="602" t="s">
        <v>900</v>
      </c>
      <c r="F377" s="616">
        <v>42067</v>
      </c>
      <c r="G377" s="617">
        <f t="shared" si="10"/>
        <v>2015</v>
      </c>
      <c r="H377" s="617">
        <f t="shared" si="11"/>
        <v>3</v>
      </c>
      <c r="I377" s="602">
        <v>20</v>
      </c>
      <c r="J377" s="602">
        <v>2.0990000000000002</v>
      </c>
      <c r="K377" s="602">
        <v>0</v>
      </c>
      <c r="L377" s="618">
        <v>2.0990000000000002</v>
      </c>
      <c r="M377" s="619">
        <v>6470</v>
      </c>
      <c r="N377" s="602">
        <v>3.2000000000000001E-2</v>
      </c>
      <c r="O377" s="602">
        <v>2.12</v>
      </c>
      <c r="P377" s="602">
        <v>0</v>
      </c>
    </row>
    <row r="378" spans="4:16">
      <c r="D378" s="602" t="s">
        <v>551</v>
      </c>
      <c r="E378" s="602" t="s">
        <v>900</v>
      </c>
      <c r="F378" s="616">
        <v>42103</v>
      </c>
      <c r="G378" s="617">
        <f t="shared" si="10"/>
        <v>2015</v>
      </c>
      <c r="H378" s="617">
        <f t="shared" si="11"/>
        <v>4</v>
      </c>
      <c r="I378" s="602">
        <v>12</v>
      </c>
      <c r="J378" s="602">
        <v>2.2709999999999999</v>
      </c>
      <c r="K378" s="602">
        <v>0</v>
      </c>
      <c r="L378" s="618">
        <v>2.2709999999999999</v>
      </c>
      <c r="M378" s="619">
        <v>5914</v>
      </c>
      <c r="N378" s="602">
        <v>3.7999999999999999E-2</v>
      </c>
      <c r="O378" s="602">
        <v>2.2930000000000001</v>
      </c>
      <c r="P378" s="602">
        <v>0</v>
      </c>
    </row>
    <row r="379" spans="4:16">
      <c r="D379" s="602" t="s">
        <v>551</v>
      </c>
      <c r="E379" s="602" t="s">
        <v>900</v>
      </c>
      <c r="F379" s="616">
        <v>42152</v>
      </c>
      <c r="G379" s="617">
        <f t="shared" si="10"/>
        <v>2015</v>
      </c>
      <c r="H379" s="617">
        <f t="shared" si="11"/>
        <v>5</v>
      </c>
      <c r="I379" s="602">
        <v>16</v>
      </c>
      <c r="J379" s="602">
        <v>2.3690000000000002</v>
      </c>
      <c r="K379" s="602">
        <v>0</v>
      </c>
      <c r="L379" s="618">
        <v>2.3690000000000002</v>
      </c>
      <c r="M379" s="619">
        <v>6837</v>
      </c>
      <c r="N379" s="602">
        <v>3.5000000000000003E-2</v>
      </c>
      <c r="O379" s="602">
        <v>2.391</v>
      </c>
      <c r="P379" s="602">
        <v>0</v>
      </c>
    </row>
    <row r="380" spans="4:16">
      <c r="D380" s="602" t="s">
        <v>551</v>
      </c>
      <c r="E380" s="602" t="s">
        <v>900</v>
      </c>
      <c r="F380" s="616">
        <v>42164</v>
      </c>
      <c r="G380" s="617">
        <f t="shared" si="10"/>
        <v>2015</v>
      </c>
      <c r="H380" s="617">
        <f t="shared" si="11"/>
        <v>6</v>
      </c>
      <c r="I380" s="602">
        <v>17</v>
      </c>
      <c r="J380" s="602">
        <v>2.8580000000000001</v>
      </c>
      <c r="K380" s="602">
        <v>0</v>
      </c>
      <c r="L380" s="618">
        <v>2.8580000000000001</v>
      </c>
      <c r="M380" s="619">
        <v>8136</v>
      </c>
      <c r="N380" s="602">
        <v>3.5000000000000003E-2</v>
      </c>
      <c r="O380" s="602">
        <v>2.9009999999999998</v>
      </c>
      <c r="P380" s="602">
        <v>0</v>
      </c>
    </row>
    <row r="381" spans="4:16">
      <c r="D381" s="602" t="s">
        <v>551</v>
      </c>
      <c r="E381" s="602" t="s">
        <v>900</v>
      </c>
      <c r="F381" s="616">
        <v>42212</v>
      </c>
      <c r="G381" s="617">
        <f t="shared" si="10"/>
        <v>2015</v>
      </c>
      <c r="H381" s="617">
        <f t="shared" si="11"/>
        <v>7</v>
      </c>
      <c r="I381" s="602">
        <v>17</v>
      </c>
      <c r="J381" s="602">
        <v>3.2090000000000001</v>
      </c>
      <c r="K381" s="602">
        <v>0</v>
      </c>
      <c r="L381" s="618">
        <v>3.2090000000000001</v>
      </c>
      <c r="M381" s="619">
        <v>8769</v>
      </c>
      <c r="N381" s="602">
        <v>3.6999999999999998E-2</v>
      </c>
      <c r="O381" s="602">
        <v>3.2530000000000001</v>
      </c>
      <c r="P381" s="602">
        <v>0</v>
      </c>
    </row>
    <row r="382" spans="4:16">
      <c r="D382" s="602" t="s">
        <v>551</v>
      </c>
      <c r="E382" s="602" t="s">
        <v>900</v>
      </c>
      <c r="F382" s="616">
        <v>42230</v>
      </c>
      <c r="G382" s="617">
        <f t="shared" si="10"/>
        <v>2015</v>
      </c>
      <c r="H382" s="617">
        <f t="shared" si="11"/>
        <v>8</v>
      </c>
      <c r="I382" s="602">
        <v>16</v>
      </c>
      <c r="J382" s="602">
        <v>3.488</v>
      </c>
      <c r="K382" s="602">
        <v>0</v>
      </c>
      <c r="L382" s="618">
        <v>3.488</v>
      </c>
      <c r="M382" s="619">
        <v>8926</v>
      </c>
      <c r="N382" s="602">
        <v>3.9E-2</v>
      </c>
      <c r="O382" s="602">
        <v>3.51</v>
      </c>
      <c r="P382" s="602">
        <v>0</v>
      </c>
    </row>
    <row r="383" spans="4:16">
      <c r="D383" s="602" t="s">
        <v>551</v>
      </c>
      <c r="E383" s="602" t="s">
        <v>900</v>
      </c>
      <c r="F383" s="616">
        <v>42250</v>
      </c>
      <c r="G383" s="617">
        <f t="shared" si="10"/>
        <v>2015</v>
      </c>
      <c r="H383" s="617">
        <f t="shared" si="11"/>
        <v>9</v>
      </c>
      <c r="I383" s="602">
        <v>17</v>
      </c>
      <c r="J383" s="602">
        <v>3.4910000000000001</v>
      </c>
      <c r="K383" s="602">
        <v>0</v>
      </c>
      <c r="L383" s="618">
        <v>3.4910000000000001</v>
      </c>
      <c r="M383" s="619">
        <v>8657</v>
      </c>
      <c r="N383" s="602">
        <v>0.04</v>
      </c>
      <c r="O383" s="602">
        <v>3.5369999999999999</v>
      </c>
      <c r="P383" s="602">
        <v>0</v>
      </c>
    </row>
    <row r="384" spans="4:16">
      <c r="D384" s="602" t="s">
        <v>551</v>
      </c>
      <c r="E384" s="602" t="s">
        <v>900</v>
      </c>
      <c r="F384" s="616">
        <v>42285</v>
      </c>
      <c r="G384" s="617">
        <f t="shared" si="10"/>
        <v>2015</v>
      </c>
      <c r="H384" s="617">
        <f t="shared" si="11"/>
        <v>10</v>
      </c>
      <c r="I384" s="602">
        <v>12</v>
      </c>
      <c r="J384" s="602">
        <v>2.4860000000000002</v>
      </c>
      <c r="K384" s="602">
        <v>0</v>
      </c>
      <c r="L384" s="618">
        <v>2.4860000000000002</v>
      </c>
      <c r="M384" s="619">
        <v>5943</v>
      </c>
      <c r="N384" s="602">
        <v>4.2000000000000003E-2</v>
      </c>
      <c r="O384" s="602">
        <v>2.5</v>
      </c>
      <c r="P384" s="602">
        <v>0</v>
      </c>
    </row>
    <row r="385" spans="4:16">
      <c r="D385" s="602" t="s">
        <v>551</v>
      </c>
      <c r="E385" s="602" t="s">
        <v>900</v>
      </c>
      <c r="F385" s="616">
        <v>42338</v>
      </c>
      <c r="G385" s="617">
        <f t="shared" si="10"/>
        <v>2015</v>
      </c>
      <c r="H385" s="617">
        <f t="shared" si="11"/>
        <v>11</v>
      </c>
      <c r="I385" s="602">
        <v>18</v>
      </c>
      <c r="J385" s="602">
        <v>2.327</v>
      </c>
      <c r="K385" s="602">
        <v>0</v>
      </c>
      <c r="L385" s="618">
        <v>2.327</v>
      </c>
      <c r="M385" s="619">
        <v>6574</v>
      </c>
      <c r="N385" s="602">
        <v>3.5000000000000003E-2</v>
      </c>
      <c r="O385" s="602">
        <v>2.343</v>
      </c>
      <c r="P385" s="602">
        <v>0</v>
      </c>
    </row>
    <row r="386" spans="4:16">
      <c r="D386" s="602" t="s">
        <v>551</v>
      </c>
      <c r="E386" s="602" t="s">
        <v>900</v>
      </c>
      <c r="F386" s="616">
        <v>42355</v>
      </c>
      <c r="G386" s="617">
        <f t="shared" si="10"/>
        <v>2015</v>
      </c>
      <c r="H386" s="617">
        <f t="shared" si="11"/>
        <v>12</v>
      </c>
      <c r="I386" s="602">
        <v>18</v>
      </c>
      <c r="J386" s="602">
        <v>2.3290000000000002</v>
      </c>
      <c r="K386" s="602">
        <v>0</v>
      </c>
      <c r="L386" s="618">
        <v>2.3290000000000002</v>
      </c>
      <c r="M386" s="619">
        <v>6450</v>
      </c>
      <c r="N386" s="602">
        <v>3.5999999999999997E-2</v>
      </c>
      <c r="O386" s="602">
        <v>2.3660000000000001</v>
      </c>
      <c r="P386" s="602">
        <v>0</v>
      </c>
    </row>
    <row r="387" spans="4:16">
      <c r="D387" s="602" t="s">
        <v>551</v>
      </c>
      <c r="E387" s="620" t="s">
        <v>903</v>
      </c>
      <c r="F387" s="621">
        <v>40927</v>
      </c>
      <c r="G387" s="617">
        <f t="shared" ref="G387:G450" si="12">YEAR(F387)</f>
        <v>2012</v>
      </c>
      <c r="H387" s="617">
        <f t="shared" ref="H387:H450" si="13">MONTH(F387)</f>
        <v>1</v>
      </c>
      <c r="I387" s="620">
        <v>19</v>
      </c>
      <c r="J387" s="620">
        <v>5.92</v>
      </c>
      <c r="K387" s="620">
        <v>0</v>
      </c>
      <c r="L387" s="622">
        <v>4.92</v>
      </c>
      <c r="M387" s="620">
        <v>6604</v>
      </c>
      <c r="N387" s="623">
        <v>8.9999999999999998E-4</v>
      </c>
      <c r="O387" s="620">
        <v>6.0410000000000004</v>
      </c>
      <c r="P387" s="620">
        <v>0</v>
      </c>
    </row>
    <row r="388" spans="4:16">
      <c r="D388" s="602" t="s">
        <v>551</v>
      </c>
      <c r="E388" s="620" t="s">
        <v>903</v>
      </c>
      <c r="F388" s="621">
        <v>40967</v>
      </c>
      <c r="G388" s="617">
        <f t="shared" si="12"/>
        <v>2012</v>
      </c>
      <c r="H388" s="617">
        <f t="shared" si="13"/>
        <v>2</v>
      </c>
      <c r="I388" s="620">
        <v>19</v>
      </c>
      <c r="J388" s="620">
        <v>5.3449999999999998</v>
      </c>
      <c r="K388" s="620">
        <v>0</v>
      </c>
      <c r="L388" s="622">
        <v>4.3449999999999998</v>
      </c>
      <c r="M388" s="620">
        <v>6178</v>
      </c>
      <c r="N388" s="623">
        <v>8.9999999999999998E-4</v>
      </c>
      <c r="O388" s="620">
        <v>5.4409999999999998</v>
      </c>
      <c r="P388" s="620">
        <v>0</v>
      </c>
    </row>
    <row r="389" spans="4:16">
      <c r="D389" s="602" t="s">
        <v>551</v>
      </c>
      <c r="E389" s="620" t="s">
        <v>903</v>
      </c>
      <c r="F389" s="621">
        <v>40987</v>
      </c>
      <c r="G389" s="617">
        <f t="shared" si="12"/>
        <v>2012</v>
      </c>
      <c r="H389" s="617">
        <f t="shared" si="13"/>
        <v>3</v>
      </c>
      <c r="I389" s="620">
        <v>14</v>
      </c>
      <c r="J389" s="620">
        <v>5.8819999999999997</v>
      </c>
      <c r="K389" s="620">
        <v>0</v>
      </c>
      <c r="L389" s="622">
        <v>4.8819999999999997</v>
      </c>
      <c r="M389" s="620">
        <v>6170</v>
      </c>
      <c r="N389" s="623">
        <v>1E-3</v>
      </c>
      <c r="O389" s="620">
        <v>5.9720000000000004</v>
      </c>
      <c r="P389" s="620">
        <v>0</v>
      </c>
    </row>
    <row r="390" spans="4:16">
      <c r="D390" s="602" t="s">
        <v>551</v>
      </c>
      <c r="E390" s="620" t="s">
        <v>903</v>
      </c>
      <c r="F390" s="621">
        <v>41024</v>
      </c>
      <c r="G390" s="617">
        <f t="shared" si="12"/>
        <v>2012</v>
      </c>
      <c r="H390" s="617">
        <f t="shared" si="13"/>
        <v>4</v>
      </c>
      <c r="I390" s="620">
        <v>15</v>
      </c>
      <c r="J390" s="620">
        <v>5.468</v>
      </c>
      <c r="K390" s="620">
        <v>0</v>
      </c>
      <c r="L390" s="622">
        <v>4.468</v>
      </c>
      <c r="M390" s="620">
        <v>5813</v>
      </c>
      <c r="N390" s="623">
        <v>8.9999999999999998E-4</v>
      </c>
      <c r="O390" s="620">
        <v>5.5640000000000001</v>
      </c>
      <c r="P390" s="620">
        <v>0</v>
      </c>
    </row>
    <row r="391" spans="4:16">
      <c r="D391" s="602" t="s">
        <v>551</v>
      </c>
      <c r="E391" s="620" t="s">
        <v>903</v>
      </c>
      <c r="F391" s="621">
        <v>41047</v>
      </c>
      <c r="G391" s="617">
        <f t="shared" si="12"/>
        <v>2012</v>
      </c>
      <c r="H391" s="617">
        <f t="shared" si="13"/>
        <v>5</v>
      </c>
      <c r="I391" s="620">
        <v>17</v>
      </c>
      <c r="J391" s="620">
        <v>6.1829999999999998</v>
      </c>
      <c r="K391" s="620">
        <v>0</v>
      </c>
      <c r="L391" s="622">
        <v>4.1829999999999998</v>
      </c>
      <c r="M391" s="620">
        <v>7203</v>
      </c>
      <c r="N391" s="623">
        <v>8.9999999999999998E-4</v>
      </c>
      <c r="O391" s="620">
        <v>6.29</v>
      </c>
      <c r="P391" s="620">
        <v>0</v>
      </c>
    </row>
    <row r="392" spans="4:16">
      <c r="D392" s="602" t="s">
        <v>551</v>
      </c>
      <c r="E392" s="620" t="s">
        <v>903</v>
      </c>
      <c r="F392" s="621">
        <v>41087</v>
      </c>
      <c r="G392" s="617">
        <f t="shared" si="12"/>
        <v>2012</v>
      </c>
      <c r="H392" s="617">
        <f t="shared" si="13"/>
        <v>6</v>
      </c>
      <c r="I392" s="620">
        <v>17</v>
      </c>
      <c r="J392" s="620">
        <v>10.260999999999999</v>
      </c>
      <c r="K392" s="620">
        <v>0</v>
      </c>
      <c r="L392" s="622">
        <v>8.2609999999999992</v>
      </c>
      <c r="M392" s="620">
        <v>8833</v>
      </c>
      <c r="N392" s="623">
        <v>1.1999999999999999E-3</v>
      </c>
      <c r="O392" s="620">
        <v>10.444000000000001</v>
      </c>
      <c r="P392" s="620">
        <v>0</v>
      </c>
    </row>
    <row r="393" spans="4:16">
      <c r="D393" s="602" t="s">
        <v>551</v>
      </c>
      <c r="E393" s="620" t="s">
        <v>903</v>
      </c>
      <c r="F393" s="621">
        <v>41092</v>
      </c>
      <c r="G393" s="617">
        <f t="shared" si="12"/>
        <v>2012</v>
      </c>
      <c r="H393" s="617">
        <f t="shared" si="13"/>
        <v>7</v>
      </c>
      <c r="I393" s="620">
        <v>17</v>
      </c>
      <c r="J393" s="620">
        <v>12.08</v>
      </c>
      <c r="K393" s="620">
        <v>0</v>
      </c>
      <c r="L393" s="622">
        <v>10.08</v>
      </c>
      <c r="M393" s="620">
        <v>9682</v>
      </c>
      <c r="N393" s="623">
        <v>1.1999999999999999E-3</v>
      </c>
      <c r="O393" s="620">
        <v>12.282999999999999</v>
      </c>
      <c r="P393" s="620">
        <v>0</v>
      </c>
    </row>
    <row r="394" spans="4:16">
      <c r="D394" s="602" t="s">
        <v>551</v>
      </c>
      <c r="E394" s="620" t="s">
        <v>903</v>
      </c>
      <c r="F394" s="621">
        <v>41122</v>
      </c>
      <c r="G394" s="617">
        <f t="shared" si="12"/>
        <v>2012</v>
      </c>
      <c r="H394" s="617">
        <f t="shared" si="13"/>
        <v>8</v>
      </c>
      <c r="I394" s="620">
        <v>17</v>
      </c>
      <c r="J394" s="620">
        <v>11.404</v>
      </c>
      <c r="K394" s="620">
        <v>0</v>
      </c>
      <c r="L394" s="622">
        <v>9.4039999999999999</v>
      </c>
      <c r="M394" s="620">
        <v>8979</v>
      </c>
      <c r="N394" s="623">
        <v>1.2999999999999999E-3</v>
      </c>
      <c r="O394" s="620">
        <v>11.595000000000001</v>
      </c>
      <c r="P394" s="620">
        <v>0</v>
      </c>
    </row>
    <row r="395" spans="4:16">
      <c r="D395" s="602" t="s">
        <v>551</v>
      </c>
      <c r="E395" s="620" t="s">
        <v>903</v>
      </c>
      <c r="F395" s="621">
        <v>41156</v>
      </c>
      <c r="G395" s="617">
        <f t="shared" si="12"/>
        <v>2012</v>
      </c>
      <c r="H395" s="617">
        <f t="shared" si="13"/>
        <v>9</v>
      </c>
      <c r="I395" s="620">
        <v>16</v>
      </c>
      <c r="J395" s="620">
        <v>10.097</v>
      </c>
      <c r="K395" s="620">
        <v>0</v>
      </c>
      <c r="L395" s="622">
        <v>8.0969999999999995</v>
      </c>
      <c r="M395" s="620">
        <v>8521</v>
      </c>
      <c r="N395" s="623">
        <v>1.1999999999999999E-3</v>
      </c>
      <c r="O395" s="620">
        <v>10.257</v>
      </c>
      <c r="P395" s="620">
        <v>0</v>
      </c>
    </row>
    <row r="396" spans="4:16">
      <c r="D396" s="602" t="s">
        <v>551</v>
      </c>
      <c r="E396" s="620" t="s">
        <v>903</v>
      </c>
      <c r="F396" s="621">
        <v>41185</v>
      </c>
      <c r="G396" s="617">
        <f t="shared" si="12"/>
        <v>2012</v>
      </c>
      <c r="H396" s="617">
        <f t="shared" si="13"/>
        <v>10</v>
      </c>
      <c r="I396" s="620">
        <v>14</v>
      </c>
      <c r="J396" s="620">
        <v>6.48</v>
      </c>
      <c r="K396" s="620">
        <v>0</v>
      </c>
      <c r="L396" s="622">
        <v>4.4800000000000004</v>
      </c>
      <c r="M396" s="620">
        <v>6122</v>
      </c>
      <c r="N396" s="623">
        <v>1.1000000000000001E-3</v>
      </c>
      <c r="O396" s="620">
        <v>6.59</v>
      </c>
      <c r="P396" s="620">
        <v>0</v>
      </c>
    </row>
    <row r="397" spans="4:16">
      <c r="D397" s="602" t="s">
        <v>551</v>
      </c>
      <c r="E397" s="620" t="s">
        <v>903</v>
      </c>
      <c r="F397" s="621">
        <v>41239</v>
      </c>
      <c r="G397" s="617">
        <f t="shared" si="12"/>
        <v>2012</v>
      </c>
      <c r="H397" s="617">
        <f t="shared" si="13"/>
        <v>11</v>
      </c>
      <c r="I397" s="620">
        <v>18</v>
      </c>
      <c r="J397" s="620">
        <v>6.7080000000000002</v>
      </c>
      <c r="K397" s="620">
        <v>0</v>
      </c>
      <c r="L397" s="622">
        <v>5.7080000000000002</v>
      </c>
      <c r="M397" s="620">
        <v>6416</v>
      </c>
      <c r="N397" s="623">
        <v>1E-3</v>
      </c>
      <c r="O397" s="620">
        <v>6.8319999999999999</v>
      </c>
      <c r="P397" s="620">
        <v>0</v>
      </c>
    </row>
    <row r="398" spans="4:16">
      <c r="D398" s="602" t="s">
        <v>551</v>
      </c>
      <c r="E398" s="620" t="s">
        <v>903</v>
      </c>
      <c r="F398" s="621">
        <v>41253</v>
      </c>
      <c r="G398" s="617">
        <f t="shared" si="12"/>
        <v>2012</v>
      </c>
      <c r="H398" s="617">
        <f t="shared" si="13"/>
        <v>12</v>
      </c>
      <c r="I398" s="620">
        <v>18</v>
      </c>
      <c r="J398" s="620">
        <v>6.6139999999999999</v>
      </c>
      <c r="K398" s="620">
        <v>0</v>
      </c>
      <c r="L398" s="622">
        <v>5.6139999999999999</v>
      </c>
      <c r="M398" s="620">
        <v>6609</v>
      </c>
      <c r="N398" s="623">
        <v>1E-3</v>
      </c>
      <c r="O398" s="620">
        <v>6.7430000000000003</v>
      </c>
      <c r="P398" s="620">
        <v>0</v>
      </c>
    </row>
    <row r="399" spans="4:16">
      <c r="D399" s="602" t="s">
        <v>551</v>
      </c>
      <c r="E399" s="620" t="s">
        <v>903</v>
      </c>
      <c r="F399" s="621">
        <v>41295</v>
      </c>
      <c r="G399" s="617">
        <f t="shared" si="12"/>
        <v>2013</v>
      </c>
      <c r="H399" s="617">
        <f t="shared" si="13"/>
        <v>1</v>
      </c>
      <c r="I399" s="620">
        <v>19</v>
      </c>
      <c r="J399" s="620">
        <v>6.4710000000000001</v>
      </c>
      <c r="K399" s="620">
        <v>0</v>
      </c>
      <c r="L399" s="622">
        <v>5.4710000000000001</v>
      </c>
      <c r="M399" s="620">
        <v>6846</v>
      </c>
      <c r="N399" s="623">
        <v>8.9999999999999998E-4</v>
      </c>
      <c r="O399" s="620">
        <v>6.6</v>
      </c>
      <c r="P399" s="620">
        <v>0</v>
      </c>
    </row>
    <row r="400" spans="4:16">
      <c r="D400" s="602" t="s">
        <v>551</v>
      </c>
      <c r="E400" s="620" t="s">
        <v>903</v>
      </c>
      <c r="F400" s="621">
        <v>41324</v>
      </c>
      <c r="G400" s="617">
        <f t="shared" si="12"/>
        <v>2013</v>
      </c>
      <c r="H400" s="617">
        <f t="shared" si="13"/>
        <v>2</v>
      </c>
      <c r="I400" s="620">
        <v>19</v>
      </c>
      <c r="J400" s="620">
        <v>5.5220000000000002</v>
      </c>
      <c r="K400" s="620">
        <v>0</v>
      </c>
      <c r="L400" s="622">
        <v>4.5220000000000002</v>
      </c>
      <c r="M400" s="620">
        <v>6511</v>
      </c>
      <c r="N400" s="623">
        <v>8.0000000000000004E-4</v>
      </c>
      <c r="O400" s="620">
        <v>5.63</v>
      </c>
      <c r="P400" s="620">
        <v>0</v>
      </c>
    </row>
    <row r="401" spans="4:16">
      <c r="D401" s="602" t="s">
        <v>551</v>
      </c>
      <c r="E401" s="620" t="s">
        <v>903</v>
      </c>
      <c r="F401" s="621">
        <v>41337</v>
      </c>
      <c r="G401" s="617">
        <f t="shared" si="12"/>
        <v>2013</v>
      </c>
      <c r="H401" s="617">
        <f t="shared" si="13"/>
        <v>3</v>
      </c>
      <c r="I401" s="620">
        <v>19</v>
      </c>
      <c r="J401" s="620">
        <v>5.82</v>
      </c>
      <c r="K401" s="620">
        <v>0</v>
      </c>
      <c r="L401" s="622">
        <v>4.82</v>
      </c>
      <c r="M401" s="620">
        <v>6172</v>
      </c>
      <c r="N401" s="623">
        <v>8.9999999999999998E-4</v>
      </c>
      <c r="O401" s="620">
        <v>5.899</v>
      </c>
      <c r="P401" s="620">
        <v>0</v>
      </c>
    </row>
    <row r="402" spans="4:16">
      <c r="D402" s="602" t="s">
        <v>551</v>
      </c>
      <c r="E402" s="620" t="s">
        <v>903</v>
      </c>
      <c r="F402" s="621">
        <v>41382</v>
      </c>
      <c r="G402" s="617">
        <f t="shared" si="12"/>
        <v>2013</v>
      </c>
      <c r="H402" s="617">
        <f t="shared" si="13"/>
        <v>4</v>
      </c>
      <c r="I402" s="620">
        <v>12</v>
      </c>
      <c r="J402" s="620">
        <v>5.585</v>
      </c>
      <c r="K402" s="620">
        <v>0</v>
      </c>
      <c r="L402" s="622">
        <v>4.585</v>
      </c>
      <c r="M402" s="620">
        <v>5851</v>
      </c>
      <c r="N402" s="623">
        <v>1E-3</v>
      </c>
      <c r="O402" s="620">
        <v>5.641</v>
      </c>
      <c r="P402" s="620">
        <v>0</v>
      </c>
    </row>
    <row r="403" spans="4:16">
      <c r="D403" s="602" t="s">
        <v>551</v>
      </c>
      <c r="E403" s="620" t="s">
        <v>903</v>
      </c>
      <c r="F403" s="621">
        <v>41408</v>
      </c>
      <c r="G403" s="617">
        <f t="shared" si="12"/>
        <v>2013</v>
      </c>
      <c r="H403" s="617">
        <f t="shared" si="13"/>
        <v>5</v>
      </c>
      <c r="I403" s="620">
        <v>17</v>
      </c>
      <c r="J403" s="620">
        <v>6.6189999999999998</v>
      </c>
      <c r="K403" s="620">
        <v>0</v>
      </c>
      <c r="L403" s="622">
        <v>4.6189999999999998</v>
      </c>
      <c r="M403" s="620">
        <v>6516</v>
      </c>
      <c r="N403" s="623">
        <v>1E-3</v>
      </c>
      <c r="O403" s="620">
        <v>6.6959999999999997</v>
      </c>
      <c r="P403" s="620">
        <v>0</v>
      </c>
    </row>
    <row r="404" spans="4:16">
      <c r="D404" s="602" t="s">
        <v>551</v>
      </c>
      <c r="E404" s="620" t="s">
        <v>903</v>
      </c>
      <c r="F404" s="621">
        <v>41451</v>
      </c>
      <c r="G404" s="617">
        <f t="shared" si="12"/>
        <v>2013</v>
      </c>
      <c r="H404" s="617">
        <f t="shared" si="13"/>
        <v>6</v>
      </c>
      <c r="I404" s="620">
        <v>16</v>
      </c>
      <c r="J404" s="620">
        <v>9.9920000000000009</v>
      </c>
      <c r="K404" s="620">
        <v>0</v>
      </c>
      <c r="L404" s="622">
        <v>7.992</v>
      </c>
      <c r="M404" s="620">
        <v>8280</v>
      </c>
      <c r="N404" s="623">
        <v>1.1999999999999999E-3</v>
      </c>
      <c r="O404" s="620">
        <v>10.102</v>
      </c>
      <c r="P404" s="620">
        <v>0</v>
      </c>
    </row>
    <row r="405" spans="4:16">
      <c r="D405" s="602" t="s">
        <v>551</v>
      </c>
      <c r="E405" s="620" t="s">
        <v>903</v>
      </c>
      <c r="F405" s="621">
        <v>41473</v>
      </c>
      <c r="G405" s="617">
        <f t="shared" si="12"/>
        <v>2013</v>
      </c>
      <c r="H405" s="617">
        <f t="shared" si="13"/>
        <v>7</v>
      </c>
      <c r="I405" s="620">
        <v>17</v>
      </c>
      <c r="J405" s="620">
        <v>11.231</v>
      </c>
      <c r="K405" s="620">
        <v>0</v>
      </c>
      <c r="L405" s="622">
        <v>9.2309999999999999</v>
      </c>
      <c r="M405" s="620">
        <v>9566</v>
      </c>
      <c r="N405" s="623">
        <v>1.1999999999999999E-3</v>
      </c>
      <c r="O405" s="620">
        <v>11.36</v>
      </c>
      <c r="P405" s="620">
        <v>0</v>
      </c>
    </row>
    <row r="406" spans="4:16">
      <c r="D406" s="602" t="s">
        <v>551</v>
      </c>
      <c r="E406" s="620" t="s">
        <v>903</v>
      </c>
      <c r="F406" s="621">
        <v>41512</v>
      </c>
      <c r="G406" s="617">
        <f t="shared" si="12"/>
        <v>2013</v>
      </c>
      <c r="H406" s="617">
        <f t="shared" si="13"/>
        <v>8</v>
      </c>
      <c r="I406" s="620">
        <v>17</v>
      </c>
      <c r="J406" s="620">
        <v>11.321999999999999</v>
      </c>
      <c r="K406" s="620">
        <v>0</v>
      </c>
      <c r="L406" s="622">
        <v>9.3219999999999992</v>
      </c>
      <c r="M406" s="620">
        <v>9821</v>
      </c>
      <c r="N406" s="623">
        <v>1.1999999999999999E-3</v>
      </c>
      <c r="O406" s="620">
        <v>11.47</v>
      </c>
      <c r="P406" s="620">
        <v>0</v>
      </c>
    </row>
    <row r="407" spans="4:16">
      <c r="D407" s="602" t="s">
        <v>551</v>
      </c>
      <c r="E407" s="620" t="s">
        <v>903</v>
      </c>
      <c r="F407" s="621">
        <v>41526</v>
      </c>
      <c r="G407" s="617">
        <f t="shared" si="12"/>
        <v>2013</v>
      </c>
      <c r="H407" s="617">
        <f t="shared" si="13"/>
        <v>9</v>
      </c>
      <c r="I407" s="620">
        <v>17</v>
      </c>
      <c r="J407" s="620">
        <v>11.481999999999999</v>
      </c>
      <c r="K407" s="620">
        <v>0</v>
      </c>
      <c r="L407" s="622">
        <v>9.4819999999999993</v>
      </c>
      <c r="M407" s="620">
        <v>8781</v>
      </c>
      <c r="N407" s="623">
        <v>1.2999999999999999E-3</v>
      </c>
      <c r="O407" s="620">
        <v>11.605</v>
      </c>
      <c r="P407" s="620">
        <v>0</v>
      </c>
    </row>
    <row r="408" spans="4:16">
      <c r="D408" s="602" t="s">
        <v>551</v>
      </c>
      <c r="E408" s="620" t="s">
        <v>903</v>
      </c>
      <c r="F408" s="621">
        <v>41548</v>
      </c>
      <c r="G408" s="617">
        <f t="shared" si="12"/>
        <v>2013</v>
      </c>
      <c r="H408" s="617">
        <f t="shared" si="13"/>
        <v>10</v>
      </c>
      <c r="I408" s="620">
        <v>14</v>
      </c>
      <c r="J408" s="620">
        <v>7.5069999999999997</v>
      </c>
      <c r="K408" s="620">
        <v>0</v>
      </c>
      <c r="L408" s="622">
        <v>5.5069999999999997</v>
      </c>
      <c r="M408" s="620">
        <v>6214</v>
      </c>
      <c r="N408" s="623">
        <v>1.1999999999999999E-3</v>
      </c>
      <c r="O408" s="620">
        <v>7.593</v>
      </c>
      <c r="P408" s="620">
        <v>0</v>
      </c>
    </row>
    <row r="409" spans="4:16">
      <c r="D409" s="602" t="s">
        <v>551</v>
      </c>
      <c r="E409" s="620" t="s">
        <v>903</v>
      </c>
      <c r="F409" s="621">
        <v>41604</v>
      </c>
      <c r="G409" s="617">
        <f t="shared" si="12"/>
        <v>2013</v>
      </c>
      <c r="H409" s="617">
        <f t="shared" si="13"/>
        <v>11</v>
      </c>
      <c r="I409" s="620">
        <v>18</v>
      </c>
      <c r="J409" s="620">
        <v>6.8</v>
      </c>
      <c r="K409" s="620">
        <v>0</v>
      </c>
      <c r="L409" s="622">
        <v>5.8</v>
      </c>
      <c r="M409" s="620">
        <v>6372</v>
      </c>
      <c r="N409" s="623">
        <v>1.1000000000000001E-3</v>
      </c>
      <c r="O409" s="620">
        <v>6.875</v>
      </c>
      <c r="P409" s="620">
        <v>0</v>
      </c>
    </row>
    <row r="410" spans="4:16">
      <c r="D410" s="602" t="s">
        <v>551</v>
      </c>
      <c r="E410" s="620" t="s">
        <v>903</v>
      </c>
      <c r="F410" s="621">
        <v>41619</v>
      </c>
      <c r="G410" s="617">
        <f t="shared" si="12"/>
        <v>2013</v>
      </c>
      <c r="H410" s="617">
        <f t="shared" si="13"/>
        <v>12</v>
      </c>
      <c r="I410" s="620">
        <v>18</v>
      </c>
      <c r="J410" s="620">
        <v>7.125</v>
      </c>
      <c r="K410" s="620">
        <v>0</v>
      </c>
      <c r="L410" s="622">
        <v>6.125</v>
      </c>
      <c r="M410" s="620">
        <v>6972</v>
      </c>
      <c r="N410" s="623">
        <v>1E-3</v>
      </c>
      <c r="O410" s="620">
        <v>7.2370000000000001</v>
      </c>
      <c r="P410" s="620">
        <v>0</v>
      </c>
    </row>
    <row r="411" spans="4:16">
      <c r="D411" s="602" t="s">
        <v>551</v>
      </c>
      <c r="E411" s="602" t="s">
        <v>903</v>
      </c>
      <c r="F411" s="616">
        <v>41645</v>
      </c>
      <c r="G411" s="617">
        <f t="shared" si="12"/>
        <v>2014</v>
      </c>
      <c r="H411" s="617">
        <f t="shared" si="13"/>
        <v>1</v>
      </c>
      <c r="I411" s="602">
        <v>18</v>
      </c>
      <c r="J411" s="602">
        <v>6.2220000000000004</v>
      </c>
      <c r="K411" s="602">
        <v>0</v>
      </c>
      <c r="L411" s="618">
        <v>6.2220000000000004</v>
      </c>
      <c r="M411" s="619">
        <v>7188</v>
      </c>
      <c r="N411" s="602">
        <v>8.6999999999999994E-2</v>
      </c>
      <c r="O411" s="602">
        <v>6.3140000000000001</v>
      </c>
      <c r="P411" s="602">
        <v>0</v>
      </c>
    </row>
    <row r="412" spans="4:16">
      <c r="D412" s="602" t="s">
        <v>551</v>
      </c>
      <c r="E412" s="602" t="s">
        <v>903</v>
      </c>
      <c r="F412" s="616">
        <v>41676</v>
      </c>
      <c r="G412" s="617">
        <f t="shared" si="12"/>
        <v>2014</v>
      </c>
      <c r="H412" s="617">
        <f t="shared" si="13"/>
        <v>2</v>
      </c>
      <c r="I412" s="602">
        <v>19</v>
      </c>
      <c r="J412" s="602">
        <v>5.8620000000000001</v>
      </c>
      <c r="K412" s="602">
        <v>0</v>
      </c>
      <c r="L412" s="618">
        <v>5.8620000000000001</v>
      </c>
      <c r="M412" s="619">
        <v>6743</v>
      </c>
      <c r="N412" s="602">
        <v>8.6999999999999994E-2</v>
      </c>
      <c r="O412" s="602">
        <v>5.9409999999999998</v>
      </c>
      <c r="P412" s="602">
        <v>0</v>
      </c>
    </row>
    <row r="413" spans="4:16">
      <c r="D413" s="602" t="s">
        <v>551</v>
      </c>
      <c r="E413" s="602" t="s">
        <v>903</v>
      </c>
      <c r="F413" s="616">
        <v>41701</v>
      </c>
      <c r="G413" s="617">
        <f t="shared" si="12"/>
        <v>2014</v>
      </c>
      <c r="H413" s="617">
        <f t="shared" si="13"/>
        <v>3</v>
      </c>
      <c r="I413" s="602">
        <v>19</v>
      </c>
      <c r="J413" s="602">
        <v>5.64</v>
      </c>
      <c r="K413" s="602">
        <v>0</v>
      </c>
      <c r="L413" s="618">
        <v>5.64</v>
      </c>
      <c r="M413" s="619">
        <v>6537</v>
      </c>
      <c r="N413" s="602">
        <v>8.5999999999999993E-2</v>
      </c>
      <c r="O413" s="602">
        <v>5.6859999999999999</v>
      </c>
      <c r="P413" s="602">
        <v>0</v>
      </c>
    </row>
    <row r="414" spans="4:16">
      <c r="D414" s="602" t="s">
        <v>551</v>
      </c>
      <c r="E414" s="602" t="s">
        <v>903</v>
      </c>
      <c r="F414" s="616">
        <v>41730</v>
      </c>
      <c r="G414" s="617">
        <f t="shared" si="12"/>
        <v>2014</v>
      </c>
      <c r="H414" s="617">
        <f t="shared" si="13"/>
        <v>4</v>
      </c>
      <c r="I414" s="602">
        <v>11</v>
      </c>
      <c r="J414" s="602">
        <v>6.1459999999999999</v>
      </c>
      <c r="K414" s="602">
        <v>0</v>
      </c>
      <c r="L414" s="618">
        <v>6.1459999999999999</v>
      </c>
      <c r="M414" s="619">
        <v>5924</v>
      </c>
      <c r="N414" s="602">
        <v>0.104</v>
      </c>
      <c r="O414" s="602">
        <v>6.1719999999999997</v>
      </c>
      <c r="P414" s="602">
        <v>0</v>
      </c>
    </row>
    <row r="415" spans="4:16">
      <c r="D415" s="602" t="s">
        <v>551</v>
      </c>
      <c r="E415" s="602" t="s">
        <v>903</v>
      </c>
      <c r="F415" s="616">
        <v>41789</v>
      </c>
      <c r="G415" s="617">
        <f t="shared" si="12"/>
        <v>2014</v>
      </c>
      <c r="H415" s="617">
        <f t="shared" si="13"/>
        <v>5</v>
      </c>
      <c r="I415" s="602">
        <v>16</v>
      </c>
      <c r="J415" s="602">
        <v>6.7779999999999996</v>
      </c>
      <c r="K415" s="602">
        <v>0</v>
      </c>
      <c r="L415" s="618">
        <v>6.7779999999999996</v>
      </c>
      <c r="M415" s="619">
        <v>7422</v>
      </c>
      <c r="N415" s="602">
        <v>9.0999999999999998E-2</v>
      </c>
      <c r="O415" s="602">
        <v>6.8579999999999997</v>
      </c>
      <c r="P415" s="602">
        <v>0</v>
      </c>
    </row>
    <row r="416" spans="4:16">
      <c r="D416" s="602" t="s">
        <v>551</v>
      </c>
      <c r="E416" s="602" t="s">
        <v>903</v>
      </c>
      <c r="F416" s="616">
        <v>41814</v>
      </c>
      <c r="G416" s="617">
        <f t="shared" si="12"/>
        <v>2014</v>
      </c>
      <c r="H416" s="617">
        <f t="shared" si="13"/>
        <v>6</v>
      </c>
      <c r="I416" s="602">
        <v>16</v>
      </c>
      <c r="J416" s="602">
        <v>8.9339999999999993</v>
      </c>
      <c r="K416" s="602">
        <v>0</v>
      </c>
      <c r="L416" s="618">
        <v>8.9339999999999993</v>
      </c>
      <c r="M416" s="619">
        <v>7670</v>
      </c>
      <c r="N416" s="602">
        <v>0.11600000000000001</v>
      </c>
      <c r="O416" s="602">
        <v>9.0039999999999996</v>
      </c>
      <c r="P416" s="602">
        <v>0</v>
      </c>
    </row>
    <row r="417" spans="4:16">
      <c r="D417" s="602" t="s">
        <v>551</v>
      </c>
      <c r="E417" s="602" t="s">
        <v>903</v>
      </c>
      <c r="F417" s="616">
        <v>41841</v>
      </c>
      <c r="G417" s="617">
        <f t="shared" si="12"/>
        <v>2014</v>
      </c>
      <c r="H417" s="617">
        <f t="shared" si="13"/>
        <v>7</v>
      </c>
      <c r="I417" s="602">
        <v>17</v>
      </c>
      <c r="J417" s="602">
        <v>10.343</v>
      </c>
      <c r="K417" s="602">
        <v>0</v>
      </c>
      <c r="L417" s="618">
        <v>10.343</v>
      </c>
      <c r="M417" s="619">
        <v>9150</v>
      </c>
      <c r="N417" s="602">
        <v>0.113</v>
      </c>
      <c r="O417" s="602">
        <v>10.451000000000001</v>
      </c>
      <c r="P417" s="602">
        <v>0</v>
      </c>
    </row>
    <row r="418" spans="4:16">
      <c r="D418" s="602" t="s">
        <v>551</v>
      </c>
      <c r="E418" s="602" t="s">
        <v>903</v>
      </c>
      <c r="F418" s="616">
        <v>41869</v>
      </c>
      <c r="G418" s="617">
        <f t="shared" si="12"/>
        <v>2014</v>
      </c>
      <c r="H418" s="617">
        <f t="shared" si="13"/>
        <v>8</v>
      </c>
      <c r="I418" s="602">
        <v>16</v>
      </c>
      <c r="J418" s="602">
        <v>10.327</v>
      </c>
      <c r="K418" s="602">
        <v>0</v>
      </c>
      <c r="L418" s="618">
        <v>10.327</v>
      </c>
      <c r="M418" s="619">
        <v>8190</v>
      </c>
      <c r="N418" s="602">
        <v>0.126</v>
      </c>
      <c r="O418" s="602">
        <v>10.413</v>
      </c>
      <c r="P418" s="602">
        <v>0</v>
      </c>
    </row>
    <row r="419" spans="4:16">
      <c r="D419" s="602" t="s">
        <v>551</v>
      </c>
      <c r="E419" s="602" t="s">
        <v>903</v>
      </c>
      <c r="F419" s="616">
        <v>41886</v>
      </c>
      <c r="G419" s="617">
        <f t="shared" si="12"/>
        <v>2014</v>
      </c>
      <c r="H419" s="617">
        <f t="shared" si="13"/>
        <v>9</v>
      </c>
      <c r="I419" s="602">
        <v>15</v>
      </c>
      <c r="J419" s="602">
        <v>10.095000000000001</v>
      </c>
      <c r="K419" s="602">
        <v>0</v>
      </c>
      <c r="L419" s="618">
        <v>10.095000000000001</v>
      </c>
      <c r="M419" s="619">
        <v>7758</v>
      </c>
      <c r="N419" s="602">
        <v>0.13</v>
      </c>
      <c r="O419" s="602">
        <v>10.257999999999999</v>
      </c>
      <c r="P419" s="602">
        <v>0</v>
      </c>
    </row>
    <row r="420" spans="4:16">
      <c r="D420" s="602" t="s">
        <v>551</v>
      </c>
      <c r="E420" s="602" t="s">
        <v>903</v>
      </c>
      <c r="F420" s="616">
        <v>41942</v>
      </c>
      <c r="G420" s="617">
        <f t="shared" si="12"/>
        <v>2014</v>
      </c>
      <c r="H420" s="617">
        <f t="shared" si="13"/>
        <v>10</v>
      </c>
      <c r="I420" s="602">
        <v>20</v>
      </c>
      <c r="J420" s="602">
        <v>6.8259999999999996</v>
      </c>
      <c r="K420" s="602">
        <v>0</v>
      </c>
      <c r="L420" s="618">
        <v>6.8259999999999996</v>
      </c>
      <c r="M420" s="619">
        <v>5901</v>
      </c>
      <c r="N420" s="602">
        <v>0.11600000000000001</v>
      </c>
      <c r="O420" s="602">
        <v>6.8730000000000002</v>
      </c>
      <c r="P420" s="602">
        <v>0</v>
      </c>
    </row>
    <row r="421" spans="4:16">
      <c r="D421" s="602" t="s">
        <v>551</v>
      </c>
      <c r="E421" s="602" t="s">
        <v>903</v>
      </c>
      <c r="F421" s="616">
        <v>41960</v>
      </c>
      <c r="G421" s="617">
        <f t="shared" si="12"/>
        <v>2014</v>
      </c>
      <c r="H421" s="617">
        <f t="shared" si="13"/>
        <v>11</v>
      </c>
      <c r="I421" s="602">
        <v>18</v>
      </c>
      <c r="J421" s="602">
        <v>6.1820000000000004</v>
      </c>
      <c r="K421" s="602">
        <v>0</v>
      </c>
      <c r="L421" s="618">
        <v>6.1820000000000004</v>
      </c>
      <c r="M421" s="619">
        <v>6677</v>
      </c>
      <c r="N421" s="602">
        <v>9.2999999999999999E-2</v>
      </c>
      <c r="O421" s="602">
        <v>6.2309999999999999</v>
      </c>
      <c r="P421" s="602">
        <v>0</v>
      </c>
    </row>
    <row r="422" spans="4:16">
      <c r="D422" s="602" t="s">
        <v>551</v>
      </c>
      <c r="E422" s="602" t="s">
        <v>903</v>
      </c>
      <c r="F422" s="616">
        <v>41974</v>
      </c>
      <c r="G422" s="617">
        <f t="shared" si="12"/>
        <v>2014</v>
      </c>
      <c r="H422" s="617">
        <f t="shared" si="13"/>
        <v>12</v>
      </c>
      <c r="I422" s="602">
        <v>18</v>
      </c>
      <c r="J422" s="602">
        <v>6.5830000000000002</v>
      </c>
      <c r="K422" s="602">
        <v>0</v>
      </c>
      <c r="L422" s="618">
        <v>6.5830000000000002</v>
      </c>
      <c r="M422" s="619">
        <v>6850</v>
      </c>
      <c r="N422" s="602">
        <v>9.6000000000000002E-2</v>
      </c>
      <c r="O422" s="602">
        <v>6.63</v>
      </c>
      <c r="P422" s="602">
        <v>0</v>
      </c>
    </row>
    <row r="423" spans="4:16">
      <c r="D423" s="602" t="s">
        <v>551</v>
      </c>
      <c r="E423" s="602" t="s">
        <v>903</v>
      </c>
      <c r="F423" s="616">
        <v>42011</v>
      </c>
      <c r="G423" s="617">
        <f t="shared" si="12"/>
        <v>2015</v>
      </c>
      <c r="H423" s="617">
        <f t="shared" si="13"/>
        <v>1</v>
      </c>
      <c r="I423" s="602">
        <v>18</v>
      </c>
      <c r="J423" s="602">
        <v>6.7270000000000003</v>
      </c>
      <c r="K423" s="602">
        <v>0</v>
      </c>
      <c r="L423" s="618">
        <v>6.7270000000000003</v>
      </c>
      <c r="M423" s="619">
        <v>6978</v>
      </c>
      <c r="N423" s="602">
        <v>9.6000000000000002E-2</v>
      </c>
      <c r="O423" s="602">
        <v>6.8890000000000002</v>
      </c>
      <c r="P423" s="602">
        <v>0</v>
      </c>
    </row>
    <row r="424" spans="4:16">
      <c r="D424" s="602" t="s">
        <v>551</v>
      </c>
      <c r="E424" s="602" t="s">
        <v>903</v>
      </c>
      <c r="F424" s="616">
        <v>42053</v>
      </c>
      <c r="G424" s="617">
        <f t="shared" si="12"/>
        <v>2015</v>
      </c>
      <c r="H424" s="617">
        <f t="shared" si="13"/>
        <v>2</v>
      </c>
      <c r="I424" s="602">
        <v>19</v>
      </c>
      <c r="J424" s="602">
        <v>6.399</v>
      </c>
      <c r="K424" s="602">
        <v>0</v>
      </c>
      <c r="L424" s="618">
        <v>6.399</v>
      </c>
      <c r="M424" s="619">
        <v>6744</v>
      </c>
      <c r="N424" s="602">
        <v>9.5000000000000001E-2</v>
      </c>
      <c r="O424" s="602">
        <v>6.4720000000000004</v>
      </c>
      <c r="P424" s="602">
        <v>0</v>
      </c>
    </row>
    <row r="425" spans="4:16">
      <c r="D425" s="602" t="s">
        <v>551</v>
      </c>
      <c r="E425" s="602" t="s">
        <v>903</v>
      </c>
      <c r="F425" s="616">
        <v>42067</v>
      </c>
      <c r="G425" s="617">
        <f t="shared" si="12"/>
        <v>2015</v>
      </c>
      <c r="H425" s="617">
        <f t="shared" si="13"/>
        <v>3</v>
      </c>
      <c r="I425" s="602">
        <v>20</v>
      </c>
      <c r="J425" s="602">
        <v>5.7480000000000002</v>
      </c>
      <c r="K425" s="602">
        <v>0</v>
      </c>
      <c r="L425" s="618">
        <v>5.7480000000000002</v>
      </c>
      <c r="M425" s="619">
        <v>6470</v>
      </c>
      <c r="N425" s="602">
        <v>8.8999999999999996E-2</v>
      </c>
      <c r="O425" s="602">
        <v>5.8209999999999997</v>
      </c>
      <c r="P425" s="602">
        <v>0</v>
      </c>
    </row>
    <row r="426" spans="4:16">
      <c r="D426" s="602" t="s">
        <v>551</v>
      </c>
      <c r="E426" s="602" t="s">
        <v>903</v>
      </c>
      <c r="F426" s="616">
        <v>42103</v>
      </c>
      <c r="G426" s="617">
        <f t="shared" si="12"/>
        <v>2015</v>
      </c>
      <c r="H426" s="617">
        <f t="shared" si="13"/>
        <v>4</v>
      </c>
      <c r="I426" s="602">
        <v>12</v>
      </c>
      <c r="J426" s="602">
        <v>5.91</v>
      </c>
      <c r="K426" s="602">
        <v>0</v>
      </c>
      <c r="L426" s="618">
        <v>5.91</v>
      </c>
      <c r="M426" s="619">
        <v>5914</v>
      </c>
      <c r="N426" s="602">
        <v>0.1</v>
      </c>
      <c r="O426" s="602">
        <v>5.96</v>
      </c>
      <c r="P426" s="602">
        <v>0</v>
      </c>
    </row>
    <row r="427" spans="4:16">
      <c r="D427" s="602" t="s">
        <v>551</v>
      </c>
      <c r="E427" s="602" t="s">
        <v>903</v>
      </c>
      <c r="F427" s="616">
        <v>42152</v>
      </c>
      <c r="G427" s="617">
        <f t="shared" si="12"/>
        <v>2015</v>
      </c>
      <c r="H427" s="617">
        <f t="shared" si="13"/>
        <v>5</v>
      </c>
      <c r="I427" s="602">
        <v>16</v>
      </c>
      <c r="J427" s="602">
        <v>6.3769999999999998</v>
      </c>
      <c r="K427" s="602">
        <v>0</v>
      </c>
      <c r="L427" s="618">
        <v>6.3769999999999998</v>
      </c>
      <c r="M427" s="619">
        <v>6837</v>
      </c>
      <c r="N427" s="602">
        <v>9.2999999999999999E-2</v>
      </c>
      <c r="O427" s="602">
        <v>6.4219999999999997</v>
      </c>
      <c r="P427" s="602">
        <v>0</v>
      </c>
    </row>
    <row r="428" spans="4:16">
      <c r="D428" s="602" t="s">
        <v>551</v>
      </c>
      <c r="E428" s="602" t="s">
        <v>903</v>
      </c>
      <c r="F428" s="616">
        <v>42164</v>
      </c>
      <c r="G428" s="617">
        <f t="shared" si="12"/>
        <v>2015</v>
      </c>
      <c r="H428" s="617">
        <f t="shared" si="13"/>
        <v>6</v>
      </c>
      <c r="I428" s="602">
        <v>17</v>
      </c>
      <c r="J428" s="602">
        <v>8.7420000000000009</v>
      </c>
      <c r="K428" s="602">
        <v>0</v>
      </c>
      <c r="L428" s="618">
        <v>8.7420000000000009</v>
      </c>
      <c r="M428" s="619">
        <v>8136</v>
      </c>
      <c r="N428" s="602">
        <v>0.107</v>
      </c>
      <c r="O428" s="602">
        <v>8.8279999999999994</v>
      </c>
      <c r="P428" s="602">
        <v>0</v>
      </c>
    </row>
    <row r="429" spans="4:16">
      <c r="D429" s="602" t="s">
        <v>551</v>
      </c>
      <c r="E429" s="602" t="s">
        <v>903</v>
      </c>
      <c r="F429" s="616">
        <v>42212</v>
      </c>
      <c r="G429" s="617">
        <f t="shared" si="12"/>
        <v>2015</v>
      </c>
      <c r="H429" s="617">
        <f t="shared" si="13"/>
        <v>7</v>
      </c>
      <c r="I429" s="602">
        <v>17</v>
      </c>
      <c r="J429" s="602">
        <v>10.702</v>
      </c>
      <c r="K429" s="602">
        <v>0</v>
      </c>
      <c r="L429" s="618">
        <v>10.702</v>
      </c>
      <c r="M429" s="619">
        <v>8769</v>
      </c>
      <c r="N429" s="602">
        <v>0.122</v>
      </c>
      <c r="O429" s="602">
        <v>10.808999999999999</v>
      </c>
      <c r="P429" s="602">
        <v>0</v>
      </c>
    </row>
    <row r="430" spans="4:16">
      <c r="D430" s="602" t="s">
        <v>551</v>
      </c>
      <c r="E430" s="602" t="s">
        <v>903</v>
      </c>
      <c r="F430" s="616">
        <v>42230</v>
      </c>
      <c r="G430" s="617">
        <f t="shared" si="12"/>
        <v>2015</v>
      </c>
      <c r="H430" s="617">
        <f t="shared" si="13"/>
        <v>8</v>
      </c>
      <c r="I430" s="602">
        <v>16</v>
      </c>
      <c r="J430" s="602">
        <v>10.050000000000001</v>
      </c>
      <c r="K430" s="602">
        <v>0</v>
      </c>
      <c r="L430" s="618">
        <v>10.050000000000001</v>
      </c>
      <c r="M430" s="619">
        <v>8926</v>
      </c>
      <c r="N430" s="602">
        <v>0.113</v>
      </c>
      <c r="O430" s="602">
        <v>10.141999999999999</v>
      </c>
      <c r="P430" s="602">
        <v>0</v>
      </c>
    </row>
    <row r="431" spans="4:16">
      <c r="D431" s="602" t="s">
        <v>551</v>
      </c>
      <c r="E431" s="602" t="s">
        <v>903</v>
      </c>
      <c r="F431" s="616">
        <v>42250</v>
      </c>
      <c r="G431" s="617">
        <f t="shared" si="12"/>
        <v>2015</v>
      </c>
      <c r="H431" s="617">
        <f t="shared" si="13"/>
        <v>9</v>
      </c>
      <c r="I431" s="602">
        <v>17</v>
      </c>
      <c r="J431" s="602">
        <v>11.39</v>
      </c>
      <c r="K431" s="602">
        <v>0</v>
      </c>
      <c r="L431" s="618">
        <v>11.39</v>
      </c>
      <c r="M431" s="619">
        <v>8657</v>
      </c>
      <c r="N431" s="602">
        <v>0.13200000000000001</v>
      </c>
      <c r="O431" s="602">
        <v>11.491</v>
      </c>
      <c r="P431" s="602">
        <v>0</v>
      </c>
    </row>
    <row r="432" spans="4:16">
      <c r="D432" s="602" t="s">
        <v>551</v>
      </c>
      <c r="E432" s="602" t="s">
        <v>903</v>
      </c>
      <c r="F432" s="616">
        <v>42285</v>
      </c>
      <c r="G432" s="617">
        <f t="shared" si="12"/>
        <v>2015</v>
      </c>
      <c r="H432" s="617">
        <f t="shared" si="13"/>
        <v>10</v>
      </c>
      <c r="I432" s="602">
        <v>12</v>
      </c>
      <c r="J432" s="602">
        <v>7.4370000000000003</v>
      </c>
      <c r="K432" s="602">
        <v>0</v>
      </c>
      <c r="L432" s="618">
        <v>7.4370000000000003</v>
      </c>
      <c r="M432" s="619">
        <v>5943</v>
      </c>
      <c r="N432" s="602">
        <v>0.125</v>
      </c>
      <c r="O432" s="602">
        <v>7.5</v>
      </c>
      <c r="P432" s="602">
        <v>0</v>
      </c>
    </row>
    <row r="433" spans="4:16">
      <c r="D433" s="602" t="s">
        <v>551</v>
      </c>
      <c r="E433" s="602" t="s">
        <v>903</v>
      </c>
      <c r="F433" s="616">
        <v>42338</v>
      </c>
      <c r="G433" s="617">
        <f t="shared" si="12"/>
        <v>2015</v>
      </c>
      <c r="H433" s="617">
        <f t="shared" si="13"/>
        <v>11</v>
      </c>
      <c r="I433" s="602">
        <v>18</v>
      </c>
      <c r="J433" s="602">
        <v>6.0830000000000002</v>
      </c>
      <c r="K433" s="602">
        <v>0</v>
      </c>
      <c r="L433" s="618">
        <v>6.0830000000000002</v>
      </c>
      <c r="M433" s="619">
        <v>6574</v>
      </c>
      <c r="N433" s="602">
        <v>9.2999999999999999E-2</v>
      </c>
      <c r="O433" s="602">
        <v>6.125</v>
      </c>
      <c r="P433" s="602">
        <v>0</v>
      </c>
    </row>
    <row r="434" spans="4:16">
      <c r="D434" s="602" t="s">
        <v>551</v>
      </c>
      <c r="E434" s="602" t="s">
        <v>903</v>
      </c>
      <c r="F434" s="616">
        <v>42355</v>
      </c>
      <c r="G434" s="617">
        <f t="shared" si="12"/>
        <v>2015</v>
      </c>
      <c r="H434" s="617">
        <f t="shared" si="13"/>
        <v>12</v>
      </c>
      <c r="I434" s="602">
        <v>18</v>
      </c>
      <c r="J434" s="602">
        <v>6.4089999999999998</v>
      </c>
      <c r="K434" s="602">
        <v>0</v>
      </c>
      <c r="L434" s="618">
        <v>6.4089999999999998</v>
      </c>
      <c r="M434" s="619">
        <v>6450</v>
      </c>
      <c r="N434" s="602">
        <v>9.9000000000000005E-2</v>
      </c>
      <c r="O434" s="602">
        <v>6.4470000000000001</v>
      </c>
      <c r="P434" s="602">
        <v>0</v>
      </c>
    </row>
    <row r="435" spans="4:16">
      <c r="D435" s="602" t="s">
        <v>901</v>
      </c>
      <c r="E435" s="620" t="s">
        <v>902</v>
      </c>
      <c r="F435" s="621">
        <v>40927</v>
      </c>
      <c r="G435" s="617">
        <f t="shared" si="12"/>
        <v>2012</v>
      </c>
      <c r="H435" s="617">
        <f t="shared" si="13"/>
        <v>1</v>
      </c>
      <c r="I435" s="620">
        <v>19</v>
      </c>
      <c r="J435" s="620">
        <v>3.6920000000000002</v>
      </c>
      <c r="K435" s="620">
        <v>0</v>
      </c>
      <c r="L435" s="622">
        <v>3.6920000000000002</v>
      </c>
      <c r="M435" s="620">
        <v>0</v>
      </c>
      <c r="N435" s="623">
        <v>0</v>
      </c>
      <c r="O435" s="620">
        <v>3.7120000000000002</v>
      </c>
      <c r="P435" s="620">
        <v>0</v>
      </c>
    </row>
    <row r="436" spans="4:16">
      <c r="D436" s="602" t="s">
        <v>901</v>
      </c>
      <c r="E436" s="620" t="s">
        <v>902</v>
      </c>
      <c r="F436" s="621">
        <v>40952</v>
      </c>
      <c r="G436" s="617">
        <f t="shared" si="12"/>
        <v>2012</v>
      </c>
      <c r="H436" s="617">
        <f t="shared" si="13"/>
        <v>2</v>
      </c>
      <c r="I436" s="620">
        <v>19</v>
      </c>
      <c r="J436" s="620">
        <v>3.6349999999999998</v>
      </c>
      <c r="K436" s="620">
        <v>0</v>
      </c>
      <c r="L436" s="622">
        <v>3.6349999999999998</v>
      </c>
      <c r="M436" s="620">
        <v>0</v>
      </c>
      <c r="N436" s="623">
        <v>0</v>
      </c>
      <c r="O436" s="620">
        <v>3.6560000000000001</v>
      </c>
      <c r="P436" s="620">
        <v>0</v>
      </c>
    </row>
    <row r="437" spans="4:16">
      <c r="D437" s="602" t="s">
        <v>901</v>
      </c>
      <c r="E437" s="620" t="s">
        <v>902</v>
      </c>
      <c r="F437" s="621">
        <v>40973</v>
      </c>
      <c r="G437" s="617">
        <f t="shared" si="12"/>
        <v>2012</v>
      </c>
      <c r="H437" s="617">
        <f t="shared" si="13"/>
        <v>3</v>
      </c>
      <c r="I437" s="620">
        <v>8</v>
      </c>
      <c r="J437" s="620">
        <v>3.4940000000000002</v>
      </c>
      <c r="K437" s="620">
        <v>0</v>
      </c>
      <c r="L437" s="622">
        <v>3.4940000000000002</v>
      </c>
      <c r="M437" s="620">
        <v>0</v>
      </c>
      <c r="N437" s="623">
        <v>0</v>
      </c>
      <c r="O437" s="620">
        <v>3.5209999999999999</v>
      </c>
      <c r="P437" s="620">
        <v>0</v>
      </c>
    </row>
    <row r="438" spans="4:16">
      <c r="D438" s="602" t="s">
        <v>901</v>
      </c>
      <c r="E438" s="620" t="s">
        <v>902</v>
      </c>
      <c r="F438" s="621">
        <v>41001</v>
      </c>
      <c r="G438" s="617">
        <f t="shared" si="12"/>
        <v>2012</v>
      </c>
      <c r="H438" s="617">
        <f t="shared" si="13"/>
        <v>4</v>
      </c>
      <c r="I438" s="620">
        <v>21</v>
      </c>
      <c r="J438" s="620">
        <v>2.4409999999999998</v>
      </c>
      <c r="K438" s="620">
        <v>0</v>
      </c>
      <c r="L438" s="622">
        <v>2.4409999999999998</v>
      </c>
      <c r="M438" s="620">
        <v>0</v>
      </c>
      <c r="N438" s="623">
        <v>0</v>
      </c>
      <c r="O438" s="620">
        <v>2.46</v>
      </c>
      <c r="P438" s="620">
        <v>0</v>
      </c>
    </row>
    <row r="439" spans="4:16">
      <c r="D439" s="602" t="s">
        <v>901</v>
      </c>
      <c r="E439" s="620" t="s">
        <v>902</v>
      </c>
      <c r="F439" s="621">
        <v>41053</v>
      </c>
      <c r="G439" s="617">
        <f t="shared" si="12"/>
        <v>2012</v>
      </c>
      <c r="H439" s="617">
        <f t="shared" si="13"/>
        <v>5</v>
      </c>
      <c r="I439" s="620">
        <v>14</v>
      </c>
      <c r="J439" s="620">
        <v>2.1840000000000002</v>
      </c>
      <c r="K439" s="620">
        <v>0</v>
      </c>
      <c r="L439" s="622">
        <v>2.1840000000000002</v>
      </c>
      <c r="M439" s="620">
        <v>0</v>
      </c>
      <c r="N439" s="623">
        <v>0</v>
      </c>
      <c r="O439" s="620">
        <v>2.2040000000000002</v>
      </c>
      <c r="P439" s="620">
        <v>0</v>
      </c>
    </row>
    <row r="440" spans="4:16">
      <c r="D440" s="602" t="s">
        <v>901</v>
      </c>
      <c r="E440" s="620" t="s">
        <v>902</v>
      </c>
      <c r="F440" s="621">
        <v>41087</v>
      </c>
      <c r="G440" s="617">
        <f t="shared" si="12"/>
        <v>2012</v>
      </c>
      <c r="H440" s="617">
        <f t="shared" si="13"/>
        <v>6</v>
      </c>
      <c r="I440" s="620">
        <v>17</v>
      </c>
      <c r="J440" s="620">
        <v>4.0720000000000001</v>
      </c>
      <c r="K440" s="620">
        <v>0</v>
      </c>
      <c r="L440" s="622">
        <v>4.0720000000000001</v>
      </c>
      <c r="M440" s="620">
        <v>0</v>
      </c>
      <c r="N440" s="623">
        <v>0</v>
      </c>
      <c r="O440" s="620">
        <v>4.0949999999999998</v>
      </c>
      <c r="P440" s="620">
        <v>0</v>
      </c>
    </row>
    <row r="441" spans="4:16">
      <c r="D441" s="602" t="s">
        <v>901</v>
      </c>
      <c r="E441" s="620" t="s">
        <v>902</v>
      </c>
      <c r="F441" s="621">
        <v>41115</v>
      </c>
      <c r="G441" s="617">
        <f t="shared" si="12"/>
        <v>2012</v>
      </c>
      <c r="H441" s="617">
        <f t="shared" si="13"/>
        <v>7</v>
      </c>
      <c r="I441" s="620">
        <v>17</v>
      </c>
      <c r="J441" s="620">
        <v>4.2</v>
      </c>
      <c r="K441" s="620">
        <v>0</v>
      </c>
      <c r="L441" s="622">
        <v>4.2</v>
      </c>
      <c r="M441" s="620">
        <v>0</v>
      </c>
      <c r="N441" s="623">
        <v>0</v>
      </c>
      <c r="O441" s="620">
        <v>4.2149999999999999</v>
      </c>
      <c r="P441" s="620">
        <v>0</v>
      </c>
    </row>
    <row r="442" spans="4:16">
      <c r="D442" s="602" t="s">
        <v>901</v>
      </c>
      <c r="E442" s="620" t="s">
        <v>902</v>
      </c>
      <c r="F442" s="621">
        <v>41124</v>
      </c>
      <c r="G442" s="617">
        <f t="shared" si="12"/>
        <v>2012</v>
      </c>
      <c r="H442" s="617">
        <f t="shared" si="13"/>
        <v>8</v>
      </c>
      <c r="I442" s="620">
        <v>17</v>
      </c>
      <c r="J442" s="620">
        <v>4.0919999999999996</v>
      </c>
      <c r="K442" s="620">
        <v>0</v>
      </c>
      <c r="L442" s="622">
        <v>4.0919999999999996</v>
      </c>
      <c r="M442" s="620">
        <v>0</v>
      </c>
      <c r="N442" s="623">
        <v>0</v>
      </c>
      <c r="O442" s="620">
        <v>4.1159999999999997</v>
      </c>
      <c r="P442" s="620">
        <v>0</v>
      </c>
    </row>
    <row r="443" spans="4:16">
      <c r="D443" s="602" t="s">
        <v>901</v>
      </c>
      <c r="E443" s="620" t="s">
        <v>902</v>
      </c>
      <c r="F443" s="621">
        <v>41156</v>
      </c>
      <c r="G443" s="617">
        <f t="shared" si="12"/>
        <v>2012</v>
      </c>
      <c r="H443" s="617">
        <f t="shared" si="13"/>
        <v>9</v>
      </c>
      <c r="I443" s="620">
        <v>17</v>
      </c>
      <c r="J443" s="620">
        <v>4.0730000000000004</v>
      </c>
      <c r="K443" s="620">
        <v>0</v>
      </c>
      <c r="L443" s="622">
        <v>4.0730000000000004</v>
      </c>
      <c r="M443" s="620">
        <v>0</v>
      </c>
      <c r="N443" s="623">
        <v>0</v>
      </c>
      <c r="O443" s="620">
        <v>4.1029999999999998</v>
      </c>
      <c r="P443" s="620">
        <v>0</v>
      </c>
    </row>
    <row r="444" spans="4:16">
      <c r="D444" s="602" t="s">
        <v>901</v>
      </c>
      <c r="E444" s="620" t="s">
        <v>902</v>
      </c>
      <c r="F444" s="621">
        <v>41211</v>
      </c>
      <c r="G444" s="617">
        <f t="shared" si="12"/>
        <v>2012</v>
      </c>
      <c r="H444" s="617">
        <f t="shared" si="13"/>
        <v>10</v>
      </c>
      <c r="I444" s="620">
        <v>8</v>
      </c>
      <c r="J444" s="620">
        <v>2.4820000000000002</v>
      </c>
      <c r="K444" s="620">
        <v>0</v>
      </c>
      <c r="L444" s="622">
        <v>2.4820000000000002</v>
      </c>
      <c r="M444" s="620">
        <v>0</v>
      </c>
      <c r="N444" s="623">
        <v>0</v>
      </c>
      <c r="O444" s="620">
        <v>2.4980000000000002</v>
      </c>
      <c r="P444" s="620">
        <v>0</v>
      </c>
    </row>
    <row r="445" spans="4:16">
      <c r="D445" s="602" t="s">
        <v>901</v>
      </c>
      <c r="E445" s="620" t="s">
        <v>902</v>
      </c>
      <c r="F445" s="621">
        <v>41225</v>
      </c>
      <c r="G445" s="617">
        <f t="shared" si="12"/>
        <v>2012</v>
      </c>
      <c r="H445" s="617">
        <f t="shared" si="13"/>
        <v>11</v>
      </c>
      <c r="I445" s="620">
        <v>18</v>
      </c>
      <c r="J445" s="620">
        <v>3.12</v>
      </c>
      <c r="K445" s="620">
        <v>0</v>
      </c>
      <c r="L445" s="622">
        <v>3.12</v>
      </c>
      <c r="M445" s="620">
        <v>0</v>
      </c>
      <c r="N445" s="623">
        <v>0</v>
      </c>
      <c r="O445" s="620">
        <v>3.137</v>
      </c>
      <c r="P445" s="620">
        <v>0</v>
      </c>
    </row>
    <row r="446" spans="4:16">
      <c r="D446" s="602" t="s">
        <v>901</v>
      </c>
      <c r="E446" s="620" t="s">
        <v>902</v>
      </c>
      <c r="F446" s="621">
        <v>41263</v>
      </c>
      <c r="G446" s="617">
        <f t="shared" si="12"/>
        <v>2012</v>
      </c>
      <c r="H446" s="617">
        <f t="shared" si="13"/>
        <v>12</v>
      </c>
      <c r="I446" s="620">
        <v>18</v>
      </c>
      <c r="J446" s="620">
        <v>2.5990000000000002</v>
      </c>
      <c r="K446" s="620">
        <v>0</v>
      </c>
      <c r="L446" s="622">
        <v>2.5990000000000002</v>
      </c>
      <c r="M446" s="620">
        <v>0</v>
      </c>
      <c r="N446" s="623">
        <v>0</v>
      </c>
      <c r="O446" s="620">
        <v>2.6190000000000002</v>
      </c>
      <c r="P446" s="620">
        <v>0</v>
      </c>
    </row>
    <row r="447" spans="4:16">
      <c r="D447" s="602" t="s">
        <v>901</v>
      </c>
      <c r="E447" s="620" t="s">
        <v>902</v>
      </c>
      <c r="F447" s="621">
        <v>41305</v>
      </c>
      <c r="G447" s="617">
        <f t="shared" si="12"/>
        <v>2013</v>
      </c>
      <c r="H447" s="617">
        <f t="shared" si="13"/>
        <v>1</v>
      </c>
      <c r="I447" s="620">
        <v>19</v>
      </c>
      <c r="J447" s="620">
        <v>3.3</v>
      </c>
      <c r="K447" s="620">
        <v>0</v>
      </c>
      <c r="L447" s="622">
        <v>3.3</v>
      </c>
      <c r="M447" s="620">
        <v>0</v>
      </c>
      <c r="N447" s="623">
        <v>0</v>
      </c>
      <c r="O447" s="620">
        <v>3.3029999999999999</v>
      </c>
      <c r="P447" s="620">
        <v>0</v>
      </c>
    </row>
    <row r="448" spans="4:16">
      <c r="D448" s="602" t="s">
        <v>901</v>
      </c>
      <c r="E448" s="620" t="s">
        <v>902</v>
      </c>
      <c r="F448" s="621">
        <v>41306</v>
      </c>
      <c r="G448" s="617">
        <f t="shared" si="12"/>
        <v>2013</v>
      </c>
      <c r="H448" s="617">
        <f t="shared" si="13"/>
        <v>2</v>
      </c>
      <c r="I448" s="620">
        <v>8</v>
      </c>
      <c r="J448" s="620">
        <v>3.8039999999999998</v>
      </c>
      <c r="K448" s="620">
        <v>0</v>
      </c>
      <c r="L448" s="622">
        <v>3.8039999999999998</v>
      </c>
      <c r="M448" s="620">
        <v>0</v>
      </c>
      <c r="N448" s="623">
        <v>0</v>
      </c>
      <c r="O448" s="620">
        <v>3.8239999999999998</v>
      </c>
      <c r="P448" s="620">
        <v>0</v>
      </c>
    </row>
    <row r="449" spans="4:16">
      <c r="D449" s="602" t="s">
        <v>901</v>
      </c>
      <c r="E449" s="620" t="s">
        <v>902</v>
      </c>
      <c r="F449" s="621">
        <v>41354</v>
      </c>
      <c r="G449" s="617">
        <f t="shared" si="12"/>
        <v>2013</v>
      </c>
      <c r="H449" s="617">
        <f t="shared" si="13"/>
        <v>3</v>
      </c>
      <c r="I449" s="620">
        <v>8</v>
      </c>
      <c r="J449" s="620">
        <v>3.3069999999999999</v>
      </c>
      <c r="K449" s="620">
        <v>0</v>
      </c>
      <c r="L449" s="622">
        <v>3.3069999999999999</v>
      </c>
      <c r="M449" s="620">
        <v>0</v>
      </c>
      <c r="N449" s="623">
        <v>0</v>
      </c>
      <c r="O449" s="620">
        <v>3.34</v>
      </c>
      <c r="P449" s="620">
        <v>0</v>
      </c>
    </row>
    <row r="450" spans="4:16">
      <c r="D450" s="602" t="s">
        <v>901</v>
      </c>
      <c r="E450" s="620" t="s">
        <v>902</v>
      </c>
      <c r="F450" s="621">
        <v>41366</v>
      </c>
      <c r="G450" s="617">
        <f t="shared" si="12"/>
        <v>2013</v>
      </c>
      <c r="H450" s="617">
        <f t="shared" si="13"/>
        <v>4</v>
      </c>
      <c r="I450" s="620">
        <v>8</v>
      </c>
      <c r="J450" s="620">
        <v>3.2160000000000002</v>
      </c>
      <c r="K450" s="620">
        <v>0</v>
      </c>
      <c r="L450" s="622">
        <v>3.2160000000000002</v>
      </c>
      <c r="M450" s="620">
        <v>0</v>
      </c>
      <c r="N450" s="623">
        <v>0</v>
      </c>
      <c r="O450" s="620">
        <v>3.2480000000000002</v>
      </c>
      <c r="P450" s="620">
        <v>0</v>
      </c>
    </row>
    <row r="451" spans="4:16">
      <c r="D451" s="602" t="s">
        <v>901</v>
      </c>
      <c r="E451" s="620" t="s">
        <v>902</v>
      </c>
      <c r="F451" s="621">
        <v>41424</v>
      </c>
      <c r="G451" s="617">
        <f t="shared" ref="G451:G514" si="14">YEAR(F451)</f>
        <v>2013</v>
      </c>
      <c r="H451" s="617">
        <f t="shared" ref="H451:H514" si="15">MONTH(F451)</f>
        <v>5</v>
      </c>
      <c r="I451" s="620">
        <v>12</v>
      </c>
      <c r="J451" s="620">
        <v>2.0579999999999998</v>
      </c>
      <c r="K451" s="620">
        <v>0</v>
      </c>
      <c r="L451" s="622">
        <v>2.0579999999999998</v>
      </c>
      <c r="M451" s="620">
        <v>0</v>
      </c>
      <c r="N451" s="623">
        <v>0</v>
      </c>
      <c r="O451" s="620">
        <v>2.0550000000000002</v>
      </c>
      <c r="P451" s="620">
        <v>0</v>
      </c>
    </row>
    <row r="452" spans="4:16">
      <c r="D452" s="602" t="s">
        <v>901</v>
      </c>
      <c r="E452" s="620" t="s">
        <v>902</v>
      </c>
      <c r="F452" s="621">
        <v>41451</v>
      </c>
      <c r="G452" s="617">
        <f t="shared" si="14"/>
        <v>2013</v>
      </c>
      <c r="H452" s="617">
        <f t="shared" si="15"/>
        <v>6</v>
      </c>
      <c r="I452" s="620">
        <v>17</v>
      </c>
      <c r="J452" s="620">
        <v>3.53</v>
      </c>
      <c r="K452" s="620">
        <v>0</v>
      </c>
      <c r="L452" s="622">
        <v>3.53</v>
      </c>
      <c r="M452" s="620">
        <v>0</v>
      </c>
      <c r="N452" s="623">
        <v>0</v>
      </c>
      <c r="O452" s="620">
        <v>3.5289999999999999</v>
      </c>
      <c r="P452" s="620">
        <v>0</v>
      </c>
    </row>
    <row r="453" spans="4:16">
      <c r="D453" s="602" t="s">
        <v>901</v>
      </c>
      <c r="E453" s="620" t="s">
        <v>902</v>
      </c>
      <c r="F453" s="621">
        <v>41472</v>
      </c>
      <c r="G453" s="617">
        <f t="shared" si="14"/>
        <v>2013</v>
      </c>
      <c r="H453" s="617">
        <f t="shared" si="15"/>
        <v>7</v>
      </c>
      <c r="I453" s="620">
        <v>17</v>
      </c>
      <c r="J453" s="620">
        <v>4.91</v>
      </c>
      <c r="K453" s="620">
        <v>0</v>
      </c>
      <c r="L453" s="622">
        <v>4.91</v>
      </c>
      <c r="M453" s="620">
        <v>0</v>
      </c>
      <c r="N453" s="623">
        <v>0</v>
      </c>
      <c r="O453" s="620">
        <v>4.92</v>
      </c>
      <c r="P453" s="620">
        <v>0</v>
      </c>
    </row>
    <row r="454" spans="4:16">
      <c r="D454" s="602" t="s">
        <v>901</v>
      </c>
      <c r="E454" s="620" t="s">
        <v>902</v>
      </c>
      <c r="F454" s="621">
        <v>41516</v>
      </c>
      <c r="G454" s="617">
        <f t="shared" si="14"/>
        <v>2013</v>
      </c>
      <c r="H454" s="617">
        <f t="shared" si="15"/>
        <v>8</v>
      </c>
      <c r="I454" s="620">
        <v>16</v>
      </c>
      <c r="J454" s="620">
        <v>4.1420000000000003</v>
      </c>
      <c r="K454" s="620">
        <v>0</v>
      </c>
      <c r="L454" s="622">
        <v>4.1420000000000003</v>
      </c>
      <c r="M454" s="620">
        <v>0</v>
      </c>
      <c r="N454" s="623">
        <v>0</v>
      </c>
      <c r="O454" s="620">
        <v>4.1440000000000001</v>
      </c>
      <c r="P454" s="620">
        <v>0</v>
      </c>
    </row>
    <row r="455" spans="4:16">
      <c r="D455" s="602" t="s">
        <v>901</v>
      </c>
      <c r="E455" s="620" t="s">
        <v>902</v>
      </c>
      <c r="F455" s="621">
        <v>41526</v>
      </c>
      <c r="G455" s="617">
        <f t="shared" si="14"/>
        <v>2013</v>
      </c>
      <c r="H455" s="617">
        <f t="shared" si="15"/>
        <v>9</v>
      </c>
      <c r="I455" s="620">
        <v>17</v>
      </c>
      <c r="J455" s="620">
        <v>3.7069999999999999</v>
      </c>
      <c r="K455" s="620">
        <v>0</v>
      </c>
      <c r="L455" s="622">
        <v>3.7069999999999999</v>
      </c>
      <c r="M455" s="620">
        <v>0</v>
      </c>
      <c r="N455" s="623">
        <v>0</v>
      </c>
      <c r="O455" s="620">
        <v>3.6960000000000002</v>
      </c>
      <c r="P455" s="620">
        <v>0</v>
      </c>
    </row>
    <row r="456" spans="4:16">
      <c r="D456" s="602" t="s">
        <v>901</v>
      </c>
      <c r="E456" s="620" t="s">
        <v>902</v>
      </c>
      <c r="F456" s="621">
        <v>41571</v>
      </c>
      <c r="G456" s="617">
        <f t="shared" si="14"/>
        <v>2013</v>
      </c>
      <c r="H456" s="617">
        <f t="shared" si="15"/>
        <v>10</v>
      </c>
      <c r="I456" s="620">
        <v>20</v>
      </c>
      <c r="J456" s="620">
        <v>3.2669999999999999</v>
      </c>
      <c r="K456" s="620">
        <v>0</v>
      </c>
      <c r="L456" s="622">
        <v>3.2669999999999999</v>
      </c>
      <c r="M456" s="620">
        <v>0</v>
      </c>
      <c r="N456" s="623">
        <v>0</v>
      </c>
      <c r="O456" s="620">
        <v>3.2360000000000002</v>
      </c>
      <c r="P456" s="620">
        <v>0</v>
      </c>
    </row>
    <row r="457" spans="4:16">
      <c r="D457" s="602" t="s">
        <v>901</v>
      </c>
      <c r="E457" s="620" t="s">
        <v>902</v>
      </c>
      <c r="F457" s="621">
        <v>41590</v>
      </c>
      <c r="G457" s="617">
        <f t="shared" si="14"/>
        <v>2013</v>
      </c>
      <c r="H457" s="617">
        <f t="shared" si="15"/>
        <v>11</v>
      </c>
      <c r="I457" s="620">
        <v>19</v>
      </c>
      <c r="J457" s="620">
        <v>3.4470000000000001</v>
      </c>
      <c r="K457" s="620">
        <v>0</v>
      </c>
      <c r="L457" s="622">
        <v>3.4470000000000001</v>
      </c>
      <c r="M457" s="620">
        <v>0</v>
      </c>
      <c r="N457" s="623">
        <v>0</v>
      </c>
      <c r="O457" s="620">
        <v>3.3849999999999998</v>
      </c>
      <c r="P457" s="620">
        <v>0</v>
      </c>
    </row>
    <row r="458" spans="4:16">
      <c r="D458" s="602" t="s">
        <v>901</v>
      </c>
      <c r="E458" s="620" t="s">
        <v>902</v>
      </c>
      <c r="F458" s="621">
        <v>41619</v>
      </c>
      <c r="G458" s="617">
        <f t="shared" si="14"/>
        <v>2013</v>
      </c>
      <c r="H458" s="617">
        <f t="shared" si="15"/>
        <v>12</v>
      </c>
      <c r="I458" s="620">
        <v>18</v>
      </c>
      <c r="J458" s="620">
        <v>3.452</v>
      </c>
      <c r="K458" s="620">
        <v>0</v>
      </c>
      <c r="L458" s="622">
        <v>3.452</v>
      </c>
      <c r="M458" s="620">
        <v>0</v>
      </c>
      <c r="N458" s="623">
        <v>0</v>
      </c>
      <c r="O458" s="620">
        <v>3.3839999999999999</v>
      </c>
      <c r="P458" s="620">
        <v>0</v>
      </c>
    </row>
    <row r="459" spans="4:16">
      <c r="D459" s="602" t="s">
        <v>901</v>
      </c>
      <c r="E459" s="602" t="s">
        <v>902</v>
      </c>
      <c r="F459" s="616">
        <v>41645</v>
      </c>
      <c r="G459" s="617">
        <f t="shared" si="14"/>
        <v>2014</v>
      </c>
      <c r="H459" s="617">
        <f t="shared" si="15"/>
        <v>1</v>
      </c>
      <c r="I459" s="602">
        <v>18</v>
      </c>
      <c r="J459" s="602">
        <v>3.4729999999999999</v>
      </c>
      <c r="K459" s="602">
        <v>0</v>
      </c>
      <c r="L459" s="618">
        <v>3.4729999999999999</v>
      </c>
      <c r="M459" s="602">
        <v>0</v>
      </c>
      <c r="N459" s="602">
        <v>0</v>
      </c>
      <c r="O459" s="602">
        <v>3.4159999999999999</v>
      </c>
      <c r="P459" s="602">
        <v>0</v>
      </c>
    </row>
    <row r="460" spans="4:16">
      <c r="D460" s="602" t="s">
        <v>901</v>
      </c>
      <c r="E460" s="602" t="s">
        <v>902</v>
      </c>
      <c r="F460" s="616">
        <v>41681</v>
      </c>
      <c r="G460" s="617">
        <f t="shared" si="14"/>
        <v>2014</v>
      </c>
      <c r="H460" s="617">
        <f t="shared" si="15"/>
        <v>2</v>
      </c>
      <c r="I460" s="602">
        <v>8</v>
      </c>
      <c r="J460" s="602">
        <v>3.0830000000000002</v>
      </c>
      <c r="K460" s="602">
        <v>0</v>
      </c>
      <c r="L460" s="618">
        <v>3.0830000000000002</v>
      </c>
      <c r="M460" s="602">
        <v>0</v>
      </c>
      <c r="N460" s="602">
        <v>0</v>
      </c>
      <c r="O460" s="602">
        <v>3.0259999999999998</v>
      </c>
      <c r="P460" s="602">
        <v>0</v>
      </c>
    </row>
    <row r="461" spans="4:16">
      <c r="D461" s="602" t="s">
        <v>901</v>
      </c>
      <c r="E461" s="602" t="s">
        <v>902</v>
      </c>
      <c r="F461" s="616">
        <v>41701</v>
      </c>
      <c r="G461" s="617">
        <f t="shared" si="14"/>
        <v>2014</v>
      </c>
      <c r="H461" s="617">
        <f t="shared" si="15"/>
        <v>3</v>
      </c>
      <c r="I461" s="602">
        <v>8</v>
      </c>
      <c r="J461" s="602">
        <v>4.2930000000000001</v>
      </c>
      <c r="K461" s="602">
        <v>0</v>
      </c>
      <c r="L461" s="618">
        <v>4.2930000000000001</v>
      </c>
      <c r="M461" s="602">
        <v>0</v>
      </c>
      <c r="N461" s="602">
        <v>0</v>
      </c>
      <c r="O461" s="602">
        <v>4.165</v>
      </c>
      <c r="P461" s="602">
        <v>0</v>
      </c>
    </row>
    <row r="462" spans="4:16">
      <c r="D462" s="602" t="s">
        <v>901</v>
      </c>
      <c r="E462" s="602" t="s">
        <v>902</v>
      </c>
      <c r="F462" s="616">
        <v>41730</v>
      </c>
      <c r="G462" s="617">
        <f t="shared" si="14"/>
        <v>2014</v>
      </c>
      <c r="H462" s="617">
        <f t="shared" si="15"/>
        <v>4</v>
      </c>
      <c r="I462" s="602">
        <v>9</v>
      </c>
      <c r="J462" s="602">
        <v>2.516</v>
      </c>
      <c r="K462" s="602">
        <v>0</v>
      </c>
      <c r="L462" s="618">
        <v>2.516</v>
      </c>
      <c r="M462" s="602">
        <v>0</v>
      </c>
      <c r="N462" s="602">
        <v>0</v>
      </c>
      <c r="O462" s="602">
        <v>2.4420000000000002</v>
      </c>
      <c r="P462" s="602">
        <v>0</v>
      </c>
    </row>
    <row r="463" spans="4:16">
      <c r="D463" s="602" t="s">
        <v>901</v>
      </c>
      <c r="E463" s="602" t="s">
        <v>902</v>
      </c>
      <c r="F463" s="616">
        <v>41789</v>
      </c>
      <c r="G463" s="617">
        <f t="shared" si="14"/>
        <v>2014</v>
      </c>
      <c r="H463" s="617">
        <f t="shared" si="15"/>
        <v>5</v>
      </c>
      <c r="I463" s="602">
        <v>17</v>
      </c>
      <c r="J463" s="602">
        <v>2.8050000000000002</v>
      </c>
      <c r="K463" s="602">
        <v>0</v>
      </c>
      <c r="L463" s="618">
        <v>2.8050000000000002</v>
      </c>
      <c r="M463" s="602">
        <v>0</v>
      </c>
      <c r="N463" s="602">
        <v>0</v>
      </c>
      <c r="O463" s="602">
        <v>2.7080000000000002</v>
      </c>
      <c r="P463" s="602">
        <v>0</v>
      </c>
    </row>
    <row r="464" spans="4:16">
      <c r="D464" s="602" t="s">
        <v>901</v>
      </c>
      <c r="E464" s="602" t="s">
        <v>902</v>
      </c>
      <c r="F464" s="616">
        <v>41808</v>
      </c>
      <c r="G464" s="617">
        <f t="shared" si="14"/>
        <v>2014</v>
      </c>
      <c r="H464" s="617">
        <f t="shared" si="15"/>
        <v>6</v>
      </c>
      <c r="I464" s="602">
        <v>18</v>
      </c>
      <c r="J464" s="602">
        <v>3.181</v>
      </c>
      <c r="K464" s="602">
        <v>0</v>
      </c>
      <c r="L464" s="618">
        <v>3.181</v>
      </c>
      <c r="M464" s="602">
        <v>0</v>
      </c>
      <c r="N464" s="602">
        <v>0</v>
      </c>
      <c r="O464" s="602">
        <v>3.0790000000000002</v>
      </c>
      <c r="P464" s="602">
        <v>0</v>
      </c>
    </row>
    <row r="465" spans="4:16">
      <c r="D465" s="602" t="s">
        <v>901</v>
      </c>
      <c r="E465" s="602" t="s">
        <v>902</v>
      </c>
      <c r="F465" s="616">
        <v>41842</v>
      </c>
      <c r="G465" s="617">
        <f t="shared" si="14"/>
        <v>2014</v>
      </c>
      <c r="H465" s="617">
        <f t="shared" si="15"/>
        <v>7</v>
      </c>
      <c r="I465" s="602">
        <v>17</v>
      </c>
      <c r="J465" s="602">
        <v>3.5920000000000001</v>
      </c>
      <c r="K465" s="602">
        <v>0</v>
      </c>
      <c r="L465" s="618">
        <v>3.5920000000000001</v>
      </c>
      <c r="M465" s="602">
        <v>0</v>
      </c>
      <c r="N465" s="602">
        <v>0</v>
      </c>
      <c r="O465" s="602">
        <v>3.51</v>
      </c>
      <c r="P465" s="602">
        <v>0</v>
      </c>
    </row>
    <row r="466" spans="4:16">
      <c r="D466" s="602" t="s">
        <v>901</v>
      </c>
      <c r="E466" s="602" t="s">
        <v>902</v>
      </c>
      <c r="F466" s="616">
        <v>41876</v>
      </c>
      <c r="G466" s="617">
        <f t="shared" si="14"/>
        <v>2014</v>
      </c>
      <c r="H466" s="617">
        <f t="shared" si="15"/>
        <v>8</v>
      </c>
      <c r="I466" s="602">
        <v>17</v>
      </c>
      <c r="J466" s="602">
        <v>3.379</v>
      </c>
      <c r="K466" s="602">
        <v>0</v>
      </c>
      <c r="L466" s="618">
        <v>3.379</v>
      </c>
      <c r="M466" s="602">
        <v>0</v>
      </c>
      <c r="N466" s="602">
        <v>0</v>
      </c>
      <c r="O466" s="602">
        <v>3.3919999999999999</v>
      </c>
      <c r="P466" s="602">
        <v>0</v>
      </c>
    </row>
    <row r="467" spans="4:16">
      <c r="D467" s="602" t="s">
        <v>901</v>
      </c>
      <c r="E467" s="602" t="s">
        <v>902</v>
      </c>
      <c r="F467" s="616">
        <v>41886</v>
      </c>
      <c r="G467" s="617">
        <f t="shared" si="14"/>
        <v>2014</v>
      </c>
      <c r="H467" s="617">
        <f t="shared" si="15"/>
        <v>9</v>
      </c>
      <c r="I467" s="602">
        <v>17</v>
      </c>
      <c r="J467" s="602">
        <v>3.8220000000000001</v>
      </c>
      <c r="K467" s="602">
        <v>0</v>
      </c>
      <c r="L467" s="618">
        <v>3.8220000000000001</v>
      </c>
      <c r="M467" s="602">
        <v>0</v>
      </c>
      <c r="N467" s="602">
        <v>0</v>
      </c>
      <c r="O467" s="602">
        <v>3.8719999999999999</v>
      </c>
      <c r="P467" s="602">
        <v>0</v>
      </c>
    </row>
    <row r="468" spans="4:16">
      <c r="D468" s="602" t="s">
        <v>901</v>
      </c>
      <c r="E468" s="602" t="s">
        <v>902</v>
      </c>
      <c r="F468" s="616">
        <v>41939</v>
      </c>
      <c r="G468" s="617">
        <f t="shared" si="14"/>
        <v>2014</v>
      </c>
      <c r="H468" s="617">
        <f t="shared" si="15"/>
        <v>10</v>
      </c>
      <c r="I468" s="602">
        <v>19</v>
      </c>
      <c r="J468" s="602">
        <v>2.9649999999999999</v>
      </c>
      <c r="K468" s="602">
        <v>0</v>
      </c>
      <c r="L468" s="618">
        <v>2.9649999999999999</v>
      </c>
      <c r="M468" s="619">
        <v>2906</v>
      </c>
      <c r="N468" s="602">
        <v>0.10199999999999999</v>
      </c>
      <c r="O468" s="602">
        <v>2.9609999999999999</v>
      </c>
      <c r="P468" s="602">
        <v>0</v>
      </c>
    </row>
    <row r="469" spans="4:16">
      <c r="D469" s="602" t="s">
        <v>901</v>
      </c>
      <c r="E469" s="602" t="s">
        <v>902</v>
      </c>
      <c r="F469" s="616">
        <v>41960</v>
      </c>
      <c r="G469" s="617">
        <f t="shared" si="14"/>
        <v>2014</v>
      </c>
      <c r="H469" s="617">
        <f t="shared" si="15"/>
        <v>11</v>
      </c>
      <c r="I469" s="602">
        <v>18</v>
      </c>
      <c r="J469" s="602">
        <v>2.6760000000000002</v>
      </c>
      <c r="K469" s="602">
        <v>0</v>
      </c>
      <c r="L469" s="618">
        <v>2.6760000000000002</v>
      </c>
      <c r="M469" s="602">
        <v>0</v>
      </c>
      <c r="N469" s="602">
        <v>0</v>
      </c>
      <c r="O469" s="602">
        <v>2.6709999999999998</v>
      </c>
      <c r="P469" s="602">
        <v>0</v>
      </c>
    </row>
    <row r="470" spans="4:16">
      <c r="D470" s="602" t="s">
        <v>901</v>
      </c>
      <c r="E470" s="602" t="s">
        <v>902</v>
      </c>
      <c r="F470" s="616">
        <v>41974</v>
      </c>
      <c r="G470" s="617">
        <f t="shared" si="14"/>
        <v>2014</v>
      </c>
      <c r="H470" s="617">
        <f t="shared" si="15"/>
        <v>12</v>
      </c>
      <c r="I470" s="602">
        <v>19</v>
      </c>
      <c r="J470" s="602">
        <v>3.14</v>
      </c>
      <c r="K470" s="602">
        <v>0</v>
      </c>
      <c r="L470" s="618">
        <v>3.14</v>
      </c>
      <c r="M470" s="602">
        <v>0</v>
      </c>
      <c r="N470" s="602">
        <v>0</v>
      </c>
      <c r="O470" s="602">
        <v>3.1480000000000001</v>
      </c>
      <c r="P470" s="602">
        <v>0</v>
      </c>
    </row>
    <row r="471" spans="4:16">
      <c r="D471" s="602" t="s">
        <v>901</v>
      </c>
      <c r="E471" s="602" t="s">
        <v>902</v>
      </c>
      <c r="F471" s="616">
        <v>42011</v>
      </c>
      <c r="G471" s="617">
        <f t="shared" si="14"/>
        <v>2015</v>
      </c>
      <c r="H471" s="617">
        <f t="shared" si="15"/>
        <v>1</v>
      </c>
      <c r="I471" s="602">
        <v>19</v>
      </c>
      <c r="J471" s="602">
        <v>3.02</v>
      </c>
      <c r="K471" s="602">
        <v>0</v>
      </c>
      <c r="L471" s="618">
        <v>3.02</v>
      </c>
      <c r="M471" s="619">
        <v>3438</v>
      </c>
      <c r="N471" s="602">
        <v>8.7999999999999995E-2</v>
      </c>
      <c r="O471" s="602">
        <v>3.0289999999999999</v>
      </c>
      <c r="P471" s="602">
        <v>0</v>
      </c>
    </row>
    <row r="472" spans="4:16">
      <c r="D472" s="602" t="s">
        <v>901</v>
      </c>
      <c r="E472" s="602" t="s">
        <v>902</v>
      </c>
      <c r="F472" s="616">
        <v>42053</v>
      </c>
      <c r="G472" s="617">
        <f t="shared" si="14"/>
        <v>2015</v>
      </c>
      <c r="H472" s="617">
        <f t="shared" si="15"/>
        <v>2</v>
      </c>
      <c r="I472" s="602">
        <v>19</v>
      </c>
      <c r="J472" s="602">
        <v>3.3170000000000002</v>
      </c>
      <c r="K472" s="602">
        <v>0</v>
      </c>
      <c r="L472" s="618">
        <v>3.3170000000000002</v>
      </c>
      <c r="M472" s="619">
        <v>3305</v>
      </c>
      <c r="N472" s="602">
        <v>0.1</v>
      </c>
      <c r="O472" s="602">
        <v>3.2869999999999999</v>
      </c>
      <c r="P472" s="602">
        <v>0</v>
      </c>
    </row>
    <row r="473" spans="4:16">
      <c r="D473" s="602" t="s">
        <v>901</v>
      </c>
      <c r="E473" s="602" t="s">
        <v>902</v>
      </c>
      <c r="F473" s="616">
        <v>42067</v>
      </c>
      <c r="G473" s="617">
        <f t="shared" si="14"/>
        <v>2015</v>
      </c>
      <c r="H473" s="617">
        <f t="shared" si="15"/>
        <v>3</v>
      </c>
      <c r="I473" s="602">
        <v>9</v>
      </c>
      <c r="J473" s="602">
        <v>3.3220000000000001</v>
      </c>
      <c r="K473" s="602">
        <v>0</v>
      </c>
      <c r="L473" s="618">
        <v>3.3220000000000001</v>
      </c>
      <c r="M473" s="602">
        <v>0</v>
      </c>
      <c r="N473" s="602">
        <v>0</v>
      </c>
      <c r="O473" s="602">
        <v>3.2749999999999999</v>
      </c>
      <c r="P473" s="602">
        <v>0</v>
      </c>
    </row>
    <row r="474" spans="4:16">
      <c r="D474" s="602" t="s">
        <v>901</v>
      </c>
      <c r="E474" s="602" t="s">
        <v>902</v>
      </c>
      <c r="F474" s="616">
        <v>42103</v>
      </c>
      <c r="G474" s="617">
        <f t="shared" si="14"/>
        <v>2015</v>
      </c>
      <c r="H474" s="617">
        <f t="shared" si="15"/>
        <v>4</v>
      </c>
      <c r="I474" s="602">
        <v>11</v>
      </c>
      <c r="J474" s="602">
        <v>2.3029999999999999</v>
      </c>
      <c r="K474" s="602">
        <v>0</v>
      </c>
      <c r="L474" s="618">
        <v>2.3029999999999999</v>
      </c>
      <c r="M474" s="602">
        <v>0</v>
      </c>
      <c r="N474" s="602">
        <v>0</v>
      </c>
      <c r="O474" s="602">
        <v>2.2959999999999998</v>
      </c>
      <c r="P474" s="602">
        <v>0</v>
      </c>
    </row>
    <row r="475" spans="4:16">
      <c r="D475" s="602" t="s">
        <v>901</v>
      </c>
      <c r="E475" s="602" t="s">
        <v>902</v>
      </c>
      <c r="F475" s="616">
        <v>42152</v>
      </c>
      <c r="G475" s="617">
        <f t="shared" si="14"/>
        <v>2015</v>
      </c>
      <c r="H475" s="617">
        <f t="shared" si="15"/>
        <v>5</v>
      </c>
      <c r="I475" s="602">
        <v>15</v>
      </c>
      <c r="J475" s="602">
        <v>2.4489999999999998</v>
      </c>
      <c r="K475" s="602">
        <v>0</v>
      </c>
      <c r="L475" s="618">
        <v>2.4489999999999998</v>
      </c>
      <c r="M475" s="602">
        <v>0</v>
      </c>
      <c r="N475" s="602">
        <v>0</v>
      </c>
      <c r="O475" s="602">
        <v>2.4249999999999998</v>
      </c>
      <c r="P475" s="602">
        <v>0</v>
      </c>
    </row>
    <row r="476" spans="4:16">
      <c r="D476" s="602" t="s">
        <v>901</v>
      </c>
      <c r="E476" s="602" t="s">
        <v>902</v>
      </c>
      <c r="F476" s="616">
        <v>42165</v>
      </c>
      <c r="G476" s="617">
        <f t="shared" si="14"/>
        <v>2015</v>
      </c>
      <c r="H476" s="617">
        <f t="shared" si="15"/>
        <v>6</v>
      </c>
      <c r="I476" s="602">
        <v>18</v>
      </c>
      <c r="J476" s="602">
        <v>3.395</v>
      </c>
      <c r="K476" s="602">
        <v>0</v>
      </c>
      <c r="L476" s="618">
        <v>3.395</v>
      </c>
      <c r="M476" s="602">
        <v>0</v>
      </c>
      <c r="N476" s="602">
        <v>0</v>
      </c>
      <c r="O476" s="602">
        <v>3.38</v>
      </c>
      <c r="P476" s="602">
        <v>0</v>
      </c>
    </row>
    <row r="477" spans="4:16">
      <c r="D477" s="602" t="s">
        <v>901</v>
      </c>
      <c r="E477" s="602" t="s">
        <v>902</v>
      </c>
      <c r="F477" s="616">
        <v>42198</v>
      </c>
      <c r="G477" s="617">
        <f t="shared" si="14"/>
        <v>2015</v>
      </c>
      <c r="H477" s="617">
        <f t="shared" si="15"/>
        <v>7</v>
      </c>
      <c r="I477" s="602">
        <v>16</v>
      </c>
      <c r="J477" s="602">
        <v>4.1020000000000003</v>
      </c>
      <c r="K477" s="602">
        <v>0</v>
      </c>
      <c r="L477" s="618">
        <v>4.1020000000000003</v>
      </c>
      <c r="M477" s="602">
        <v>0</v>
      </c>
      <c r="N477" s="602">
        <v>0</v>
      </c>
      <c r="O477" s="602">
        <v>4.0490000000000004</v>
      </c>
      <c r="P477" s="602">
        <v>0</v>
      </c>
    </row>
    <row r="478" spans="4:16">
      <c r="D478" s="602" t="s">
        <v>901</v>
      </c>
      <c r="E478" s="602" t="s">
        <v>902</v>
      </c>
      <c r="F478" s="616">
        <v>42230</v>
      </c>
      <c r="G478" s="617">
        <f t="shared" si="14"/>
        <v>2015</v>
      </c>
      <c r="H478" s="617">
        <f t="shared" si="15"/>
        <v>8</v>
      </c>
      <c r="I478" s="602">
        <v>17</v>
      </c>
      <c r="J478" s="602">
        <v>4.2859999999999996</v>
      </c>
      <c r="K478" s="602">
        <v>0</v>
      </c>
      <c r="L478" s="618">
        <v>4.2859999999999996</v>
      </c>
      <c r="M478" s="602">
        <v>0</v>
      </c>
      <c r="N478" s="602">
        <v>0</v>
      </c>
      <c r="O478" s="602">
        <v>4.2350000000000003</v>
      </c>
      <c r="P478" s="602">
        <v>0</v>
      </c>
    </row>
    <row r="479" spans="4:16">
      <c r="D479" s="602" t="s">
        <v>901</v>
      </c>
      <c r="E479" s="602" t="s">
        <v>902</v>
      </c>
      <c r="F479" s="616">
        <v>42250</v>
      </c>
      <c r="G479" s="617">
        <f t="shared" si="14"/>
        <v>2015</v>
      </c>
      <c r="H479" s="617">
        <f t="shared" si="15"/>
        <v>9</v>
      </c>
      <c r="I479" s="602">
        <v>17</v>
      </c>
      <c r="J479" s="602">
        <v>4.21</v>
      </c>
      <c r="K479" s="602">
        <v>0</v>
      </c>
      <c r="L479" s="618">
        <v>4.21</v>
      </c>
      <c r="M479" s="602">
        <v>0</v>
      </c>
      <c r="N479" s="602">
        <v>0</v>
      </c>
      <c r="O479" s="602">
        <v>4.1559999999999997</v>
      </c>
      <c r="P479" s="602">
        <v>0</v>
      </c>
    </row>
    <row r="480" spans="4:16">
      <c r="D480" s="602" t="s">
        <v>901</v>
      </c>
      <c r="E480" s="602" t="s">
        <v>902</v>
      </c>
      <c r="F480" s="616">
        <v>42284</v>
      </c>
      <c r="G480" s="617">
        <f t="shared" si="14"/>
        <v>2015</v>
      </c>
      <c r="H480" s="617">
        <f t="shared" si="15"/>
        <v>10</v>
      </c>
      <c r="I480" s="602">
        <v>15</v>
      </c>
      <c r="J480" s="602">
        <v>3.347</v>
      </c>
      <c r="K480" s="602">
        <v>0</v>
      </c>
      <c r="L480" s="618">
        <v>3.347</v>
      </c>
      <c r="M480" s="602">
        <v>0</v>
      </c>
      <c r="N480" s="602">
        <v>0</v>
      </c>
      <c r="O480" s="602">
        <v>3.3050000000000002</v>
      </c>
      <c r="P480" s="602">
        <v>0</v>
      </c>
    </row>
    <row r="481" spans="4:16">
      <c r="D481" s="602" t="s">
        <v>901</v>
      </c>
      <c r="E481" s="602" t="s">
        <v>902</v>
      </c>
      <c r="F481" s="616">
        <v>42338</v>
      </c>
      <c r="G481" s="617">
        <f t="shared" si="14"/>
        <v>2015</v>
      </c>
      <c r="H481" s="617">
        <f t="shared" si="15"/>
        <v>11</v>
      </c>
      <c r="I481" s="602">
        <v>18</v>
      </c>
      <c r="J481" s="602">
        <v>3.4689999999999999</v>
      </c>
      <c r="K481" s="602">
        <v>0</v>
      </c>
      <c r="L481" s="618">
        <v>3.4689999999999999</v>
      </c>
      <c r="M481" s="602">
        <v>0</v>
      </c>
      <c r="N481" s="602">
        <v>0</v>
      </c>
      <c r="O481" s="602">
        <v>3.4129999999999998</v>
      </c>
      <c r="P481" s="602">
        <v>0</v>
      </c>
    </row>
    <row r="482" spans="4:16">
      <c r="D482" s="602" t="s">
        <v>901</v>
      </c>
      <c r="E482" s="602" t="s">
        <v>902</v>
      </c>
      <c r="F482" s="616">
        <v>42355</v>
      </c>
      <c r="G482" s="617">
        <f t="shared" si="14"/>
        <v>2015</v>
      </c>
      <c r="H482" s="617">
        <f t="shared" si="15"/>
        <v>12</v>
      </c>
      <c r="I482" s="602">
        <v>19</v>
      </c>
      <c r="J482" s="602">
        <v>2.617</v>
      </c>
      <c r="K482" s="602">
        <v>0</v>
      </c>
      <c r="L482" s="618">
        <v>2.617</v>
      </c>
      <c r="M482" s="602">
        <v>0</v>
      </c>
      <c r="N482" s="602">
        <v>0</v>
      </c>
      <c r="O482" s="602">
        <v>2.5910000000000002</v>
      </c>
      <c r="P482" s="602">
        <v>0</v>
      </c>
    </row>
    <row r="483" spans="4:16">
      <c r="D483" s="602" t="s">
        <v>901</v>
      </c>
      <c r="E483" s="620" t="s">
        <v>904</v>
      </c>
      <c r="F483" s="621">
        <v>40927</v>
      </c>
      <c r="G483" s="617">
        <f t="shared" si="14"/>
        <v>2012</v>
      </c>
      <c r="H483" s="617">
        <f t="shared" si="15"/>
        <v>1</v>
      </c>
      <c r="I483" s="620">
        <v>19</v>
      </c>
      <c r="J483" s="620">
        <v>3.302</v>
      </c>
      <c r="K483" s="620">
        <v>0</v>
      </c>
      <c r="L483" s="622">
        <v>3.302</v>
      </c>
      <c r="M483" s="620">
        <v>0</v>
      </c>
      <c r="N483" s="623">
        <v>0</v>
      </c>
      <c r="O483" s="620">
        <v>3.3839999999999999</v>
      </c>
      <c r="P483" s="620">
        <v>0</v>
      </c>
    </row>
    <row r="484" spans="4:16">
      <c r="D484" s="602" t="s">
        <v>901</v>
      </c>
      <c r="E484" s="620" t="s">
        <v>904</v>
      </c>
      <c r="F484" s="621">
        <v>40952</v>
      </c>
      <c r="G484" s="617">
        <f t="shared" si="14"/>
        <v>2012</v>
      </c>
      <c r="H484" s="617">
        <f t="shared" si="15"/>
        <v>2</v>
      </c>
      <c r="I484" s="620">
        <v>19</v>
      </c>
      <c r="J484" s="620">
        <v>3.0169999999999999</v>
      </c>
      <c r="K484" s="620">
        <v>0</v>
      </c>
      <c r="L484" s="622">
        <v>3.0169999999999999</v>
      </c>
      <c r="M484" s="620">
        <v>0</v>
      </c>
      <c r="N484" s="623">
        <v>0</v>
      </c>
      <c r="O484" s="620">
        <v>3.069</v>
      </c>
      <c r="P484" s="620">
        <v>0</v>
      </c>
    </row>
    <row r="485" spans="4:16">
      <c r="D485" s="602" t="s">
        <v>901</v>
      </c>
      <c r="E485" s="620" t="s">
        <v>904</v>
      </c>
      <c r="F485" s="621">
        <v>40973</v>
      </c>
      <c r="G485" s="617">
        <f t="shared" si="14"/>
        <v>2012</v>
      </c>
      <c r="H485" s="617">
        <f t="shared" si="15"/>
        <v>3</v>
      </c>
      <c r="I485" s="620">
        <v>8</v>
      </c>
      <c r="J485" s="620">
        <v>3.4849999999999999</v>
      </c>
      <c r="K485" s="620">
        <v>0</v>
      </c>
      <c r="L485" s="622">
        <v>3.4849999999999999</v>
      </c>
      <c r="M485" s="620">
        <v>0</v>
      </c>
      <c r="N485" s="623">
        <v>0</v>
      </c>
      <c r="O485" s="620">
        <v>3.6269999999999998</v>
      </c>
      <c r="P485" s="620">
        <v>0</v>
      </c>
    </row>
    <row r="486" spans="4:16">
      <c r="D486" s="602" t="s">
        <v>901</v>
      </c>
      <c r="E486" s="620" t="s">
        <v>904</v>
      </c>
      <c r="F486" s="621">
        <v>41001</v>
      </c>
      <c r="G486" s="617">
        <f t="shared" si="14"/>
        <v>2012</v>
      </c>
      <c r="H486" s="617">
        <f t="shared" si="15"/>
        <v>4</v>
      </c>
      <c r="I486" s="620">
        <v>21</v>
      </c>
      <c r="J486" s="620">
        <v>2.5219999999999998</v>
      </c>
      <c r="K486" s="620">
        <v>0</v>
      </c>
      <c r="L486" s="622">
        <v>2.5219999999999998</v>
      </c>
      <c r="M486" s="620">
        <v>0</v>
      </c>
      <c r="N486" s="623">
        <v>0</v>
      </c>
      <c r="O486" s="620">
        <v>2.62</v>
      </c>
      <c r="P486" s="620">
        <v>0</v>
      </c>
    </row>
    <row r="487" spans="4:16">
      <c r="D487" s="602" t="s">
        <v>901</v>
      </c>
      <c r="E487" s="620" t="s">
        <v>904</v>
      </c>
      <c r="F487" s="621">
        <v>41053</v>
      </c>
      <c r="G487" s="617">
        <f t="shared" si="14"/>
        <v>2012</v>
      </c>
      <c r="H487" s="617">
        <f t="shared" si="15"/>
        <v>5</v>
      </c>
      <c r="I487" s="620">
        <v>14</v>
      </c>
      <c r="J487" s="620">
        <v>4.0469999999999997</v>
      </c>
      <c r="K487" s="620">
        <v>0</v>
      </c>
      <c r="L487" s="622">
        <v>4.0469999999999997</v>
      </c>
      <c r="M487" s="620">
        <v>0</v>
      </c>
      <c r="N487" s="623">
        <v>0</v>
      </c>
      <c r="O487" s="620">
        <v>4.149</v>
      </c>
      <c r="P487" s="620">
        <v>0</v>
      </c>
    </row>
    <row r="488" spans="4:16">
      <c r="D488" s="602" t="s">
        <v>901</v>
      </c>
      <c r="E488" s="620" t="s">
        <v>904</v>
      </c>
      <c r="F488" s="621">
        <v>41087</v>
      </c>
      <c r="G488" s="617">
        <f t="shared" si="14"/>
        <v>2012</v>
      </c>
      <c r="H488" s="617">
        <f t="shared" si="15"/>
        <v>6</v>
      </c>
      <c r="I488" s="620">
        <v>17</v>
      </c>
      <c r="J488" s="620">
        <v>5.2149999999999999</v>
      </c>
      <c r="K488" s="620">
        <v>0</v>
      </c>
      <c r="L488" s="622">
        <v>5.2149999999999999</v>
      </c>
      <c r="M488" s="620">
        <v>0</v>
      </c>
      <c r="N488" s="623">
        <v>0</v>
      </c>
      <c r="O488" s="620">
        <v>5.3109999999999999</v>
      </c>
      <c r="P488" s="620">
        <v>0</v>
      </c>
    </row>
    <row r="489" spans="4:16">
      <c r="D489" s="602" t="s">
        <v>901</v>
      </c>
      <c r="E489" s="620" t="s">
        <v>904</v>
      </c>
      <c r="F489" s="621">
        <v>41115</v>
      </c>
      <c r="G489" s="617">
        <f t="shared" si="14"/>
        <v>2012</v>
      </c>
      <c r="H489" s="617">
        <f t="shared" si="15"/>
        <v>7</v>
      </c>
      <c r="I489" s="620">
        <v>17</v>
      </c>
      <c r="J489" s="620">
        <v>2.4E-2</v>
      </c>
      <c r="K489" s="620">
        <v>4.9800000000000004</v>
      </c>
      <c r="L489" s="622">
        <v>5.0039999999999996</v>
      </c>
      <c r="M489" s="620">
        <v>0</v>
      </c>
      <c r="N489" s="623">
        <v>0</v>
      </c>
      <c r="O489" s="620">
        <v>1E-3</v>
      </c>
      <c r="P489" s="620">
        <v>4.9800000000000004</v>
      </c>
    </row>
    <row r="490" spans="4:16">
      <c r="D490" s="602" t="s">
        <v>901</v>
      </c>
      <c r="E490" s="620" t="s">
        <v>904</v>
      </c>
      <c r="F490" s="621">
        <v>41124</v>
      </c>
      <c r="G490" s="617">
        <f t="shared" si="14"/>
        <v>2012</v>
      </c>
      <c r="H490" s="617">
        <f t="shared" si="15"/>
        <v>8</v>
      </c>
      <c r="I490" s="620">
        <v>17</v>
      </c>
      <c r="J490" s="620">
        <v>4.5960000000000001</v>
      </c>
      <c r="K490" s="620">
        <v>0</v>
      </c>
      <c r="L490" s="622">
        <v>4.5960000000000001</v>
      </c>
      <c r="M490" s="620">
        <v>0</v>
      </c>
      <c r="N490" s="623">
        <v>0</v>
      </c>
      <c r="O490" s="620">
        <v>4.6989999999999998</v>
      </c>
      <c r="P490" s="620">
        <v>0</v>
      </c>
    </row>
    <row r="491" spans="4:16">
      <c r="D491" s="602" t="s">
        <v>901</v>
      </c>
      <c r="E491" s="620" t="s">
        <v>904</v>
      </c>
      <c r="F491" s="621">
        <v>41156</v>
      </c>
      <c r="G491" s="617">
        <f t="shared" si="14"/>
        <v>2012</v>
      </c>
      <c r="H491" s="617">
        <f t="shared" si="15"/>
        <v>9</v>
      </c>
      <c r="I491" s="620">
        <v>17</v>
      </c>
      <c r="J491" s="620">
        <v>4.9569999999999999</v>
      </c>
      <c r="K491" s="620">
        <v>0</v>
      </c>
      <c r="L491" s="622">
        <v>4.9569999999999999</v>
      </c>
      <c r="M491" s="620">
        <v>0</v>
      </c>
      <c r="N491" s="623">
        <v>0</v>
      </c>
      <c r="O491" s="620">
        <v>5.0350000000000001</v>
      </c>
      <c r="P491" s="620">
        <v>0</v>
      </c>
    </row>
    <row r="492" spans="4:16">
      <c r="D492" s="602" t="s">
        <v>901</v>
      </c>
      <c r="E492" s="620" t="s">
        <v>904</v>
      </c>
      <c r="F492" s="621">
        <v>41211</v>
      </c>
      <c r="G492" s="617">
        <f t="shared" si="14"/>
        <v>2012</v>
      </c>
      <c r="H492" s="617">
        <f t="shared" si="15"/>
        <v>10</v>
      </c>
      <c r="I492" s="620">
        <v>8</v>
      </c>
      <c r="J492" s="620">
        <v>3.5449999999999999</v>
      </c>
      <c r="K492" s="620">
        <v>0</v>
      </c>
      <c r="L492" s="622">
        <v>3.5449999999999999</v>
      </c>
      <c r="M492" s="620">
        <v>0</v>
      </c>
      <c r="N492" s="623">
        <v>0</v>
      </c>
      <c r="O492" s="620">
        <v>3.601</v>
      </c>
      <c r="P492" s="620">
        <v>0</v>
      </c>
    </row>
    <row r="493" spans="4:16">
      <c r="D493" s="602" t="s">
        <v>901</v>
      </c>
      <c r="E493" s="620" t="s">
        <v>904</v>
      </c>
      <c r="F493" s="621">
        <v>41225</v>
      </c>
      <c r="G493" s="617">
        <f t="shared" si="14"/>
        <v>2012</v>
      </c>
      <c r="H493" s="617">
        <f t="shared" si="15"/>
        <v>11</v>
      </c>
      <c r="I493" s="620">
        <v>18</v>
      </c>
      <c r="J493" s="620">
        <v>3.274</v>
      </c>
      <c r="K493" s="620">
        <v>0</v>
      </c>
      <c r="L493" s="622">
        <v>3.274</v>
      </c>
      <c r="M493" s="620">
        <v>0</v>
      </c>
      <c r="N493" s="623">
        <v>0</v>
      </c>
      <c r="O493" s="620">
        <v>3.3039999999999998</v>
      </c>
      <c r="P493" s="620">
        <v>0</v>
      </c>
    </row>
    <row r="494" spans="4:16">
      <c r="D494" s="602" t="s">
        <v>901</v>
      </c>
      <c r="E494" s="620" t="s">
        <v>904</v>
      </c>
      <c r="F494" s="621">
        <v>41263</v>
      </c>
      <c r="G494" s="617">
        <f t="shared" si="14"/>
        <v>2012</v>
      </c>
      <c r="H494" s="617">
        <f t="shared" si="15"/>
        <v>12</v>
      </c>
      <c r="I494" s="620">
        <v>18</v>
      </c>
      <c r="J494" s="620">
        <v>3.4569999999999999</v>
      </c>
      <c r="K494" s="620">
        <v>0</v>
      </c>
      <c r="L494" s="622">
        <v>3.4569999999999999</v>
      </c>
      <c r="M494" s="620">
        <v>0</v>
      </c>
      <c r="N494" s="623">
        <v>0</v>
      </c>
      <c r="O494" s="620">
        <v>3.4940000000000002</v>
      </c>
      <c r="P494" s="620">
        <v>0</v>
      </c>
    </row>
    <row r="495" spans="4:16">
      <c r="D495" s="602" t="s">
        <v>901</v>
      </c>
      <c r="E495" s="620" t="s">
        <v>904</v>
      </c>
      <c r="F495" s="621">
        <v>41305</v>
      </c>
      <c r="G495" s="617">
        <f t="shared" si="14"/>
        <v>2013</v>
      </c>
      <c r="H495" s="617">
        <f t="shared" si="15"/>
        <v>1</v>
      </c>
      <c r="I495" s="620">
        <v>19</v>
      </c>
      <c r="J495" s="620">
        <v>3.5169999999999999</v>
      </c>
      <c r="K495" s="620">
        <v>0</v>
      </c>
      <c r="L495" s="622">
        <v>3.5169999999999999</v>
      </c>
      <c r="M495" s="620">
        <v>0</v>
      </c>
      <c r="N495" s="623">
        <v>0</v>
      </c>
      <c r="O495" s="620">
        <v>3.5510000000000002</v>
      </c>
      <c r="P495" s="620">
        <v>0</v>
      </c>
    </row>
    <row r="496" spans="4:16">
      <c r="D496" s="602" t="s">
        <v>901</v>
      </c>
      <c r="E496" s="620" t="s">
        <v>904</v>
      </c>
      <c r="F496" s="621">
        <v>41306</v>
      </c>
      <c r="G496" s="617">
        <f t="shared" si="14"/>
        <v>2013</v>
      </c>
      <c r="H496" s="617">
        <f t="shared" si="15"/>
        <v>2</v>
      </c>
      <c r="I496" s="620">
        <v>8</v>
      </c>
      <c r="J496" s="620">
        <v>4.1139999999999999</v>
      </c>
      <c r="K496" s="620">
        <v>0</v>
      </c>
      <c r="L496" s="622">
        <v>4.1139999999999999</v>
      </c>
      <c r="M496" s="620">
        <v>0</v>
      </c>
      <c r="N496" s="623">
        <v>0</v>
      </c>
      <c r="O496" s="620">
        <v>4.16</v>
      </c>
      <c r="P496" s="620">
        <v>0</v>
      </c>
    </row>
    <row r="497" spans="4:16">
      <c r="D497" s="602" t="s">
        <v>901</v>
      </c>
      <c r="E497" s="620" t="s">
        <v>904</v>
      </c>
      <c r="F497" s="621">
        <v>41354</v>
      </c>
      <c r="G497" s="617">
        <f t="shared" si="14"/>
        <v>2013</v>
      </c>
      <c r="H497" s="617">
        <f t="shared" si="15"/>
        <v>3</v>
      </c>
      <c r="I497" s="620">
        <v>8</v>
      </c>
      <c r="J497" s="620">
        <v>3.7</v>
      </c>
      <c r="K497" s="620">
        <v>0</v>
      </c>
      <c r="L497" s="622">
        <v>3.7</v>
      </c>
      <c r="M497" s="620">
        <v>0</v>
      </c>
      <c r="N497" s="623">
        <v>0</v>
      </c>
      <c r="O497" s="620">
        <v>3.7469999999999999</v>
      </c>
      <c r="P497" s="620">
        <v>0</v>
      </c>
    </row>
    <row r="498" spans="4:16">
      <c r="D498" s="602" t="s">
        <v>901</v>
      </c>
      <c r="E498" s="620" t="s">
        <v>904</v>
      </c>
      <c r="F498" s="621">
        <v>41366</v>
      </c>
      <c r="G498" s="617">
        <f t="shared" si="14"/>
        <v>2013</v>
      </c>
      <c r="H498" s="617">
        <f t="shared" si="15"/>
        <v>4</v>
      </c>
      <c r="I498" s="620">
        <v>8</v>
      </c>
      <c r="J498" s="620">
        <v>3.504</v>
      </c>
      <c r="K498" s="620">
        <v>0</v>
      </c>
      <c r="L498" s="622">
        <v>3.504</v>
      </c>
      <c r="M498" s="620">
        <v>0</v>
      </c>
      <c r="N498" s="623">
        <v>0</v>
      </c>
      <c r="O498" s="620">
        <v>3.55</v>
      </c>
      <c r="P498" s="620">
        <v>0</v>
      </c>
    </row>
    <row r="499" spans="4:16">
      <c r="D499" s="602" t="s">
        <v>901</v>
      </c>
      <c r="E499" s="620" t="s">
        <v>904</v>
      </c>
      <c r="F499" s="621">
        <v>41424</v>
      </c>
      <c r="G499" s="617">
        <f t="shared" si="14"/>
        <v>2013</v>
      </c>
      <c r="H499" s="617">
        <f t="shared" si="15"/>
        <v>5</v>
      </c>
      <c r="I499" s="620">
        <v>12</v>
      </c>
      <c r="J499" s="620">
        <v>3.915</v>
      </c>
      <c r="K499" s="620">
        <v>0</v>
      </c>
      <c r="L499" s="622">
        <v>3.915</v>
      </c>
      <c r="M499" s="620">
        <v>0</v>
      </c>
      <c r="N499" s="623">
        <v>0</v>
      </c>
      <c r="O499" s="620">
        <v>3.8769999999999998</v>
      </c>
      <c r="P499" s="620">
        <v>0</v>
      </c>
    </row>
    <row r="500" spans="4:16">
      <c r="D500" s="602" t="s">
        <v>901</v>
      </c>
      <c r="E500" s="620" t="s">
        <v>904</v>
      </c>
      <c r="F500" s="621">
        <v>41451</v>
      </c>
      <c r="G500" s="617">
        <f t="shared" si="14"/>
        <v>2013</v>
      </c>
      <c r="H500" s="617">
        <f t="shared" si="15"/>
        <v>6</v>
      </c>
      <c r="I500" s="620">
        <v>17</v>
      </c>
      <c r="J500" s="620">
        <v>4.47</v>
      </c>
      <c r="K500" s="620">
        <v>0</v>
      </c>
      <c r="L500" s="622">
        <v>4.47</v>
      </c>
      <c r="M500" s="620">
        <v>0</v>
      </c>
      <c r="N500" s="623">
        <v>0</v>
      </c>
      <c r="O500" s="620">
        <v>4.4390000000000001</v>
      </c>
      <c r="P500" s="620">
        <v>0</v>
      </c>
    </row>
    <row r="501" spans="4:16">
      <c r="D501" s="602" t="s">
        <v>901</v>
      </c>
      <c r="E501" s="620" t="s">
        <v>904</v>
      </c>
      <c r="F501" s="621">
        <v>41472</v>
      </c>
      <c r="G501" s="617">
        <f t="shared" si="14"/>
        <v>2013</v>
      </c>
      <c r="H501" s="617">
        <f t="shared" si="15"/>
        <v>7</v>
      </c>
      <c r="I501" s="620">
        <v>17</v>
      </c>
      <c r="J501" s="620">
        <v>4.9809999999999999</v>
      </c>
      <c r="K501" s="620">
        <v>0</v>
      </c>
      <c r="L501" s="622">
        <v>4.9809999999999999</v>
      </c>
      <c r="M501" s="620">
        <v>0</v>
      </c>
      <c r="N501" s="623">
        <v>0</v>
      </c>
      <c r="O501" s="620">
        <v>4.9420000000000002</v>
      </c>
      <c r="P501" s="620">
        <v>0</v>
      </c>
    </row>
    <row r="502" spans="4:16">
      <c r="D502" s="602" t="s">
        <v>901</v>
      </c>
      <c r="E502" s="620" t="s">
        <v>904</v>
      </c>
      <c r="F502" s="621">
        <v>41516</v>
      </c>
      <c r="G502" s="617">
        <f t="shared" si="14"/>
        <v>2013</v>
      </c>
      <c r="H502" s="617">
        <f t="shared" si="15"/>
        <v>8</v>
      </c>
      <c r="I502" s="620">
        <v>16</v>
      </c>
      <c r="J502" s="620">
        <v>4.3719999999999999</v>
      </c>
      <c r="K502" s="620">
        <v>0</v>
      </c>
      <c r="L502" s="622">
        <v>4.3719999999999999</v>
      </c>
      <c r="M502" s="620">
        <v>0</v>
      </c>
      <c r="N502" s="623">
        <v>0</v>
      </c>
      <c r="O502" s="620">
        <v>4.34</v>
      </c>
      <c r="P502" s="620">
        <v>0</v>
      </c>
    </row>
    <row r="503" spans="4:16">
      <c r="D503" s="602" t="s">
        <v>901</v>
      </c>
      <c r="E503" s="620" t="s">
        <v>904</v>
      </c>
      <c r="F503" s="621">
        <v>41526</v>
      </c>
      <c r="G503" s="617">
        <f t="shared" si="14"/>
        <v>2013</v>
      </c>
      <c r="H503" s="617">
        <f t="shared" si="15"/>
        <v>9</v>
      </c>
      <c r="I503" s="620">
        <v>17</v>
      </c>
      <c r="J503" s="620">
        <v>4.8490000000000002</v>
      </c>
      <c r="K503" s="620">
        <v>0</v>
      </c>
      <c r="L503" s="622">
        <v>4.8490000000000002</v>
      </c>
      <c r="M503" s="620">
        <v>0</v>
      </c>
      <c r="N503" s="623">
        <v>0</v>
      </c>
      <c r="O503" s="620">
        <v>4.8159999999999998</v>
      </c>
      <c r="P503" s="620">
        <v>0</v>
      </c>
    </row>
    <row r="504" spans="4:16">
      <c r="D504" s="602" t="s">
        <v>901</v>
      </c>
      <c r="E504" s="620" t="s">
        <v>904</v>
      </c>
      <c r="F504" s="621">
        <v>41571</v>
      </c>
      <c r="G504" s="617">
        <f t="shared" si="14"/>
        <v>2013</v>
      </c>
      <c r="H504" s="617">
        <f t="shared" si="15"/>
        <v>10</v>
      </c>
      <c r="I504" s="620">
        <v>20</v>
      </c>
      <c r="J504" s="620">
        <v>2.6360000000000001</v>
      </c>
      <c r="K504" s="620">
        <v>0</v>
      </c>
      <c r="L504" s="622">
        <v>2.6360000000000001</v>
      </c>
      <c r="M504" s="620">
        <v>0</v>
      </c>
      <c r="N504" s="623">
        <v>0</v>
      </c>
      <c r="O504" s="620">
        <v>2.6179999999999999</v>
      </c>
      <c r="P504" s="620">
        <v>0</v>
      </c>
    </row>
    <row r="505" spans="4:16">
      <c r="D505" s="602" t="s">
        <v>901</v>
      </c>
      <c r="E505" s="620" t="s">
        <v>904</v>
      </c>
      <c r="F505" s="621">
        <v>41590</v>
      </c>
      <c r="G505" s="617">
        <f t="shared" si="14"/>
        <v>2013</v>
      </c>
      <c r="H505" s="617">
        <f t="shared" si="15"/>
        <v>11</v>
      </c>
      <c r="I505" s="620">
        <v>19</v>
      </c>
      <c r="J505" s="620">
        <v>2.9790000000000001</v>
      </c>
      <c r="K505" s="620">
        <v>0</v>
      </c>
      <c r="L505" s="622">
        <v>2.9790000000000001</v>
      </c>
      <c r="M505" s="620">
        <v>0</v>
      </c>
      <c r="N505" s="623">
        <v>0</v>
      </c>
      <c r="O505" s="620">
        <v>2.9550000000000001</v>
      </c>
      <c r="P505" s="620">
        <v>0</v>
      </c>
    </row>
    <row r="506" spans="4:16">
      <c r="D506" s="602" t="s">
        <v>901</v>
      </c>
      <c r="E506" s="620" t="s">
        <v>904</v>
      </c>
      <c r="F506" s="621">
        <v>41619</v>
      </c>
      <c r="G506" s="617">
        <f t="shared" si="14"/>
        <v>2013</v>
      </c>
      <c r="H506" s="617">
        <f t="shared" si="15"/>
        <v>12</v>
      </c>
      <c r="I506" s="620">
        <v>18</v>
      </c>
      <c r="J506" s="620">
        <v>3.5939999999999999</v>
      </c>
      <c r="K506" s="620">
        <v>0</v>
      </c>
      <c r="L506" s="622">
        <v>3.5939999999999999</v>
      </c>
      <c r="M506" s="620">
        <v>0</v>
      </c>
      <c r="N506" s="623">
        <v>0</v>
      </c>
      <c r="O506" s="620">
        <v>3.5640000000000001</v>
      </c>
      <c r="P506" s="620">
        <v>0</v>
      </c>
    </row>
    <row r="507" spans="4:16">
      <c r="D507" s="602" t="s">
        <v>901</v>
      </c>
      <c r="E507" s="602" t="s">
        <v>904</v>
      </c>
      <c r="F507" s="616">
        <v>41645</v>
      </c>
      <c r="G507" s="617">
        <f t="shared" si="14"/>
        <v>2014</v>
      </c>
      <c r="H507" s="617">
        <f t="shared" si="15"/>
        <v>1</v>
      </c>
      <c r="I507" s="602">
        <v>18</v>
      </c>
      <c r="J507" s="602">
        <v>3.649</v>
      </c>
      <c r="K507" s="602">
        <v>0</v>
      </c>
      <c r="L507" s="618">
        <v>3.649</v>
      </c>
      <c r="M507" s="602">
        <v>0</v>
      </c>
      <c r="N507" s="602">
        <v>0</v>
      </c>
      <c r="O507" s="602">
        <v>3.6190000000000002</v>
      </c>
      <c r="P507" s="602">
        <v>0</v>
      </c>
    </row>
    <row r="508" spans="4:16">
      <c r="D508" s="602" t="s">
        <v>901</v>
      </c>
      <c r="E508" s="602" t="s">
        <v>904</v>
      </c>
      <c r="F508" s="616">
        <v>41681</v>
      </c>
      <c r="G508" s="617">
        <f t="shared" si="14"/>
        <v>2014</v>
      </c>
      <c r="H508" s="617">
        <f t="shared" si="15"/>
        <v>2</v>
      </c>
      <c r="I508" s="602">
        <v>8</v>
      </c>
      <c r="J508" s="602">
        <v>3.96</v>
      </c>
      <c r="K508" s="602">
        <v>0</v>
      </c>
      <c r="L508" s="618">
        <v>3.96</v>
      </c>
      <c r="M508" s="602">
        <v>0</v>
      </c>
      <c r="N508" s="602">
        <v>0</v>
      </c>
      <c r="O508" s="602">
        <v>3.9319999999999999</v>
      </c>
      <c r="P508" s="602">
        <v>0</v>
      </c>
    </row>
    <row r="509" spans="4:16">
      <c r="D509" s="602" t="s">
        <v>901</v>
      </c>
      <c r="E509" s="602" t="s">
        <v>904</v>
      </c>
      <c r="F509" s="616">
        <v>41701</v>
      </c>
      <c r="G509" s="617">
        <f t="shared" si="14"/>
        <v>2014</v>
      </c>
      <c r="H509" s="617">
        <f t="shared" si="15"/>
        <v>3</v>
      </c>
      <c r="I509" s="602">
        <v>8</v>
      </c>
      <c r="J509" s="602">
        <v>3.855</v>
      </c>
      <c r="K509" s="602">
        <v>0</v>
      </c>
      <c r="L509" s="618">
        <v>3.855</v>
      </c>
      <c r="M509" s="602">
        <v>0</v>
      </c>
      <c r="N509" s="602">
        <v>0</v>
      </c>
      <c r="O509" s="602">
        <v>3.8260000000000001</v>
      </c>
      <c r="P509" s="602">
        <v>0</v>
      </c>
    </row>
    <row r="510" spans="4:16">
      <c r="D510" s="602" t="s">
        <v>901</v>
      </c>
      <c r="E510" s="602" t="s">
        <v>904</v>
      </c>
      <c r="F510" s="616">
        <v>41730</v>
      </c>
      <c r="G510" s="617">
        <f t="shared" si="14"/>
        <v>2014</v>
      </c>
      <c r="H510" s="617">
        <f t="shared" si="15"/>
        <v>4</v>
      </c>
      <c r="I510" s="602">
        <v>9</v>
      </c>
      <c r="J510" s="602">
        <v>3.7989999999999999</v>
      </c>
      <c r="K510" s="602">
        <v>0</v>
      </c>
      <c r="L510" s="618">
        <v>3.7989999999999999</v>
      </c>
      <c r="M510" s="602">
        <v>0</v>
      </c>
      <c r="N510" s="602">
        <v>0</v>
      </c>
      <c r="O510" s="602">
        <v>3.7690000000000001</v>
      </c>
      <c r="P510" s="602">
        <v>0</v>
      </c>
    </row>
    <row r="511" spans="4:16">
      <c r="D511" s="602" t="s">
        <v>901</v>
      </c>
      <c r="E511" s="602" t="s">
        <v>904</v>
      </c>
      <c r="F511" s="616">
        <v>41789</v>
      </c>
      <c r="G511" s="617">
        <f t="shared" si="14"/>
        <v>2014</v>
      </c>
      <c r="H511" s="617">
        <f t="shared" si="15"/>
        <v>5</v>
      </c>
      <c r="I511" s="602">
        <v>17</v>
      </c>
      <c r="J511" s="602">
        <v>3.8380000000000001</v>
      </c>
      <c r="K511" s="602">
        <v>0</v>
      </c>
      <c r="L511" s="618">
        <v>3.8380000000000001</v>
      </c>
      <c r="M511" s="602">
        <v>0</v>
      </c>
      <c r="N511" s="602">
        <v>0</v>
      </c>
      <c r="O511" s="602">
        <v>3.8119999999999998</v>
      </c>
      <c r="P511" s="602">
        <v>0</v>
      </c>
    </row>
    <row r="512" spans="4:16">
      <c r="D512" s="602" t="s">
        <v>901</v>
      </c>
      <c r="E512" s="602" t="s">
        <v>904</v>
      </c>
      <c r="F512" s="616">
        <v>41808</v>
      </c>
      <c r="G512" s="617">
        <f t="shared" si="14"/>
        <v>2014</v>
      </c>
      <c r="H512" s="617">
        <f t="shared" si="15"/>
        <v>6</v>
      </c>
      <c r="I512" s="602">
        <v>18</v>
      </c>
      <c r="J512" s="602">
        <v>3.992</v>
      </c>
      <c r="K512" s="602">
        <v>0</v>
      </c>
      <c r="L512" s="618">
        <v>3.992</v>
      </c>
      <c r="M512" s="602">
        <v>0</v>
      </c>
      <c r="N512" s="602">
        <v>0</v>
      </c>
      <c r="O512" s="602">
        <v>3.9590000000000001</v>
      </c>
      <c r="P512" s="602">
        <v>0</v>
      </c>
    </row>
    <row r="513" spans="4:16">
      <c r="D513" s="602" t="s">
        <v>901</v>
      </c>
      <c r="E513" s="602" t="s">
        <v>904</v>
      </c>
      <c r="F513" s="616">
        <v>41842</v>
      </c>
      <c r="G513" s="617">
        <f t="shared" si="14"/>
        <v>2014</v>
      </c>
      <c r="H513" s="617">
        <f t="shared" si="15"/>
        <v>7</v>
      </c>
      <c r="I513" s="602">
        <v>17</v>
      </c>
      <c r="J513" s="602">
        <v>4.5970000000000004</v>
      </c>
      <c r="K513" s="602">
        <v>0</v>
      </c>
      <c r="L513" s="618">
        <v>4.5970000000000004</v>
      </c>
      <c r="M513" s="602">
        <v>0</v>
      </c>
      <c r="N513" s="602">
        <v>0</v>
      </c>
      <c r="O513" s="602">
        <v>4.5549999999999997</v>
      </c>
      <c r="P513" s="602">
        <v>0</v>
      </c>
    </row>
    <row r="514" spans="4:16">
      <c r="D514" s="602" t="s">
        <v>901</v>
      </c>
      <c r="E514" s="602" t="s">
        <v>904</v>
      </c>
      <c r="F514" s="616">
        <v>41876</v>
      </c>
      <c r="G514" s="617">
        <f t="shared" si="14"/>
        <v>2014</v>
      </c>
      <c r="H514" s="617">
        <f t="shared" si="15"/>
        <v>8</v>
      </c>
      <c r="I514" s="602">
        <v>17</v>
      </c>
      <c r="J514" s="602">
        <v>3.7450000000000001</v>
      </c>
      <c r="K514" s="602">
        <v>0</v>
      </c>
      <c r="L514" s="618">
        <v>3.7450000000000001</v>
      </c>
      <c r="M514" s="602">
        <v>0</v>
      </c>
      <c r="N514" s="602">
        <v>0</v>
      </c>
      <c r="O514" s="602">
        <v>3.7130000000000001</v>
      </c>
      <c r="P514" s="602">
        <v>0</v>
      </c>
    </row>
    <row r="515" spans="4:16">
      <c r="D515" s="602" t="s">
        <v>901</v>
      </c>
      <c r="E515" s="602" t="s">
        <v>904</v>
      </c>
      <c r="F515" s="616">
        <v>41886</v>
      </c>
      <c r="G515" s="617">
        <f t="shared" ref="G515:G578" si="16">YEAR(F515)</f>
        <v>2014</v>
      </c>
      <c r="H515" s="617">
        <f t="shared" ref="H515:H578" si="17">MONTH(F515)</f>
        <v>9</v>
      </c>
      <c r="I515" s="602">
        <v>17</v>
      </c>
      <c r="J515" s="602">
        <v>4.2949999999999999</v>
      </c>
      <c r="K515" s="602">
        <v>0</v>
      </c>
      <c r="L515" s="618">
        <v>4.2949999999999999</v>
      </c>
      <c r="M515" s="602">
        <v>0</v>
      </c>
      <c r="N515" s="602">
        <v>0</v>
      </c>
      <c r="O515" s="602">
        <v>4.2610000000000001</v>
      </c>
      <c r="P515" s="602">
        <v>0</v>
      </c>
    </row>
    <row r="516" spans="4:16">
      <c r="D516" s="602" t="s">
        <v>901</v>
      </c>
      <c r="E516" s="602" t="s">
        <v>904</v>
      </c>
      <c r="F516" s="616">
        <v>41939</v>
      </c>
      <c r="G516" s="617">
        <f t="shared" si="16"/>
        <v>2014</v>
      </c>
      <c r="H516" s="617">
        <f t="shared" si="17"/>
        <v>10</v>
      </c>
      <c r="I516" s="602">
        <v>19</v>
      </c>
      <c r="J516" s="602">
        <v>2.7989999999999999</v>
      </c>
      <c r="K516" s="602">
        <v>0</v>
      </c>
      <c r="L516" s="618">
        <v>2.7989999999999999</v>
      </c>
      <c r="M516" s="619">
        <v>2906</v>
      </c>
      <c r="N516" s="602">
        <v>9.6000000000000002E-2</v>
      </c>
      <c r="O516" s="602">
        <v>2.778</v>
      </c>
      <c r="P516" s="602">
        <v>0</v>
      </c>
    </row>
    <row r="517" spans="4:16">
      <c r="D517" s="602" t="s">
        <v>901</v>
      </c>
      <c r="E517" s="602" t="s">
        <v>904</v>
      </c>
      <c r="F517" s="616">
        <v>41960</v>
      </c>
      <c r="G517" s="617">
        <f t="shared" si="16"/>
        <v>2014</v>
      </c>
      <c r="H517" s="617">
        <f t="shared" si="17"/>
        <v>11</v>
      </c>
      <c r="I517" s="602">
        <v>18</v>
      </c>
      <c r="J517" s="602">
        <v>3.347</v>
      </c>
      <c r="K517" s="602">
        <v>0</v>
      </c>
      <c r="L517" s="618">
        <v>3.347</v>
      </c>
      <c r="M517" s="602">
        <v>0</v>
      </c>
      <c r="N517" s="602">
        <v>0</v>
      </c>
      <c r="O517" s="602">
        <v>3.3330000000000002</v>
      </c>
      <c r="P517" s="602">
        <v>0</v>
      </c>
    </row>
    <row r="518" spans="4:16">
      <c r="D518" s="602" t="s">
        <v>901</v>
      </c>
      <c r="E518" s="602" t="s">
        <v>904</v>
      </c>
      <c r="F518" s="616">
        <v>41974</v>
      </c>
      <c r="G518" s="617">
        <f t="shared" si="16"/>
        <v>2014</v>
      </c>
      <c r="H518" s="617">
        <f t="shared" si="17"/>
        <v>12</v>
      </c>
      <c r="I518" s="602">
        <v>19</v>
      </c>
      <c r="J518" s="602">
        <v>3.3490000000000002</v>
      </c>
      <c r="K518" s="602">
        <v>0</v>
      </c>
      <c r="L518" s="618">
        <v>3.3490000000000002</v>
      </c>
      <c r="M518" s="602">
        <v>0</v>
      </c>
      <c r="N518" s="602">
        <v>0</v>
      </c>
      <c r="O518" s="602">
        <v>3.3359999999999999</v>
      </c>
      <c r="P518" s="602">
        <v>0</v>
      </c>
    </row>
    <row r="519" spans="4:16">
      <c r="D519" s="602" t="s">
        <v>901</v>
      </c>
      <c r="E519" s="602" t="s">
        <v>904</v>
      </c>
      <c r="F519" s="616">
        <v>42011</v>
      </c>
      <c r="G519" s="617">
        <f t="shared" si="16"/>
        <v>2015</v>
      </c>
      <c r="H519" s="617">
        <f t="shared" si="17"/>
        <v>1</v>
      </c>
      <c r="I519" s="602">
        <v>19</v>
      </c>
      <c r="J519" s="602">
        <v>3.472</v>
      </c>
      <c r="K519" s="602">
        <v>0</v>
      </c>
      <c r="L519" s="618">
        <v>3.472</v>
      </c>
      <c r="M519" s="619">
        <v>3438</v>
      </c>
      <c r="N519" s="602">
        <v>0.10100000000000001</v>
      </c>
      <c r="O519" s="602">
        <v>3.456</v>
      </c>
      <c r="P519" s="602">
        <v>0</v>
      </c>
    </row>
    <row r="520" spans="4:16">
      <c r="D520" s="602" t="s">
        <v>901</v>
      </c>
      <c r="E520" s="602" t="s">
        <v>904</v>
      </c>
      <c r="F520" s="616">
        <v>42053</v>
      </c>
      <c r="G520" s="617">
        <f t="shared" si="16"/>
        <v>2015</v>
      </c>
      <c r="H520" s="617">
        <f t="shared" si="17"/>
        <v>2</v>
      </c>
      <c r="I520" s="602">
        <v>19</v>
      </c>
      <c r="J520" s="602">
        <v>3.3439999999999999</v>
      </c>
      <c r="K520" s="602">
        <v>0</v>
      </c>
      <c r="L520" s="618">
        <v>3.3439999999999999</v>
      </c>
      <c r="M520" s="619">
        <v>3305</v>
      </c>
      <c r="N520" s="602">
        <v>0.10100000000000001</v>
      </c>
      <c r="O520" s="602">
        <v>3.32</v>
      </c>
      <c r="P520" s="602">
        <v>0</v>
      </c>
    </row>
    <row r="521" spans="4:16">
      <c r="D521" s="602" t="s">
        <v>901</v>
      </c>
      <c r="E521" s="602" t="s">
        <v>904</v>
      </c>
      <c r="F521" s="616">
        <v>42067</v>
      </c>
      <c r="G521" s="617">
        <f t="shared" si="16"/>
        <v>2015</v>
      </c>
      <c r="H521" s="617">
        <f t="shared" si="17"/>
        <v>3</v>
      </c>
      <c r="I521" s="602">
        <v>9</v>
      </c>
      <c r="J521" s="602">
        <v>3.9350000000000001</v>
      </c>
      <c r="K521" s="602">
        <v>0</v>
      </c>
      <c r="L521" s="618">
        <v>3.9350000000000001</v>
      </c>
      <c r="M521" s="602">
        <v>0</v>
      </c>
      <c r="N521" s="602">
        <v>0</v>
      </c>
      <c r="O521" s="602">
        <v>3.9039999999999999</v>
      </c>
      <c r="P521" s="602">
        <v>0</v>
      </c>
    </row>
    <row r="522" spans="4:16">
      <c r="D522" s="602" t="s">
        <v>901</v>
      </c>
      <c r="E522" s="602" t="s">
        <v>904</v>
      </c>
      <c r="F522" s="616">
        <v>42103</v>
      </c>
      <c r="G522" s="617">
        <f t="shared" si="16"/>
        <v>2015</v>
      </c>
      <c r="H522" s="617">
        <f t="shared" si="17"/>
        <v>4</v>
      </c>
      <c r="I522" s="602">
        <v>11</v>
      </c>
      <c r="J522" s="602">
        <v>3.7690000000000001</v>
      </c>
      <c r="K522" s="602">
        <v>0</v>
      </c>
      <c r="L522" s="618">
        <v>3.7690000000000001</v>
      </c>
      <c r="M522" s="602">
        <v>0</v>
      </c>
      <c r="N522" s="602">
        <v>0</v>
      </c>
      <c r="O522" s="602">
        <v>3.7440000000000002</v>
      </c>
      <c r="P522" s="602">
        <v>0</v>
      </c>
    </row>
    <row r="523" spans="4:16">
      <c r="D523" s="602" t="s">
        <v>901</v>
      </c>
      <c r="E523" s="602" t="s">
        <v>904</v>
      </c>
      <c r="F523" s="616">
        <v>42152</v>
      </c>
      <c r="G523" s="617">
        <f t="shared" si="16"/>
        <v>2015</v>
      </c>
      <c r="H523" s="617">
        <f t="shared" si="17"/>
        <v>5</v>
      </c>
      <c r="I523" s="602">
        <v>15</v>
      </c>
      <c r="J523" s="602">
        <v>3.9449999999999998</v>
      </c>
      <c r="K523" s="602">
        <v>0</v>
      </c>
      <c r="L523" s="618">
        <v>3.9449999999999998</v>
      </c>
      <c r="M523" s="602">
        <v>0</v>
      </c>
      <c r="N523" s="602">
        <v>0</v>
      </c>
      <c r="O523" s="602">
        <v>3.911</v>
      </c>
      <c r="P523" s="602">
        <v>0</v>
      </c>
    </row>
    <row r="524" spans="4:16">
      <c r="D524" s="602" t="s">
        <v>901</v>
      </c>
      <c r="E524" s="602" t="s">
        <v>904</v>
      </c>
      <c r="F524" s="616">
        <v>42165</v>
      </c>
      <c r="G524" s="617">
        <f t="shared" si="16"/>
        <v>2015</v>
      </c>
      <c r="H524" s="617">
        <f t="shared" si="17"/>
        <v>6</v>
      </c>
      <c r="I524" s="602">
        <v>18</v>
      </c>
      <c r="J524" s="602">
        <v>3.496</v>
      </c>
      <c r="K524" s="602">
        <v>0</v>
      </c>
      <c r="L524" s="618">
        <v>3.496</v>
      </c>
      <c r="M524" s="602">
        <v>0</v>
      </c>
      <c r="N524" s="602">
        <v>0</v>
      </c>
      <c r="O524" s="602">
        <v>3.4580000000000002</v>
      </c>
      <c r="P524" s="602">
        <v>0</v>
      </c>
    </row>
    <row r="525" spans="4:16">
      <c r="D525" s="602" t="s">
        <v>901</v>
      </c>
      <c r="E525" s="602" t="s">
        <v>904</v>
      </c>
      <c r="F525" s="616">
        <v>42198</v>
      </c>
      <c r="G525" s="617">
        <f t="shared" si="16"/>
        <v>2015</v>
      </c>
      <c r="H525" s="617">
        <f t="shared" si="17"/>
        <v>7</v>
      </c>
      <c r="I525" s="602">
        <v>16</v>
      </c>
      <c r="J525" s="602">
        <v>5.069</v>
      </c>
      <c r="K525" s="602">
        <v>0</v>
      </c>
      <c r="L525" s="618">
        <v>5.069</v>
      </c>
      <c r="M525" s="602">
        <v>0</v>
      </c>
      <c r="N525" s="602">
        <v>0</v>
      </c>
      <c r="O525" s="602">
        <v>5.0229999999999997</v>
      </c>
      <c r="P525" s="602">
        <v>0</v>
      </c>
    </row>
    <row r="526" spans="4:16">
      <c r="D526" s="602" t="s">
        <v>901</v>
      </c>
      <c r="E526" s="602" t="s">
        <v>904</v>
      </c>
      <c r="F526" s="616">
        <v>42230</v>
      </c>
      <c r="G526" s="617">
        <f t="shared" si="16"/>
        <v>2015</v>
      </c>
      <c r="H526" s="617">
        <f t="shared" si="17"/>
        <v>8</v>
      </c>
      <c r="I526" s="602">
        <v>17</v>
      </c>
      <c r="J526" s="602">
        <v>4.6959999999999997</v>
      </c>
      <c r="K526" s="602">
        <v>0</v>
      </c>
      <c r="L526" s="618">
        <v>4.6959999999999997</v>
      </c>
      <c r="M526" s="602">
        <v>0</v>
      </c>
      <c r="N526" s="602">
        <v>0</v>
      </c>
      <c r="O526" s="602">
        <v>4.6630000000000003</v>
      </c>
      <c r="P526" s="602">
        <v>0</v>
      </c>
    </row>
    <row r="527" spans="4:16">
      <c r="D527" s="602" t="s">
        <v>901</v>
      </c>
      <c r="E527" s="602" t="s">
        <v>904</v>
      </c>
      <c r="F527" s="616">
        <v>42250</v>
      </c>
      <c r="G527" s="617">
        <f t="shared" si="16"/>
        <v>2015</v>
      </c>
      <c r="H527" s="617">
        <f t="shared" si="17"/>
        <v>9</v>
      </c>
      <c r="I527" s="602">
        <v>17</v>
      </c>
      <c r="J527" s="602">
        <v>5.0250000000000004</v>
      </c>
      <c r="K527" s="602">
        <v>0</v>
      </c>
      <c r="L527" s="618">
        <v>5.0250000000000004</v>
      </c>
      <c r="M527" s="602">
        <v>0</v>
      </c>
      <c r="N527" s="602">
        <v>0</v>
      </c>
      <c r="O527" s="602">
        <v>4.9870000000000001</v>
      </c>
      <c r="P527" s="602">
        <v>0</v>
      </c>
    </row>
    <row r="528" spans="4:16">
      <c r="D528" s="602" t="s">
        <v>901</v>
      </c>
      <c r="E528" s="602" t="s">
        <v>904</v>
      </c>
      <c r="F528" s="616">
        <v>42284</v>
      </c>
      <c r="G528" s="617">
        <f t="shared" si="16"/>
        <v>2015</v>
      </c>
      <c r="H528" s="617">
        <f t="shared" si="17"/>
        <v>10</v>
      </c>
      <c r="I528" s="602">
        <v>15</v>
      </c>
      <c r="J528" s="602">
        <v>3.3690000000000002</v>
      </c>
      <c r="K528" s="602">
        <v>0</v>
      </c>
      <c r="L528" s="618">
        <v>3.3690000000000002</v>
      </c>
      <c r="M528" s="602">
        <v>0</v>
      </c>
      <c r="N528" s="602">
        <v>0</v>
      </c>
      <c r="O528" s="602">
        <v>3.34</v>
      </c>
      <c r="P528" s="602">
        <v>0</v>
      </c>
    </row>
    <row r="529" spans="4:16">
      <c r="D529" s="602" t="s">
        <v>901</v>
      </c>
      <c r="E529" s="602" t="s">
        <v>904</v>
      </c>
      <c r="F529" s="616">
        <v>42338</v>
      </c>
      <c r="G529" s="617">
        <f t="shared" si="16"/>
        <v>2015</v>
      </c>
      <c r="H529" s="617">
        <f t="shared" si="17"/>
        <v>11</v>
      </c>
      <c r="I529" s="602">
        <v>18</v>
      </c>
      <c r="J529" s="602">
        <v>3.218</v>
      </c>
      <c r="K529" s="602">
        <v>0</v>
      </c>
      <c r="L529" s="618">
        <v>3.218</v>
      </c>
      <c r="M529" s="602">
        <v>0</v>
      </c>
      <c r="N529" s="602">
        <v>0</v>
      </c>
      <c r="O529" s="602">
        <v>3.198</v>
      </c>
      <c r="P529" s="602">
        <v>0</v>
      </c>
    </row>
    <row r="530" spans="4:16">
      <c r="D530" s="602" t="s">
        <v>901</v>
      </c>
      <c r="E530" s="602" t="s">
        <v>904</v>
      </c>
      <c r="F530" s="616">
        <v>42355</v>
      </c>
      <c r="G530" s="617">
        <f t="shared" si="16"/>
        <v>2015</v>
      </c>
      <c r="H530" s="617">
        <f t="shared" si="17"/>
        <v>12</v>
      </c>
      <c r="I530" s="602">
        <v>19</v>
      </c>
      <c r="J530" s="602">
        <v>3.1549999999999998</v>
      </c>
      <c r="K530" s="602">
        <v>0</v>
      </c>
      <c r="L530" s="618">
        <v>3.1549999999999998</v>
      </c>
      <c r="M530" s="602">
        <v>0</v>
      </c>
      <c r="N530" s="602">
        <v>0</v>
      </c>
      <c r="O530" s="602">
        <v>3.13</v>
      </c>
      <c r="P530" s="602">
        <v>0</v>
      </c>
    </row>
    <row r="531" spans="4:16">
      <c r="D531" s="602" t="s">
        <v>901</v>
      </c>
      <c r="E531" s="620" t="s">
        <v>905</v>
      </c>
      <c r="F531" s="621">
        <v>40927</v>
      </c>
      <c r="G531" s="617">
        <f t="shared" si="16"/>
        <v>2012</v>
      </c>
      <c r="H531" s="617">
        <f t="shared" si="17"/>
        <v>1</v>
      </c>
      <c r="I531" s="620">
        <v>19</v>
      </c>
      <c r="J531" s="620">
        <v>10.085000000000001</v>
      </c>
      <c r="K531" s="620">
        <v>0</v>
      </c>
      <c r="L531" s="622">
        <v>10.085000000000001</v>
      </c>
      <c r="M531" s="620">
        <v>0</v>
      </c>
      <c r="N531" s="623">
        <v>0</v>
      </c>
      <c r="O531" s="620">
        <v>10.166</v>
      </c>
      <c r="P531" s="620">
        <v>0</v>
      </c>
    </row>
    <row r="532" spans="4:16">
      <c r="D532" s="602" t="s">
        <v>901</v>
      </c>
      <c r="E532" s="620" t="s">
        <v>905</v>
      </c>
      <c r="F532" s="621">
        <v>40952</v>
      </c>
      <c r="G532" s="617">
        <f t="shared" si="16"/>
        <v>2012</v>
      </c>
      <c r="H532" s="617">
        <f t="shared" si="17"/>
        <v>2</v>
      </c>
      <c r="I532" s="620">
        <v>19</v>
      </c>
      <c r="J532" s="620">
        <v>9.2759999999999998</v>
      </c>
      <c r="K532" s="620">
        <v>0</v>
      </c>
      <c r="L532" s="622">
        <v>9.2759999999999998</v>
      </c>
      <c r="M532" s="620">
        <v>0</v>
      </c>
      <c r="N532" s="623">
        <v>0</v>
      </c>
      <c r="O532" s="620">
        <v>9.3670000000000009</v>
      </c>
      <c r="P532" s="620">
        <v>0</v>
      </c>
    </row>
    <row r="533" spans="4:16">
      <c r="D533" s="602" t="s">
        <v>901</v>
      </c>
      <c r="E533" s="620" t="s">
        <v>905</v>
      </c>
      <c r="F533" s="621">
        <v>40973</v>
      </c>
      <c r="G533" s="617">
        <f t="shared" si="16"/>
        <v>2012</v>
      </c>
      <c r="H533" s="617">
        <f t="shared" si="17"/>
        <v>3</v>
      </c>
      <c r="I533" s="620">
        <v>8</v>
      </c>
      <c r="J533" s="620">
        <v>9.8460000000000001</v>
      </c>
      <c r="K533" s="620">
        <v>0</v>
      </c>
      <c r="L533" s="622">
        <v>9.8460000000000001</v>
      </c>
      <c r="M533" s="620">
        <v>0</v>
      </c>
      <c r="N533" s="623">
        <v>0</v>
      </c>
      <c r="O533" s="620">
        <v>9.9920000000000009</v>
      </c>
      <c r="P533" s="620">
        <v>0</v>
      </c>
    </row>
    <row r="534" spans="4:16">
      <c r="D534" s="602" t="s">
        <v>901</v>
      </c>
      <c r="E534" s="620" t="s">
        <v>905</v>
      </c>
      <c r="F534" s="621">
        <v>41001</v>
      </c>
      <c r="G534" s="617">
        <f t="shared" si="16"/>
        <v>2012</v>
      </c>
      <c r="H534" s="617">
        <f t="shared" si="17"/>
        <v>4</v>
      </c>
      <c r="I534" s="620">
        <v>21</v>
      </c>
      <c r="J534" s="620">
        <v>8.3089999999999993</v>
      </c>
      <c r="K534" s="620">
        <v>0</v>
      </c>
      <c r="L534" s="622">
        <v>8.3089999999999993</v>
      </c>
      <c r="M534" s="620">
        <v>0</v>
      </c>
      <c r="N534" s="623">
        <v>0</v>
      </c>
      <c r="O534" s="620">
        <v>8.41</v>
      </c>
      <c r="P534" s="620">
        <v>0</v>
      </c>
    </row>
    <row r="535" spans="4:16">
      <c r="D535" s="602" t="s">
        <v>901</v>
      </c>
      <c r="E535" s="620" t="s">
        <v>905</v>
      </c>
      <c r="F535" s="621">
        <v>41053</v>
      </c>
      <c r="G535" s="617">
        <f t="shared" si="16"/>
        <v>2012</v>
      </c>
      <c r="H535" s="617">
        <f t="shared" si="17"/>
        <v>5</v>
      </c>
      <c r="I535" s="620">
        <v>14</v>
      </c>
      <c r="J535" s="620">
        <v>10.004</v>
      </c>
      <c r="K535" s="620">
        <v>0</v>
      </c>
      <c r="L535" s="622">
        <v>10.004</v>
      </c>
      <c r="M535" s="620">
        <v>0</v>
      </c>
      <c r="N535" s="623">
        <v>0</v>
      </c>
      <c r="O535" s="620">
        <v>10.085000000000001</v>
      </c>
      <c r="P535" s="620">
        <v>0</v>
      </c>
    </row>
    <row r="536" spans="4:16">
      <c r="D536" s="602" t="s">
        <v>901</v>
      </c>
      <c r="E536" s="620" t="s">
        <v>905</v>
      </c>
      <c r="F536" s="621">
        <v>41087</v>
      </c>
      <c r="G536" s="617">
        <f t="shared" si="16"/>
        <v>2012</v>
      </c>
      <c r="H536" s="617">
        <f t="shared" si="17"/>
        <v>6</v>
      </c>
      <c r="I536" s="620">
        <v>17</v>
      </c>
      <c r="J536" s="620">
        <v>12.907</v>
      </c>
      <c r="K536" s="620">
        <v>0</v>
      </c>
      <c r="L536" s="622">
        <v>12.907</v>
      </c>
      <c r="M536" s="620">
        <v>0</v>
      </c>
      <c r="N536" s="623">
        <v>0</v>
      </c>
      <c r="O536" s="620">
        <v>13.022</v>
      </c>
      <c r="P536" s="620">
        <v>0</v>
      </c>
    </row>
    <row r="537" spans="4:16">
      <c r="D537" s="602" t="s">
        <v>901</v>
      </c>
      <c r="E537" s="620" t="s">
        <v>905</v>
      </c>
      <c r="F537" s="621">
        <v>41115</v>
      </c>
      <c r="G537" s="617">
        <f t="shared" si="16"/>
        <v>2012</v>
      </c>
      <c r="H537" s="617">
        <f t="shared" si="17"/>
        <v>7</v>
      </c>
      <c r="I537" s="620">
        <v>17</v>
      </c>
      <c r="J537" s="620">
        <v>14.327</v>
      </c>
      <c r="K537" s="620">
        <v>0</v>
      </c>
      <c r="L537" s="622">
        <v>14.327</v>
      </c>
      <c r="M537" s="620">
        <v>0</v>
      </c>
      <c r="N537" s="623">
        <v>0</v>
      </c>
      <c r="O537" s="620">
        <v>14.372</v>
      </c>
      <c r="P537" s="620">
        <v>0</v>
      </c>
    </row>
    <row r="538" spans="4:16">
      <c r="D538" s="602" t="s">
        <v>901</v>
      </c>
      <c r="E538" s="620" t="s">
        <v>905</v>
      </c>
      <c r="F538" s="621">
        <v>41124</v>
      </c>
      <c r="G538" s="617">
        <f t="shared" si="16"/>
        <v>2012</v>
      </c>
      <c r="H538" s="617">
        <f t="shared" si="17"/>
        <v>8</v>
      </c>
      <c r="I538" s="620">
        <v>17</v>
      </c>
      <c r="J538" s="620">
        <v>12.675000000000001</v>
      </c>
      <c r="K538" s="620">
        <v>0</v>
      </c>
      <c r="L538" s="622">
        <v>12.675000000000001</v>
      </c>
      <c r="M538" s="620">
        <v>0</v>
      </c>
      <c r="N538" s="623">
        <v>0</v>
      </c>
      <c r="O538" s="620">
        <v>12.808999999999999</v>
      </c>
      <c r="P538" s="620">
        <v>0</v>
      </c>
    </row>
    <row r="539" spans="4:16">
      <c r="D539" s="602" t="s">
        <v>901</v>
      </c>
      <c r="E539" s="620" t="s">
        <v>905</v>
      </c>
      <c r="F539" s="621">
        <v>41156</v>
      </c>
      <c r="G539" s="617">
        <f t="shared" si="16"/>
        <v>2012</v>
      </c>
      <c r="H539" s="617">
        <f t="shared" si="17"/>
        <v>9</v>
      </c>
      <c r="I539" s="620">
        <v>17</v>
      </c>
      <c r="J539" s="620">
        <v>12.493</v>
      </c>
      <c r="K539" s="620">
        <v>0</v>
      </c>
      <c r="L539" s="622">
        <v>12.493</v>
      </c>
      <c r="M539" s="620">
        <v>0</v>
      </c>
      <c r="N539" s="623">
        <v>0</v>
      </c>
      <c r="O539" s="620">
        <v>12.502000000000001</v>
      </c>
      <c r="P539" s="620">
        <v>0</v>
      </c>
    </row>
    <row r="540" spans="4:16">
      <c r="D540" s="602" t="s">
        <v>901</v>
      </c>
      <c r="E540" s="620" t="s">
        <v>905</v>
      </c>
      <c r="F540" s="621">
        <v>41211</v>
      </c>
      <c r="G540" s="617">
        <f t="shared" si="16"/>
        <v>2012</v>
      </c>
      <c r="H540" s="617">
        <f t="shared" si="17"/>
        <v>10</v>
      </c>
      <c r="I540" s="620">
        <v>8</v>
      </c>
      <c r="J540" s="620">
        <v>8.7110000000000003</v>
      </c>
      <c r="K540" s="620">
        <v>0</v>
      </c>
      <c r="L540" s="622">
        <v>8.7110000000000003</v>
      </c>
      <c r="M540" s="620">
        <v>0</v>
      </c>
      <c r="N540" s="623">
        <v>0</v>
      </c>
      <c r="O540" s="620">
        <v>8.8629999999999995</v>
      </c>
      <c r="P540" s="620">
        <v>0</v>
      </c>
    </row>
    <row r="541" spans="4:16">
      <c r="D541" s="602" t="s">
        <v>901</v>
      </c>
      <c r="E541" s="620" t="s">
        <v>905</v>
      </c>
      <c r="F541" s="621">
        <v>41225</v>
      </c>
      <c r="G541" s="617">
        <f t="shared" si="16"/>
        <v>2012</v>
      </c>
      <c r="H541" s="617">
        <f t="shared" si="17"/>
        <v>11</v>
      </c>
      <c r="I541" s="620">
        <v>18</v>
      </c>
      <c r="J541" s="620">
        <v>9.4320000000000004</v>
      </c>
      <c r="K541" s="620">
        <v>0</v>
      </c>
      <c r="L541" s="622">
        <v>9.4320000000000004</v>
      </c>
      <c r="M541" s="620">
        <v>0</v>
      </c>
      <c r="N541" s="623">
        <v>0</v>
      </c>
      <c r="O541" s="620">
        <v>9.5559999999999992</v>
      </c>
      <c r="P541" s="620">
        <v>0</v>
      </c>
    </row>
    <row r="542" spans="4:16">
      <c r="D542" s="602" t="s">
        <v>901</v>
      </c>
      <c r="E542" s="620" t="s">
        <v>905</v>
      </c>
      <c r="F542" s="621">
        <v>41263</v>
      </c>
      <c r="G542" s="617">
        <f t="shared" si="16"/>
        <v>2012</v>
      </c>
      <c r="H542" s="617">
        <f t="shared" si="17"/>
        <v>12</v>
      </c>
      <c r="I542" s="620">
        <v>18</v>
      </c>
      <c r="J542" s="620">
        <v>10.574</v>
      </c>
      <c r="K542" s="620">
        <v>0</v>
      </c>
      <c r="L542" s="622">
        <v>10.574</v>
      </c>
      <c r="M542" s="620">
        <v>0</v>
      </c>
      <c r="N542" s="623">
        <v>0</v>
      </c>
      <c r="O542" s="620">
        <v>10.717000000000001</v>
      </c>
      <c r="P542" s="620">
        <v>0</v>
      </c>
    </row>
    <row r="543" spans="4:16">
      <c r="D543" s="602" t="s">
        <v>901</v>
      </c>
      <c r="E543" s="620" t="s">
        <v>905</v>
      </c>
      <c r="F543" s="621">
        <v>41305</v>
      </c>
      <c r="G543" s="617">
        <f t="shared" si="16"/>
        <v>2013</v>
      </c>
      <c r="H543" s="617">
        <f t="shared" si="17"/>
        <v>1</v>
      </c>
      <c r="I543" s="620">
        <v>19</v>
      </c>
      <c r="J543" s="620">
        <v>10.327</v>
      </c>
      <c r="K543" s="620">
        <v>0</v>
      </c>
      <c r="L543" s="622">
        <v>10.327</v>
      </c>
      <c r="M543" s="620">
        <v>0</v>
      </c>
      <c r="N543" s="623">
        <v>0</v>
      </c>
      <c r="O543" s="620">
        <v>10.455</v>
      </c>
      <c r="P543" s="620">
        <v>0</v>
      </c>
    </row>
    <row r="544" spans="4:16">
      <c r="D544" s="602" t="s">
        <v>901</v>
      </c>
      <c r="E544" s="620" t="s">
        <v>905</v>
      </c>
      <c r="F544" s="621">
        <v>41306</v>
      </c>
      <c r="G544" s="617">
        <f t="shared" si="16"/>
        <v>2013</v>
      </c>
      <c r="H544" s="617">
        <f t="shared" si="17"/>
        <v>2</v>
      </c>
      <c r="I544" s="620">
        <v>8</v>
      </c>
      <c r="J544" s="620">
        <v>9.9719999999999995</v>
      </c>
      <c r="K544" s="620">
        <v>0</v>
      </c>
      <c r="L544" s="622">
        <v>9.9719999999999995</v>
      </c>
      <c r="M544" s="620">
        <v>0</v>
      </c>
      <c r="N544" s="623">
        <v>0</v>
      </c>
      <c r="O544" s="620">
        <v>10.1</v>
      </c>
      <c r="P544" s="620">
        <v>0</v>
      </c>
    </row>
    <row r="545" spans="4:16">
      <c r="D545" s="602" t="s">
        <v>901</v>
      </c>
      <c r="E545" s="620" t="s">
        <v>905</v>
      </c>
      <c r="F545" s="621">
        <v>41354</v>
      </c>
      <c r="G545" s="617">
        <f t="shared" si="16"/>
        <v>2013</v>
      </c>
      <c r="H545" s="617">
        <f t="shared" si="17"/>
        <v>3</v>
      </c>
      <c r="I545" s="620">
        <v>8</v>
      </c>
      <c r="J545" s="620">
        <v>10.018000000000001</v>
      </c>
      <c r="K545" s="620">
        <v>0</v>
      </c>
      <c r="L545" s="622">
        <v>10.018000000000001</v>
      </c>
      <c r="M545" s="620">
        <v>0</v>
      </c>
      <c r="N545" s="623">
        <v>0</v>
      </c>
      <c r="O545" s="620">
        <v>10.14</v>
      </c>
      <c r="P545" s="620">
        <v>0</v>
      </c>
    </row>
    <row r="546" spans="4:16">
      <c r="D546" s="602" t="s">
        <v>901</v>
      </c>
      <c r="E546" s="620" t="s">
        <v>905</v>
      </c>
      <c r="F546" s="621">
        <v>41366</v>
      </c>
      <c r="G546" s="617">
        <f t="shared" si="16"/>
        <v>2013</v>
      </c>
      <c r="H546" s="617">
        <f t="shared" si="17"/>
        <v>4</v>
      </c>
      <c r="I546" s="620">
        <v>8</v>
      </c>
      <c r="J546" s="620">
        <v>9.65</v>
      </c>
      <c r="K546" s="620">
        <v>0</v>
      </c>
      <c r="L546" s="622">
        <v>9.65</v>
      </c>
      <c r="M546" s="620">
        <v>0</v>
      </c>
      <c r="N546" s="623">
        <v>0</v>
      </c>
      <c r="O546" s="620">
        <v>9.798</v>
      </c>
      <c r="P546" s="620">
        <v>0</v>
      </c>
    </row>
    <row r="547" spans="4:16">
      <c r="D547" s="602" t="s">
        <v>901</v>
      </c>
      <c r="E547" s="620" t="s">
        <v>905</v>
      </c>
      <c r="F547" s="621">
        <v>41424</v>
      </c>
      <c r="G547" s="617">
        <f t="shared" si="16"/>
        <v>2013</v>
      </c>
      <c r="H547" s="617">
        <f t="shared" si="17"/>
        <v>5</v>
      </c>
      <c r="I547" s="620">
        <v>12</v>
      </c>
      <c r="J547" s="620">
        <v>10.188000000000001</v>
      </c>
      <c r="K547" s="620">
        <v>0</v>
      </c>
      <c r="L547" s="622">
        <v>10.188000000000001</v>
      </c>
      <c r="M547" s="620">
        <v>0</v>
      </c>
      <c r="N547" s="623">
        <v>0</v>
      </c>
      <c r="O547" s="620">
        <v>10.273999999999999</v>
      </c>
      <c r="P547" s="620">
        <v>0</v>
      </c>
    </row>
    <row r="548" spans="4:16">
      <c r="D548" s="602" t="s">
        <v>901</v>
      </c>
      <c r="E548" s="620" t="s">
        <v>905</v>
      </c>
      <c r="F548" s="621">
        <v>41451</v>
      </c>
      <c r="G548" s="617">
        <f t="shared" si="16"/>
        <v>2013</v>
      </c>
      <c r="H548" s="617">
        <f t="shared" si="17"/>
        <v>6</v>
      </c>
      <c r="I548" s="620">
        <v>17</v>
      </c>
      <c r="J548" s="620">
        <v>11.348000000000001</v>
      </c>
      <c r="K548" s="620">
        <v>0</v>
      </c>
      <c r="L548" s="622">
        <v>11.348000000000001</v>
      </c>
      <c r="M548" s="620">
        <v>0</v>
      </c>
      <c r="N548" s="623">
        <v>0</v>
      </c>
      <c r="O548" s="620">
        <v>11.449</v>
      </c>
      <c r="P548" s="620">
        <v>0</v>
      </c>
    </row>
    <row r="549" spans="4:16">
      <c r="D549" s="602" t="s">
        <v>901</v>
      </c>
      <c r="E549" s="620" t="s">
        <v>905</v>
      </c>
      <c r="F549" s="621">
        <v>41472</v>
      </c>
      <c r="G549" s="617">
        <f t="shared" si="16"/>
        <v>2013</v>
      </c>
      <c r="H549" s="617">
        <f t="shared" si="17"/>
        <v>7</v>
      </c>
      <c r="I549" s="620">
        <v>17</v>
      </c>
      <c r="J549" s="620">
        <v>12.637</v>
      </c>
      <c r="K549" s="620">
        <v>0</v>
      </c>
      <c r="L549" s="622">
        <v>12.637</v>
      </c>
      <c r="M549" s="620">
        <v>0</v>
      </c>
      <c r="N549" s="623">
        <v>0</v>
      </c>
      <c r="O549" s="620">
        <v>12.773</v>
      </c>
      <c r="P549" s="620">
        <v>0</v>
      </c>
    </row>
    <row r="550" spans="4:16">
      <c r="D550" s="602" t="s">
        <v>901</v>
      </c>
      <c r="E550" s="620" t="s">
        <v>905</v>
      </c>
      <c r="F550" s="621">
        <v>41516</v>
      </c>
      <c r="G550" s="617">
        <f t="shared" si="16"/>
        <v>2013</v>
      </c>
      <c r="H550" s="617">
        <f t="shared" si="17"/>
        <v>8</v>
      </c>
      <c r="I550" s="620">
        <v>16</v>
      </c>
      <c r="J550" s="620">
        <v>12.329000000000001</v>
      </c>
      <c r="K550" s="620">
        <v>0</v>
      </c>
      <c r="L550" s="622">
        <v>12.329000000000001</v>
      </c>
      <c r="M550" s="620">
        <v>0</v>
      </c>
      <c r="N550" s="623">
        <v>0</v>
      </c>
      <c r="O550" s="620">
        <v>12.435</v>
      </c>
      <c r="P550" s="620">
        <v>0</v>
      </c>
    </row>
    <row r="551" spans="4:16">
      <c r="D551" s="602" t="s">
        <v>901</v>
      </c>
      <c r="E551" s="620" t="s">
        <v>905</v>
      </c>
      <c r="F551" s="621">
        <v>41526</v>
      </c>
      <c r="G551" s="617">
        <f t="shared" si="16"/>
        <v>2013</v>
      </c>
      <c r="H551" s="617">
        <f t="shared" si="17"/>
        <v>9</v>
      </c>
      <c r="I551" s="620">
        <v>17</v>
      </c>
      <c r="J551" s="620">
        <v>13.331</v>
      </c>
      <c r="K551" s="620">
        <v>0</v>
      </c>
      <c r="L551" s="622">
        <v>13.331</v>
      </c>
      <c r="M551" s="620">
        <v>0</v>
      </c>
      <c r="N551" s="623">
        <v>0</v>
      </c>
      <c r="O551" s="620">
        <v>13.451000000000001</v>
      </c>
      <c r="P551" s="620">
        <v>0</v>
      </c>
    </row>
    <row r="552" spans="4:16">
      <c r="D552" s="602" t="s">
        <v>901</v>
      </c>
      <c r="E552" s="620" t="s">
        <v>905</v>
      </c>
      <c r="F552" s="621">
        <v>41571</v>
      </c>
      <c r="G552" s="617">
        <f t="shared" si="16"/>
        <v>2013</v>
      </c>
      <c r="H552" s="617">
        <f t="shared" si="17"/>
        <v>10</v>
      </c>
      <c r="I552" s="620">
        <v>20</v>
      </c>
      <c r="J552" s="620">
        <v>8.6639999999999997</v>
      </c>
      <c r="K552" s="620">
        <v>0</v>
      </c>
      <c r="L552" s="622">
        <v>8.6639999999999997</v>
      </c>
      <c r="M552" s="620">
        <v>0</v>
      </c>
      <c r="N552" s="623">
        <v>0</v>
      </c>
      <c r="O552" s="620">
        <v>8.734</v>
      </c>
      <c r="P552" s="620">
        <v>0</v>
      </c>
    </row>
    <row r="553" spans="4:16">
      <c r="D553" s="602" t="s">
        <v>901</v>
      </c>
      <c r="E553" s="620" t="s">
        <v>905</v>
      </c>
      <c r="F553" s="621">
        <v>41590</v>
      </c>
      <c r="G553" s="617">
        <f t="shared" si="16"/>
        <v>2013</v>
      </c>
      <c r="H553" s="617">
        <f t="shared" si="17"/>
        <v>11</v>
      </c>
      <c r="I553" s="620">
        <v>19</v>
      </c>
      <c r="J553" s="620">
        <v>9.3160000000000007</v>
      </c>
      <c r="K553" s="620">
        <v>0</v>
      </c>
      <c r="L553" s="622">
        <v>9.3160000000000007</v>
      </c>
      <c r="M553" s="620">
        <v>0</v>
      </c>
      <c r="N553" s="623">
        <v>0</v>
      </c>
      <c r="O553" s="620">
        <v>9.41</v>
      </c>
      <c r="P553" s="620">
        <v>0</v>
      </c>
    </row>
    <row r="554" spans="4:16">
      <c r="D554" s="602" t="s">
        <v>901</v>
      </c>
      <c r="E554" s="620" t="s">
        <v>905</v>
      </c>
      <c r="F554" s="621">
        <v>41619</v>
      </c>
      <c r="G554" s="617">
        <f t="shared" si="16"/>
        <v>2013</v>
      </c>
      <c r="H554" s="617">
        <f t="shared" si="17"/>
        <v>12</v>
      </c>
      <c r="I554" s="620">
        <v>18</v>
      </c>
      <c r="J554" s="620">
        <v>10.396000000000001</v>
      </c>
      <c r="K554" s="620">
        <v>0</v>
      </c>
      <c r="L554" s="622">
        <v>10.396000000000001</v>
      </c>
      <c r="M554" s="620">
        <v>0</v>
      </c>
      <c r="N554" s="623">
        <v>0</v>
      </c>
      <c r="O554" s="620">
        <v>10.507999999999999</v>
      </c>
      <c r="P554" s="620">
        <v>0</v>
      </c>
    </row>
    <row r="555" spans="4:16">
      <c r="D555" s="602" t="s">
        <v>901</v>
      </c>
      <c r="E555" s="602" t="s">
        <v>905</v>
      </c>
      <c r="F555" s="616">
        <v>41645</v>
      </c>
      <c r="G555" s="617">
        <f t="shared" si="16"/>
        <v>2014</v>
      </c>
      <c r="H555" s="617">
        <f t="shared" si="17"/>
        <v>1</v>
      </c>
      <c r="I555" s="602">
        <v>18</v>
      </c>
      <c r="J555" s="602">
        <v>7.0789999999999997</v>
      </c>
      <c r="K555" s="602">
        <v>1.694</v>
      </c>
      <c r="L555" s="618">
        <v>8.7729999999999997</v>
      </c>
      <c r="M555" s="602">
        <v>0</v>
      </c>
      <c r="N555" s="602">
        <v>0</v>
      </c>
      <c r="O555" s="602">
        <v>7.1859999999999999</v>
      </c>
      <c r="P555" s="602">
        <v>1.694</v>
      </c>
    </row>
    <row r="556" spans="4:16">
      <c r="D556" s="602" t="s">
        <v>901</v>
      </c>
      <c r="E556" s="602" t="s">
        <v>905</v>
      </c>
      <c r="F556" s="616">
        <v>41681</v>
      </c>
      <c r="G556" s="617">
        <f t="shared" si="16"/>
        <v>2014</v>
      </c>
      <c r="H556" s="617">
        <f t="shared" si="17"/>
        <v>2</v>
      </c>
      <c r="I556" s="602">
        <v>8</v>
      </c>
      <c r="J556" s="602">
        <v>10.786</v>
      </c>
      <c r="K556" s="602">
        <v>0</v>
      </c>
      <c r="L556" s="618">
        <v>10.786</v>
      </c>
      <c r="M556" s="602">
        <v>0</v>
      </c>
      <c r="N556" s="602">
        <v>0</v>
      </c>
      <c r="O556" s="602">
        <v>10.919</v>
      </c>
      <c r="P556" s="602">
        <v>0</v>
      </c>
    </row>
    <row r="557" spans="4:16">
      <c r="D557" s="602" t="s">
        <v>901</v>
      </c>
      <c r="E557" s="602" t="s">
        <v>905</v>
      </c>
      <c r="F557" s="616">
        <v>41701</v>
      </c>
      <c r="G557" s="617">
        <f t="shared" si="16"/>
        <v>2014</v>
      </c>
      <c r="H557" s="617">
        <f t="shared" si="17"/>
        <v>3</v>
      </c>
      <c r="I557" s="602">
        <v>8</v>
      </c>
      <c r="J557" s="602">
        <v>10.236000000000001</v>
      </c>
      <c r="K557" s="602">
        <v>0</v>
      </c>
      <c r="L557" s="618">
        <v>10.236000000000001</v>
      </c>
      <c r="M557" s="602">
        <v>0</v>
      </c>
      <c r="N557" s="602">
        <v>0</v>
      </c>
      <c r="O557" s="602">
        <v>10.372999999999999</v>
      </c>
      <c r="P557" s="602">
        <v>0</v>
      </c>
    </row>
    <row r="558" spans="4:16">
      <c r="D558" s="602" t="s">
        <v>901</v>
      </c>
      <c r="E558" s="602" t="s">
        <v>905</v>
      </c>
      <c r="F558" s="616">
        <v>41730</v>
      </c>
      <c r="G558" s="617">
        <f t="shared" si="16"/>
        <v>2014</v>
      </c>
      <c r="H558" s="617">
        <f t="shared" si="17"/>
        <v>4</v>
      </c>
      <c r="I558" s="602">
        <v>9</v>
      </c>
      <c r="J558" s="602">
        <v>10.026</v>
      </c>
      <c r="K558" s="602">
        <v>0</v>
      </c>
      <c r="L558" s="618">
        <v>10.026</v>
      </c>
      <c r="M558" s="602">
        <v>0</v>
      </c>
      <c r="N558" s="602">
        <v>0</v>
      </c>
      <c r="O558" s="602">
        <v>10.124000000000001</v>
      </c>
      <c r="P558" s="602">
        <v>0</v>
      </c>
    </row>
    <row r="559" spans="4:16">
      <c r="D559" s="602" t="s">
        <v>901</v>
      </c>
      <c r="E559" s="602" t="s">
        <v>905</v>
      </c>
      <c r="F559" s="616">
        <v>41789</v>
      </c>
      <c r="G559" s="617">
        <f t="shared" si="16"/>
        <v>2014</v>
      </c>
      <c r="H559" s="617">
        <f t="shared" si="17"/>
        <v>5</v>
      </c>
      <c r="I559" s="602">
        <v>17</v>
      </c>
      <c r="J559" s="602">
        <v>11.21</v>
      </c>
      <c r="K559" s="602">
        <v>0</v>
      </c>
      <c r="L559" s="618">
        <v>11.21</v>
      </c>
      <c r="M559" s="602">
        <v>0</v>
      </c>
      <c r="N559" s="602">
        <v>0</v>
      </c>
      <c r="O559" s="602">
        <v>11.292999999999999</v>
      </c>
      <c r="P559" s="602">
        <v>0</v>
      </c>
    </row>
    <row r="560" spans="4:16">
      <c r="D560" s="602" t="s">
        <v>901</v>
      </c>
      <c r="E560" s="602" t="s">
        <v>905</v>
      </c>
      <c r="F560" s="616">
        <v>41808</v>
      </c>
      <c r="G560" s="617">
        <f t="shared" si="16"/>
        <v>2014</v>
      </c>
      <c r="H560" s="617">
        <f t="shared" si="17"/>
        <v>6</v>
      </c>
      <c r="I560" s="602">
        <v>18</v>
      </c>
      <c r="J560" s="602">
        <v>10.576000000000001</v>
      </c>
      <c r="K560" s="602">
        <v>0</v>
      </c>
      <c r="L560" s="618">
        <v>10.576000000000001</v>
      </c>
      <c r="M560" s="602">
        <v>0</v>
      </c>
      <c r="N560" s="602">
        <v>0</v>
      </c>
      <c r="O560" s="602">
        <v>10.675000000000001</v>
      </c>
      <c r="P560" s="602">
        <v>0</v>
      </c>
    </row>
    <row r="561" spans="4:16">
      <c r="D561" s="602" t="s">
        <v>901</v>
      </c>
      <c r="E561" s="602" t="s">
        <v>905</v>
      </c>
      <c r="F561" s="616">
        <v>41842</v>
      </c>
      <c r="G561" s="617">
        <f t="shared" si="16"/>
        <v>2014</v>
      </c>
      <c r="H561" s="617">
        <f t="shared" si="17"/>
        <v>7</v>
      </c>
      <c r="I561" s="602">
        <v>17</v>
      </c>
      <c r="J561" s="602">
        <v>12.515000000000001</v>
      </c>
      <c r="K561" s="602">
        <v>0</v>
      </c>
      <c r="L561" s="618">
        <v>12.515000000000001</v>
      </c>
      <c r="M561" s="602">
        <v>0</v>
      </c>
      <c r="N561" s="602">
        <v>0</v>
      </c>
      <c r="O561" s="602">
        <v>12.631</v>
      </c>
      <c r="P561" s="602">
        <v>0</v>
      </c>
    </row>
    <row r="562" spans="4:16">
      <c r="D562" s="602" t="s">
        <v>901</v>
      </c>
      <c r="E562" s="602" t="s">
        <v>905</v>
      </c>
      <c r="F562" s="616">
        <v>41876</v>
      </c>
      <c r="G562" s="617">
        <f t="shared" si="16"/>
        <v>2014</v>
      </c>
      <c r="H562" s="617">
        <f t="shared" si="17"/>
        <v>8</v>
      </c>
      <c r="I562" s="602">
        <v>17</v>
      </c>
      <c r="J562" s="602">
        <v>10.762</v>
      </c>
      <c r="K562" s="602">
        <v>0</v>
      </c>
      <c r="L562" s="618">
        <v>10.762</v>
      </c>
      <c r="M562" s="602">
        <v>0</v>
      </c>
      <c r="N562" s="602">
        <v>0</v>
      </c>
      <c r="O562" s="602">
        <v>10.875</v>
      </c>
      <c r="P562" s="602">
        <v>0</v>
      </c>
    </row>
    <row r="563" spans="4:16">
      <c r="D563" s="602" t="s">
        <v>901</v>
      </c>
      <c r="E563" s="602" t="s">
        <v>905</v>
      </c>
      <c r="F563" s="616">
        <v>41886</v>
      </c>
      <c r="G563" s="617">
        <f t="shared" si="16"/>
        <v>2014</v>
      </c>
      <c r="H563" s="617">
        <f t="shared" si="17"/>
        <v>9</v>
      </c>
      <c r="I563" s="602">
        <v>17</v>
      </c>
      <c r="J563" s="602">
        <v>10.996</v>
      </c>
      <c r="K563" s="602">
        <v>0</v>
      </c>
      <c r="L563" s="618">
        <v>10.996</v>
      </c>
      <c r="M563" s="602">
        <v>0</v>
      </c>
      <c r="N563" s="602">
        <v>0</v>
      </c>
      <c r="O563" s="602">
        <v>11.095000000000001</v>
      </c>
      <c r="P563" s="602">
        <v>0</v>
      </c>
    </row>
    <row r="564" spans="4:16">
      <c r="D564" s="602" t="s">
        <v>901</v>
      </c>
      <c r="E564" s="602" t="s">
        <v>905</v>
      </c>
      <c r="F564" s="616">
        <v>41939</v>
      </c>
      <c r="G564" s="617">
        <f t="shared" si="16"/>
        <v>2014</v>
      </c>
      <c r="H564" s="617">
        <f t="shared" si="17"/>
        <v>10</v>
      </c>
      <c r="I564" s="602">
        <v>19</v>
      </c>
      <c r="J564" s="602">
        <v>7.4539999999999997</v>
      </c>
      <c r="K564" s="602">
        <v>0</v>
      </c>
      <c r="L564" s="618">
        <v>7.4539999999999997</v>
      </c>
      <c r="M564" s="619">
        <v>2906</v>
      </c>
      <c r="N564" s="602">
        <v>0.25700000000000001</v>
      </c>
      <c r="O564" s="602">
        <v>7.5330000000000004</v>
      </c>
      <c r="P564" s="602">
        <v>0</v>
      </c>
    </row>
    <row r="565" spans="4:16">
      <c r="D565" s="602" t="s">
        <v>901</v>
      </c>
      <c r="E565" s="602" t="s">
        <v>905</v>
      </c>
      <c r="F565" s="616">
        <v>41960</v>
      </c>
      <c r="G565" s="617">
        <f t="shared" si="16"/>
        <v>2014</v>
      </c>
      <c r="H565" s="617">
        <f t="shared" si="17"/>
        <v>11</v>
      </c>
      <c r="I565" s="602">
        <v>18</v>
      </c>
      <c r="J565" s="602">
        <v>10.384</v>
      </c>
      <c r="K565" s="602">
        <v>0</v>
      </c>
      <c r="L565" s="618">
        <v>10.384</v>
      </c>
      <c r="M565" s="602">
        <v>0</v>
      </c>
      <c r="N565" s="602">
        <v>0</v>
      </c>
      <c r="O565" s="602">
        <v>10.49</v>
      </c>
      <c r="P565" s="602">
        <v>0</v>
      </c>
    </row>
    <row r="566" spans="4:16">
      <c r="D566" s="602" t="s">
        <v>901</v>
      </c>
      <c r="E566" s="602" t="s">
        <v>905</v>
      </c>
      <c r="F566" s="616">
        <v>41974</v>
      </c>
      <c r="G566" s="617">
        <f t="shared" si="16"/>
        <v>2014</v>
      </c>
      <c r="H566" s="617">
        <f t="shared" si="17"/>
        <v>12</v>
      </c>
      <c r="I566" s="602">
        <v>19</v>
      </c>
      <c r="J566" s="602">
        <v>10.105</v>
      </c>
      <c r="K566" s="602">
        <v>0</v>
      </c>
      <c r="L566" s="618">
        <v>10.105</v>
      </c>
      <c r="M566" s="602">
        <v>0</v>
      </c>
      <c r="N566" s="602">
        <v>0</v>
      </c>
      <c r="O566" s="602">
        <v>10.212</v>
      </c>
      <c r="P566" s="602">
        <v>0</v>
      </c>
    </row>
    <row r="567" spans="4:16">
      <c r="D567" s="602" t="s">
        <v>901</v>
      </c>
      <c r="E567" s="602" t="s">
        <v>905</v>
      </c>
      <c r="F567" s="616">
        <v>42011</v>
      </c>
      <c r="G567" s="617">
        <f t="shared" si="16"/>
        <v>2015</v>
      </c>
      <c r="H567" s="617">
        <f t="shared" si="17"/>
        <v>1</v>
      </c>
      <c r="I567" s="602">
        <v>19</v>
      </c>
      <c r="J567" s="602">
        <v>10.785</v>
      </c>
      <c r="K567" s="602">
        <v>0</v>
      </c>
      <c r="L567" s="618">
        <v>10.785</v>
      </c>
      <c r="M567" s="619">
        <v>3438</v>
      </c>
      <c r="N567" s="602">
        <v>0.314</v>
      </c>
      <c r="O567" s="602">
        <v>10.901999999999999</v>
      </c>
      <c r="P567" s="602">
        <v>0</v>
      </c>
    </row>
    <row r="568" spans="4:16">
      <c r="D568" s="602" t="s">
        <v>901</v>
      </c>
      <c r="E568" s="602" t="s">
        <v>905</v>
      </c>
      <c r="F568" s="616">
        <v>42053</v>
      </c>
      <c r="G568" s="617">
        <f t="shared" si="16"/>
        <v>2015</v>
      </c>
      <c r="H568" s="617">
        <f t="shared" si="17"/>
        <v>2</v>
      </c>
      <c r="I568" s="602">
        <v>19</v>
      </c>
      <c r="J568" s="602">
        <v>10.705</v>
      </c>
      <c r="K568" s="602">
        <v>0</v>
      </c>
      <c r="L568" s="618">
        <v>10.705</v>
      </c>
      <c r="M568" s="619">
        <v>3305</v>
      </c>
      <c r="N568" s="602">
        <v>0.32400000000000001</v>
      </c>
      <c r="O568" s="602">
        <v>10.804</v>
      </c>
      <c r="P568" s="602">
        <v>0</v>
      </c>
    </row>
    <row r="569" spans="4:16">
      <c r="D569" s="602" t="s">
        <v>901</v>
      </c>
      <c r="E569" s="602" t="s">
        <v>905</v>
      </c>
      <c r="F569" s="616">
        <v>42067</v>
      </c>
      <c r="G569" s="617">
        <f t="shared" si="16"/>
        <v>2015</v>
      </c>
      <c r="H569" s="617">
        <f t="shared" si="17"/>
        <v>3</v>
      </c>
      <c r="I569" s="602">
        <v>9</v>
      </c>
      <c r="J569" s="602">
        <v>10.286</v>
      </c>
      <c r="K569" s="602">
        <v>0</v>
      </c>
      <c r="L569" s="618">
        <v>10.286</v>
      </c>
      <c r="M569" s="602">
        <v>0</v>
      </c>
      <c r="N569" s="602">
        <v>0</v>
      </c>
      <c r="O569" s="602">
        <v>10.391999999999999</v>
      </c>
      <c r="P569" s="602">
        <v>0</v>
      </c>
    </row>
    <row r="570" spans="4:16">
      <c r="D570" s="602" t="s">
        <v>901</v>
      </c>
      <c r="E570" s="602" t="s">
        <v>905</v>
      </c>
      <c r="F570" s="616">
        <v>42103</v>
      </c>
      <c r="G570" s="617">
        <f t="shared" si="16"/>
        <v>2015</v>
      </c>
      <c r="H570" s="617">
        <f t="shared" si="17"/>
        <v>4</v>
      </c>
      <c r="I570" s="602">
        <v>11</v>
      </c>
      <c r="J570" s="602">
        <v>9.8019999999999996</v>
      </c>
      <c r="K570" s="602">
        <v>0</v>
      </c>
      <c r="L570" s="618">
        <v>9.8019999999999996</v>
      </c>
      <c r="M570" s="602">
        <v>0</v>
      </c>
      <c r="N570" s="602">
        <v>0</v>
      </c>
      <c r="O570" s="602">
        <v>9.8960000000000008</v>
      </c>
      <c r="P570" s="602">
        <v>0</v>
      </c>
    </row>
    <row r="571" spans="4:16">
      <c r="D571" s="602" t="s">
        <v>901</v>
      </c>
      <c r="E571" s="602" t="s">
        <v>905</v>
      </c>
      <c r="F571" s="616">
        <v>42152</v>
      </c>
      <c r="G571" s="617">
        <f t="shared" si="16"/>
        <v>2015</v>
      </c>
      <c r="H571" s="617">
        <f t="shared" si="17"/>
        <v>5</v>
      </c>
      <c r="I571" s="602">
        <v>15</v>
      </c>
      <c r="J571" s="602">
        <v>10.784000000000001</v>
      </c>
      <c r="K571" s="602">
        <v>0</v>
      </c>
      <c r="L571" s="618">
        <v>10.784000000000001</v>
      </c>
      <c r="M571" s="602">
        <v>0</v>
      </c>
      <c r="N571" s="602">
        <v>0</v>
      </c>
      <c r="O571" s="602">
        <v>10.898</v>
      </c>
      <c r="P571" s="602">
        <v>0</v>
      </c>
    </row>
    <row r="572" spans="4:16">
      <c r="D572" s="602" t="s">
        <v>901</v>
      </c>
      <c r="E572" s="602" t="s">
        <v>905</v>
      </c>
      <c r="F572" s="616">
        <v>42165</v>
      </c>
      <c r="G572" s="617">
        <f t="shared" si="16"/>
        <v>2015</v>
      </c>
      <c r="H572" s="617">
        <f t="shared" si="17"/>
        <v>6</v>
      </c>
      <c r="I572" s="602">
        <v>18</v>
      </c>
      <c r="J572" s="602">
        <v>11.148</v>
      </c>
      <c r="K572" s="602">
        <v>0</v>
      </c>
      <c r="L572" s="618">
        <v>11.148</v>
      </c>
      <c r="M572" s="602">
        <v>0</v>
      </c>
      <c r="N572" s="602">
        <v>0</v>
      </c>
      <c r="O572" s="602">
        <v>11.252000000000001</v>
      </c>
      <c r="P572" s="602">
        <v>0</v>
      </c>
    </row>
    <row r="573" spans="4:16">
      <c r="D573" s="602" t="s">
        <v>901</v>
      </c>
      <c r="E573" s="602" t="s">
        <v>905</v>
      </c>
      <c r="F573" s="616">
        <v>42198</v>
      </c>
      <c r="G573" s="617">
        <f t="shared" si="16"/>
        <v>2015</v>
      </c>
      <c r="H573" s="617">
        <f t="shared" si="17"/>
        <v>7</v>
      </c>
      <c r="I573" s="602">
        <v>16</v>
      </c>
      <c r="J573" s="602">
        <v>13.098000000000001</v>
      </c>
      <c r="K573" s="602">
        <v>0</v>
      </c>
      <c r="L573" s="618">
        <v>13.098000000000001</v>
      </c>
      <c r="M573" s="602">
        <v>0</v>
      </c>
      <c r="N573" s="602">
        <v>0</v>
      </c>
      <c r="O573" s="602">
        <v>13.259</v>
      </c>
      <c r="P573" s="602">
        <v>0</v>
      </c>
    </row>
    <row r="574" spans="4:16">
      <c r="D574" s="602" t="s">
        <v>901</v>
      </c>
      <c r="E574" s="602" t="s">
        <v>905</v>
      </c>
      <c r="F574" s="616">
        <v>42230</v>
      </c>
      <c r="G574" s="617">
        <f t="shared" si="16"/>
        <v>2015</v>
      </c>
      <c r="H574" s="617">
        <f t="shared" si="17"/>
        <v>8</v>
      </c>
      <c r="I574" s="602">
        <v>17</v>
      </c>
      <c r="J574" s="602">
        <v>12.111000000000001</v>
      </c>
      <c r="K574" s="602">
        <v>0</v>
      </c>
      <c r="L574" s="618">
        <v>12.111000000000001</v>
      </c>
      <c r="M574" s="602">
        <v>0</v>
      </c>
      <c r="N574" s="602">
        <v>0</v>
      </c>
      <c r="O574" s="602">
        <v>12.206</v>
      </c>
      <c r="P574" s="602">
        <v>0</v>
      </c>
    </row>
    <row r="575" spans="4:16">
      <c r="D575" s="602" t="s">
        <v>901</v>
      </c>
      <c r="E575" s="602" t="s">
        <v>905</v>
      </c>
      <c r="F575" s="616">
        <v>42250</v>
      </c>
      <c r="G575" s="617">
        <f t="shared" si="16"/>
        <v>2015</v>
      </c>
      <c r="H575" s="617">
        <f t="shared" si="17"/>
        <v>9</v>
      </c>
      <c r="I575" s="602">
        <v>17</v>
      </c>
      <c r="J575" s="602">
        <v>13.505000000000001</v>
      </c>
      <c r="K575" s="602">
        <v>0</v>
      </c>
      <c r="L575" s="618">
        <v>13.505000000000001</v>
      </c>
      <c r="M575" s="602">
        <v>0</v>
      </c>
      <c r="N575" s="602">
        <v>0</v>
      </c>
      <c r="O575" s="602">
        <v>13.63</v>
      </c>
      <c r="P575" s="602">
        <v>0</v>
      </c>
    </row>
    <row r="576" spans="4:16">
      <c r="D576" s="602" t="s">
        <v>901</v>
      </c>
      <c r="E576" s="602" t="s">
        <v>905</v>
      </c>
      <c r="F576" s="616">
        <v>42284</v>
      </c>
      <c r="G576" s="617">
        <f t="shared" si="16"/>
        <v>2015</v>
      </c>
      <c r="H576" s="617">
        <f t="shared" si="17"/>
        <v>10</v>
      </c>
      <c r="I576" s="602">
        <v>15</v>
      </c>
      <c r="J576" s="602">
        <v>7.1289999999999996</v>
      </c>
      <c r="K576" s="602">
        <v>0</v>
      </c>
      <c r="L576" s="618">
        <v>7.1289999999999996</v>
      </c>
      <c r="M576" s="602">
        <v>0</v>
      </c>
      <c r="N576" s="602">
        <v>0</v>
      </c>
      <c r="O576" s="602">
        <v>7.1989999999999998</v>
      </c>
      <c r="P576" s="602">
        <v>0</v>
      </c>
    </row>
    <row r="577" spans="4:16">
      <c r="D577" s="602" t="s">
        <v>901</v>
      </c>
      <c r="E577" s="602" t="s">
        <v>905</v>
      </c>
      <c r="F577" s="616">
        <v>42338</v>
      </c>
      <c r="G577" s="617">
        <f t="shared" si="16"/>
        <v>2015</v>
      </c>
      <c r="H577" s="617">
        <f t="shared" si="17"/>
        <v>11</v>
      </c>
      <c r="I577" s="602">
        <v>18</v>
      </c>
      <c r="J577" s="602">
        <v>8.2409999999999997</v>
      </c>
      <c r="K577" s="602">
        <v>0</v>
      </c>
      <c r="L577" s="618">
        <v>8.2409999999999997</v>
      </c>
      <c r="M577" s="602">
        <v>0</v>
      </c>
      <c r="N577" s="602">
        <v>0</v>
      </c>
      <c r="O577" s="602">
        <v>8.3529999999999998</v>
      </c>
      <c r="P577" s="602">
        <v>0</v>
      </c>
    </row>
    <row r="578" spans="4:16">
      <c r="D578" s="602" t="s">
        <v>901</v>
      </c>
      <c r="E578" s="602" t="s">
        <v>905</v>
      </c>
      <c r="F578" s="616">
        <v>42355</v>
      </c>
      <c r="G578" s="617">
        <f t="shared" si="16"/>
        <v>2015</v>
      </c>
      <c r="H578" s="617">
        <f t="shared" si="17"/>
        <v>12</v>
      </c>
      <c r="I578" s="602">
        <v>19</v>
      </c>
      <c r="J578" s="602">
        <v>8.3870000000000005</v>
      </c>
      <c r="K578" s="602">
        <v>0</v>
      </c>
      <c r="L578" s="618">
        <v>8.3870000000000005</v>
      </c>
      <c r="M578" s="602">
        <v>0</v>
      </c>
      <c r="N578" s="602">
        <v>0</v>
      </c>
      <c r="O578" s="602">
        <v>8.48</v>
      </c>
      <c r="P578" s="602">
        <v>0</v>
      </c>
    </row>
  </sheetData>
  <phoneticPr fontId="2" type="noConversion"/>
  <pageMargins left="0.75" right="0.75" top="1" bottom="1" header="0.5" footer="0.5"/>
  <pageSetup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7"/>
  <sheetViews>
    <sheetView topLeftCell="B1" zoomScaleNormal="75" workbookViewId="0">
      <pane ySplit="6" topLeftCell="A270" activePane="bottomLeft" state="frozen"/>
      <selection pane="bottomLeft" activeCell="N202" sqref="N202"/>
    </sheetView>
  </sheetViews>
  <sheetFormatPr defaultColWidth="9.140625" defaultRowHeight="12.75"/>
  <cols>
    <col min="1" max="1" width="44" style="28" customWidth="1"/>
    <col min="2" max="2" width="11.28515625" style="28" bestFit="1" customWidth="1"/>
    <col min="3" max="3" width="17.85546875" style="28" bestFit="1" customWidth="1"/>
    <col min="4" max="4" width="17.28515625" style="28" bestFit="1" customWidth="1"/>
    <col min="5" max="5" width="14.42578125" style="28" hidden="1" customWidth="1"/>
    <col min="6" max="6" width="17" style="547" bestFit="1" customWidth="1"/>
    <col min="7" max="7" width="19.7109375" style="28" bestFit="1" customWidth="1"/>
    <col min="8" max="8" width="19.7109375" style="28" customWidth="1"/>
    <col min="9" max="9" width="9.7109375" style="28" bestFit="1" customWidth="1"/>
    <col min="10" max="10" width="2.85546875" style="249" customWidth="1"/>
    <col min="11" max="11" width="32.7109375" style="249" hidden="1" customWidth="1"/>
    <col min="12" max="12" width="11.85546875" style="249" hidden="1" customWidth="1"/>
    <col min="13" max="13" width="17.7109375" style="249" customWidth="1"/>
    <col min="14" max="14" width="11.140625" style="249" customWidth="1"/>
    <col min="15" max="15" width="14.140625" style="249" customWidth="1"/>
    <col min="16" max="16" width="11.85546875" style="249" customWidth="1"/>
    <col min="17" max="17" width="16.140625" style="249" customWidth="1"/>
    <col min="18" max="18" width="17.42578125" style="249" customWidth="1"/>
    <col min="19" max="19" width="19.85546875" style="249" bestFit="1" customWidth="1"/>
    <col min="20" max="20" width="19.85546875" style="249" customWidth="1"/>
    <col min="21" max="21" width="16.28515625" style="249" customWidth="1"/>
    <col min="22" max="22" width="16.5703125" style="249" customWidth="1"/>
    <col min="23" max="23" width="2.7109375" style="249" customWidth="1"/>
    <col min="24" max="24" width="73.85546875" style="249" customWidth="1"/>
    <col min="25" max="25" width="10.85546875" style="249" bestFit="1" customWidth="1"/>
    <col min="26" max="256" width="9.140625" style="28"/>
    <col min="257" max="257" width="41" style="28" customWidth="1"/>
    <col min="258" max="258" width="11.28515625" style="28" bestFit="1" customWidth="1"/>
    <col min="259" max="259" width="17.85546875" style="28" bestFit="1" customWidth="1"/>
    <col min="260" max="260" width="17.28515625" style="28" bestFit="1" customWidth="1"/>
    <col min="261" max="261" width="0" style="28" hidden="1" customWidth="1"/>
    <col min="262" max="262" width="17" style="28" bestFit="1" customWidth="1"/>
    <col min="263" max="263" width="19.7109375" style="28" bestFit="1" customWidth="1"/>
    <col min="264" max="264" width="19.7109375" style="28" customWidth="1"/>
    <col min="265" max="265" width="9.7109375" style="28" bestFit="1" customWidth="1"/>
    <col min="266" max="266" width="2.85546875" style="28" customWidth="1"/>
    <col min="267" max="267" width="32.7109375" style="28" customWidth="1"/>
    <col min="268" max="268" width="11.85546875" style="28" bestFit="1" customWidth="1"/>
    <col min="269" max="269" width="17.7109375" style="28" customWidth="1"/>
    <col min="270" max="270" width="11.140625" style="28" customWidth="1"/>
    <col min="271" max="271" width="14.140625" style="28" customWidth="1"/>
    <col min="272" max="272" width="11.85546875" style="28" customWidth="1"/>
    <col min="273" max="273" width="16.140625" style="28" customWidth="1"/>
    <col min="274" max="274" width="17.42578125" style="28" customWidth="1"/>
    <col min="275" max="275" width="19.85546875" style="28" bestFit="1" customWidth="1"/>
    <col min="276" max="276" width="19.85546875" style="28" customWidth="1"/>
    <col min="277" max="277" width="16.28515625" style="28" customWidth="1"/>
    <col min="278" max="278" width="16.5703125" style="28" customWidth="1"/>
    <col min="279" max="279" width="2.7109375" style="28" customWidth="1"/>
    <col min="280" max="280" width="73.85546875" style="28" customWidth="1"/>
    <col min="281" max="281" width="10.85546875" style="28" bestFit="1" customWidth="1"/>
    <col min="282" max="512" width="9.140625" style="28"/>
    <col min="513" max="513" width="41" style="28" customWidth="1"/>
    <col min="514" max="514" width="11.28515625" style="28" bestFit="1" customWidth="1"/>
    <col min="515" max="515" width="17.85546875" style="28" bestFit="1" customWidth="1"/>
    <col min="516" max="516" width="17.28515625" style="28" bestFit="1" customWidth="1"/>
    <col min="517" max="517" width="0" style="28" hidden="1" customWidth="1"/>
    <col min="518" max="518" width="17" style="28" bestFit="1" customWidth="1"/>
    <col min="519" max="519" width="19.7109375" style="28" bestFit="1" customWidth="1"/>
    <col min="520" max="520" width="19.7109375" style="28" customWidth="1"/>
    <col min="521" max="521" width="9.7109375" style="28" bestFit="1" customWidth="1"/>
    <col min="522" max="522" width="2.85546875" style="28" customWidth="1"/>
    <col min="523" max="523" width="32.7109375" style="28" customWidth="1"/>
    <col min="524" max="524" width="11.85546875" style="28" bestFit="1" customWidth="1"/>
    <col min="525" max="525" width="17.7109375" style="28" customWidth="1"/>
    <col min="526" max="526" width="11.140625" style="28" customWidth="1"/>
    <col min="527" max="527" width="14.140625" style="28" customWidth="1"/>
    <col min="528" max="528" width="11.85546875" style="28" customWidth="1"/>
    <col min="529" max="529" width="16.140625" style="28" customWidth="1"/>
    <col min="530" max="530" width="17.42578125" style="28" customWidth="1"/>
    <col min="531" max="531" width="19.85546875" style="28" bestFit="1" customWidth="1"/>
    <col min="532" max="532" width="19.85546875" style="28" customWidth="1"/>
    <col min="533" max="533" width="16.28515625" style="28" customWidth="1"/>
    <col min="534" max="534" width="16.5703125" style="28" customWidth="1"/>
    <col min="535" max="535" width="2.7109375" style="28" customWidth="1"/>
    <col min="536" max="536" width="73.85546875" style="28" customWidth="1"/>
    <col min="537" max="537" width="10.85546875" style="28" bestFit="1" customWidth="1"/>
    <col min="538" max="768" width="9.140625" style="28"/>
    <col min="769" max="769" width="41" style="28" customWidth="1"/>
    <col min="770" max="770" width="11.28515625" style="28" bestFit="1" customWidth="1"/>
    <col min="771" max="771" width="17.85546875" style="28" bestFit="1" customWidth="1"/>
    <col min="772" max="772" width="17.28515625" style="28" bestFit="1" customWidth="1"/>
    <col min="773" max="773" width="0" style="28" hidden="1" customWidth="1"/>
    <col min="774" max="774" width="17" style="28" bestFit="1" customWidth="1"/>
    <col min="775" max="775" width="19.7109375" style="28" bestFit="1" customWidth="1"/>
    <col min="776" max="776" width="19.7109375" style="28" customWidth="1"/>
    <col min="777" max="777" width="9.7109375" style="28" bestFit="1" customWidth="1"/>
    <col min="778" max="778" width="2.85546875" style="28" customWidth="1"/>
    <col min="779" max="779" width="32.7109375" style="28" customWidth="1"/>
    <col min="780" max="780" width="11.85546875" style="28" bestFit="1" customWidth="1"/>
    <col min="781" max="781" width="17.7109375" style="28" customWidth="1"/>
    <col min="782" max="782" width="11.140625" style="28" customWidth="1"/>
    <col min="783" max="783" width="14.140625" style="28" customWidth="1"/>
    <col min="784" max="784" width="11.85546875" style="28" customWidth="1"/>
    <col min="785" max="785" width="16.140625" style="28" customWidth="1"/>
    <col min="786" max="786" width="17.42578125" style="28" customWidth="1"/>
    <col min="787" max="787" width="19.85546875" style="28" bestFit="1" customWidth="1"/>
    <col min="788" max="788" width="19.85546875" style="28" customWidth="1"/>
    <col min="789" max="789" width="16.28515625" style="28" customWidth="1"/>
    <col min="790" max="790" width="16.5703125" style="28" customWidth="1"/>
    <col min="791" max="791" width="2.7109375" style="28" customWidth="1"/>
    <col min="792" max="792" width="73.85546875" style="28" customWidth="1"/>
    <col min="793" max="793" width="10.85546875" style="28" bestFit="1" customWidth="1"/>
    <col min="794" max="1024" width="9.140625" style="28"/>
    <col min="1025" max="1025" width="41" style="28" customWidth="1"/>
    <col min="1026" max="1026" width="11.28515625" style="28" bestFit="1" customWidth="1"/>
    <col min="1027" max="1027" width="17.85546875" style="28" bestFit="1" customWidth="1"/>
    <col min="1028" max="1028" width="17.28515625" style="28" bestFit="1" customWidth="1"/>
    <col min="1029" max="1029" width="0" style="28" hidden="1" customWidth="1"/>
    <col min="1030" max="1030" width="17" style="28" bestFit="1" customWidth="1"/>
    <col min="1031" max="1031" width="19.7109375" style="28" bestFit="1" customWidth="1"/>
    <col min="1032" max="1032" width="19.7109375" style="28" customWidth="1"/>
    <col min="1033" max="1033" width="9.7109375" style="28" bestFit="1" customWidth="1"/>
    <col min="1034" max="1034" width="2.85546875" style="28" customWidth="1"/>
    <col min="1035" max="1035" width="32.7109375" style="28" customWidth="1"/>
    <col min="1036" max="1036" width="11.85546875" style="28" bestFit="1" customWidth="1"/>
    <col min="1037" max="1037" width="17.7109375" style="28" customWidth="1"/>
    <col min="1038" max="1038" width="11.140625" style="28" customWidth="1"/>
    <col min="1039" max="1039" width="14.140625" style="28" customWidth="1"/>
    <col min="1040" max="1040" width="11.85546875" style="28" customWidth="1"/>
    <col min="1041" max="1041" width="16.140625" style="28" customWidth="1"/>
    <col min="1042" max="1042" width="17.42578125" style="28" customWidth="1"/>
    <col min="1043" max="1043" width="19.85546875" style="28" bestFit="1" customWidth="1"/>
    <col min="1044" max="1044" width="19.85546875" style="28" customWidth="1"/>
    <col min="1045" max="1045" width="16.28515625" style="28" customWidth="1"/>
    <col min="1046" max="1046" width="16.5703125" style="28" customWidth="1"/>
    <col min="1047" max="1047" width="2.7109375" style="28" customWidth="1"/>
    <col min="1048" max="1048" width="73.85546875" style="28" customWidth="1"/>
    <col min="1049" max="1049" width="10.85546875" style="28" bestFit="1" customWidth="1"/>
    <col min="1050" max="1280" width="9.140625" style="28"/>
    <col min="1281" max="1281" width="41" style="28" customWidth="1"/>
    <col min="1282" max="1282" width="11.28515625" style="28" bestFit="1" customWidth="1"/>
    <col min="1283" max="1283" width="17.85546875" style="28" bestFit="1" customWidth="1"/>
    <col min="1284" max="1284" width="17.28515625" style="28" bestFit="1" customWidth="1"/>
    <col min="1285" max="1285" width="0" style="28" hidden="1" customWidth="1"/>
    <col min="1286" max="1286" width="17" style="28" bestFit="1" customWidth="1"/>
    <col min="1287" max="1287" width="19.7109375" style="28" bestFit="1" customWidth="1"/>
    <col min="1288" max="1288" width="19.7109375" style="28" customWidth="1"/>
    <col min="1289" max="1289" width="9.7109375" style="28" bestFit="1" customWidth="1"/>
    <col min="1290" max="1290" width="2.85546875" style="28" customWidth="1"/>
    <col min="1291" max="1291" width="32.7109375" style="28" customWidth="1"/>
    <col min="1292" max="1292" width="11.85546875" style="28" bestFit="1" customWidth="1"/>
    <col min="1293" max="1293" width="17.7109375" style="28" customWidth="1"/>
    <col min="1294" max="1294" width="11.140625" style="28" customWidth="1"/>
    <col min="1295" max="1295" width="14.140625" style="28" customWidth="1"/>
    <col min="1296" max="1296" width="11.85546875" style="28" customWidth="1"/>
    <col min="1297" max="1297" width="16.140625" style="28" customWidth="1"/>
    <col min="1298" max="1298" width="17.42578125" style="28" customWidth="1"/>
    <col min="1299" max="1299" width="19.85546875" style="28" bestFit="1" customWidth="1"/>
    <col min="1300" max="1300" width="19.85546875" style="28" customWidth="1"/>
    <col min="1301" max="1301" width="16.28515625" style="28" customWidth="1"/>
    <col min="1302" max="1302" width="16.5703125" style="28" customWidth="1"/>
    <col min="1303" max="1303" width="2.7109375" style="28" customWidth="1"/>
    <col min="1304" max="1304" width="73.85546875" style="28" customWidth="1"/>
    <col min="1305" max="1305" width="10.85546875" style="28" bestFit="1" customWidth="1"/>
    <col min="1306" max="1536" width="9.140625" style="28"/>
    <col min="1537" max="1537" width="41" style="28" customWidth="1"/>
    <col min="1538" max="1538" width="11.28515625" style="28" bestFit="1" customWidth="1"/>
    <col min="1539" max="1539" width="17.85546875" style="28" bestFit="1" customWidth="1"/>
    <col min="1540" max="1540" width="17.28515625" style="28" bestFit="1" customWidth="1"/>
    <col min="1541" max="1541" width="0" style="28" hidden="1" customWidth="1"/>
    <col min="1542" max="1542" width="17" style="28" bestFit="1" customWidth="1"/>
    <col min="1543" max="1543" width="19.7109375" style="28" bestFit="1" customWidth="1"/>
    <col min="1544" max="1544" width="19.7109375" style="28" customWidth="1"/>
    <col min="1545" max="1545" width="9.7109375" style="28" bestFit="1" customWidth="1"/>
    <col min="1546" max="1546" width="2.85546875" style="28" customWidth="1"/>
    <col min="1547" max="1547" width="32.7109375" style="28" customWidth="1"/>
    <col min="1548" max="1548" width="11.85546875" style="28" bestFit="1" customWidth="1"/>
    <col min="1549" max="1549" width="17.7109375" style="28" customWidth="1"/>
    <col min="1550" max="1550" width="11.140625" style="28" customWidth="1"/>
    <col min="1551" max="1551" width="14.140625" style="28" customWidth="1"/>
    <col min="1552" max="1552" width="11.85546875" style="28" customWidth="1"/>
    <col min="1553" max="1553" width="16.140625" style="28" customWidth="1"/>
    <col min="1554" max="1554" width="17.42578125" style="28" customWidth="1"/>
    <col min="1555" max="1555" width="19.85546875" style="28" bestFit="1" customWidth="1"/>
    <col min="1556" max="1556" width="19.85546875" style="28" customWidth="1"/>
    <col min="1557" max="1557" width="16.28515625" style="28" customWidth="1"/>
    <col min="1558" max="1558" width="16.5703125" style="28" customWidth="1"/>
    <col min="1559" max="1559" width="2.7109375" style="28" customWidth="1"/>
    <col min="1560" max="1560" width="73.85546875" style="28" customWidth="1"/>
    <col min="1561" max="1561" width="10.85546875" style="28" bestFit="1" customWidth="1"/>
    <col min="1562" max="1792" width="9.140625" style="28"/>
    <col min="1793" max="1793" width="41" style="28" customWidth="1"/>
    <col min="1794" max="1794" width="11.28515625" style="28" bestFit="1" customWidth="1"/>
    <col min="1795" max="1795" width="17.85546875" style="28" bestFit="1" customWidth="1"/>
    <col min="1796" max="1796" width="17.28515625" style="28" bestFit="1" customWidth="1"/>
    <col min="1797" max="1797" width="0" style="28" hidden="1" customWidth="1"/>
    <col min="1798" max="1798" width="17" style="28" bestFit="1" customWidth="1"/>
    <col min="1799" max="1799" width="19.7109375" style="28" bestFit="1" customWidth="1"/>
    <col min="1800" max="1800" width="19.7109375" style="28" customWidth="1"/>
    <col min="1801" max="1801" width="9.7109375" style="28" bestFit="1" customWidth="1"/>
    <col min="1802" max="1802" width="2.85546875" style="28" customWidth="1"/>
    <col min="1803" max="1803" width="32.7109375" style="28" customWidth="1"/>
    <col min="1804" max="1804" width="11.85546875" style="28" bestFit="1" customWidth="1"/>
    <col min="1805" max="1805" width="17.7109375" style="28" customWidth="1"/>
    <col min="1806" max="1806" width="11.140625" style="28" customWidth="1"/>
    <col min="1807" max="1807" width="14.140625" style="28" customWidth="1"/>
    <col min="1808" max="1808" width="11.85546875" style="28" customWidth="1"/>
    <col min="1809" max="1809" width="16.140625" style="28" customWidth="1"/>
    <col min="1810" max="1810" width="17.42578125" style="28" customWidth="1"/>
    <col min="1811" max="1811" width="19.85546875" style="28" bestFit="1" customWidth="1"/>
    <col min="1812" max="1812" width="19.85546875" style="28" customWidth="1"/>
    <col min="1813" max="1813" width="16.28515625" style="28" customWidth="1"/>
    <col min="1814" max="1814" width="16.5703125" style="28" customWidth="1"/>
    <col min="1815" max="1815" width="2.7109375" style="28" customWidth="1"/>
    <col min="1816" max="1816" width="73.85546875" style="28" customWidth="1"/>
    <col min="1817" max="1817" width="10.85546875" style="28" bestFit="1" customWidth="1"/>
    <col min="1818" max="2048" width="9.140625" style="28"/>
    <col min="2049" max="2049" width="41" style="28" customWidth="1"/>
    <col min="2050" max="2050" width="11.28515625" style="28" bestFit="1" customWidth="1"/>
    <col min="2051" max="2051" width="17.85546875" style="28" bestFit="1" customWidth="1"/>
    <col min="2052" max="2052" width="17.28515625" style="28" bestFit="1" customWidth="1"/>
    <col min="2053" max="2053" width="0" style="28" hidden="1" customWidth="1"/>
    <col min="2054" max="2054" width="17" style="28" bestFit="1" customWidth="1"/>
    <col min="2055" max="2055" width="19.7109375" style="28" bestFit="1" customWidth="1"/>
    <col min="2056" max="2056" width="19.7109375" style="28" customWidth="1"/>
    <col min="2057" max="2057" width="9.7109375" style="28" bestFit="1" customWidth="1"/>
    <col min="2058" max="2058" width="2.85546875" style="28" customWidth="1"/>
    <col min="2059" max="2059" width="32.7109375" style="28" customWidth="1"/>
    <col min="2060" max="2060" width="11.85546875" style="28" bestFit="1" customWidth="1"/>
    <col min="2061" max="2061" width="17.7109375" style="28" customWidth="1"/>
    <col min="2062" max="2062" width="11.140625" style="28" customWidth="1"/>
    <col min="2063" max="2063" width="14.140625" style="28" customWidth="1"/>
    <col min="2064" max="2064" width="11.85546875" style="28" customWidth="1"/>
    <col min="2065" max="2065" width="16.140625" style="28" customWidth="1"/>
    <col min="2066" max="2066" width="17.42578125" style="28" customWidth="1"/>
    <col min="2067" max="2067" width="19.85546875" style="28" bestFit="1" customWidth="1"/>
    <col min="2068" max="2068" width="19.85546875" style="28" customWidth="1"/>
    <col min="2069" max="2069" width="16.28515625" style="28" customWidth="1"/>
    <col min="2070" max="2070" width="16.5703125" style="28" customWidth="1"/>
    <col min="2071" max="2071" width="2.7109375" style="28" customWidth="1"/>
    <col min="2072" max="2072" width="73.85546875" style="28" customWidth="1"/>
    <col min="2073" max="2073" width="10.85546875" style="28" bestFit="1" customWidth="1"/>
    <col min="2074" max="2304" width="9.140625" style="28"/>
    <col min="2305" max="2305" width="41" style="28" customWidth="1"/>
    <col min="2306" max="2306" width="11.28515625" style="28" bestFit="1" customWidth="1"/>
    <col min="2307" max="2307" width="17.85546875" style="28" bestFit="1" customWidth="1"/>
    <col min="2308" max="2308" width="17.28515625" style="28" bestFit="1" customWidth="1"/>
    <col min="2309" max="2309" width="0" style="28" hidden="1" customWidth="1"/>
    <col min="2310" max="2310" width="17" style="28" bestFit="1" customWidth="1"/>
    <col min="2311" max="2311" width="19.7109375" style="28" bestFit="1" customWidth="1"/>
    <col min="2312" max="2312" width="19.7109375" style="28" customWidth="1"/>
    <col min="2313" max="2313" width="9.7109375" style="28" bestFit="1" customWidth="1"/>
    <col min="2314" max="2314" width="2.85546875" style="28" customWidth="1"/>
    <col min="2315" max="2315" width="32.7109375" style="28" customWidth="1"/>
    <col min="2316" max="2316" width="11.85546875" style="28" bestFit="1" customWidth="1"/>
    <col min="2317" max="2317" width="17.7109375" style="28" customWidth="1"/>
    <col min="2318" max="2318" width="11.140625" style="28" customWidth="1"/>
    <col min="2319" max="2319" width="14.140625" style="28" customWidth="1"/>
    <col min="2320" max="2320" width="11.85546875" style="28" customWidth="1"/>
    <col min="2321" max="2321" width="16.140625" style="28" customWidth="1"/>
    <col min="2322" max="2322" width="17.42578125" style="28" customWidth="1"/>
    <col min="2323" max="2323" width="19.85546875" style="28" bestFit="1" customWidth="1"/>
    <col min="2324" max="2324" width="19.85546875" style="28" customWidth="1"/>
    <col min="2325" max="2325" width="16.28515625" style="28" customWidth="1"/>
    <col min="2326" max="2326" width="16.5703125" style="28" customWidth="1"/>
    <col min="2327" max="2327" width="2.7109375" style="28" customWidth="1"/>
    <col min="2328" max="2328" width="73.85546875" style="28" customWidth="1"/>
    <col min="2329" max="2329" width="10.85546875" style="28" bestFit="1" customWidth="1"/>
    <col min="2330" max="2560" width="9.140625" style="28"/>
    <col min="2561" max="2561" width="41" style="28" customWidth="1"/>
    <col min="2562" max="2562" width="11.28515625" style="28" bestFit="1" customWidth="1"/>
    <col min="2563" max="2563" width="17.85546875" style="28" bestFit="1" customWidth="1"/>
    <col min="2564" max="2564" width="17.28515625" style="28" bestFit="1" customWidth="1"/>
    <col min="2565" max="2565" width="0" style="28" hidden="1" customWidth="1"/>
    <col min="2566" max="2566" width="17" style="28" bestFit="1" customWidth="1"/>
    <col min="2567" max="2567" width="19.7109375" style="28" bestFit="1" customWidth="1"/>
    <col min="2568" max="2568" width="19.7109375" style="28" customWidth="1"/>
    <col min="2569" max="2569" width="9.7109375" style="28" bestFit="1" customWidth="1"/>
    <col min="2570" max="2570" width="2.85546875" style="28" customWidth="1"/>
    <col min="2571" max="2571" width="32.7109375" style="28" customWidth="1"/>
    <col min="2572" max="2572" width="11.85546875" style="28" bestFit="1" customWidth="1"/>
    <col min="2573" max="2573" width="17.7109375" style="28" customWidth="1"/>
    <col min="2574" max="2574" width="11.140625" style="28" customWidth="1"/>
    <col min="2575" max="2575" width="14.140625" style="28" customWidth="1"/>
    <col min="2576" max="2576" width="11.85546875" style="28" customWidth="1"/>
    <col min="2577" max="2577" width="16.140625" style="28" customWidth="1"/>
    <col min="2578" max="2578" width="17.42578125" style="28" customWidth="1"/>
    <col min="2579" max="2579" width="19.85546875" style="28" bestFit="1" customWidth="1"/>
    <col min="2580" max="2580" width="19.85546875" style="28" customWidth="1"/>
    <col min="2581" max="2581" width="16.28515625" style="28" customWidth="1"/>
    <col min="2582" max="2582" width="16.5703125" style="28" customWidth="1"/>
    <col min="2583" max="2583" width="2.7109375" style="28" customWidth="1"/>
    <col min="2584" max="2584" width="73.85546875" style="28" customWidth="1"/>
    <col min="2585" max="2585" width="10.85546875" style="28" bestFit="1" customWidth="1"/>
    <col min="2586" max="2816" width="9.140625" style="28"/>
    <col min="2817" max="2817" width="41" style="28" customWidth="1"/>
    <col min="2818" max="2818" width="11.28515625" style="28" bestFit="1" customWidth="1"/>
    <col min="2819" max="2819" width="17.85546875" style="28" bestFit="1" customWidth="1"/>
    <col min="2820" max="2820" width="17.28515625" style="28" bestFit="1" customWidth="1"/>
    <col min="2821" max="2821" width="0" style="28" hidden="1" customWidth="1"/>
    <col min="2822" max="2822" width="17" style="28" bestFit="1" customWidth="1"/>
    <col min="2823" max="2823" width="19.7109375" style="28" bestFit="1" customWidth="1"/>
    <col min="2824" max="2824" width="19.7109375" style="28" customWidth="1"/>
    <col min="2825" max="2825" width="9.7109375" style="28" bestFit="1" customWidth="1"/>
    <col min="2826" max="2826" width="2.85546875" style="28" customWidth="1"/>
    <col min="2827" max="2827" width="32.7109375" style="28" customWidth="1"/>
    <col min="2828" max="2828" width="11.85546875" style="28" bestFit="1" customWidth="1"/>
    <col min="2829" max="2829" width="17.7109375" style="28" customWidth="1"/>
    <col min="2830" max="2830" width="11.140625" style="28" customWidth="1"/>
    <col min="2831" max="2831" width="14.140625" style="28" customWidth="1"/>
    <col min="2832" max="2832" width="11.85546875" style="28" customWidth="1"/>
    <col min="2833" max="2833" width="16.140625" style="28" customWidth="1"/>
    <col min="2834" max="2834" width="17.42578125" style="28" customWidth="1"/>
    <col min="2835" max="2835" width="19.85546875" style="28" bestFit="1" customWidth="1"/>
    <col min="2836" max="2836" width="19.85546875" style="28" customWidth="1"/>
    <col min="2837" max="2837" width="16.28515625" style="28" customWidth="1"/>
    <col min="2838" max="2838" width="16.5703125" style="28" customWidth="1"/>
    <col min="2839" max="2839" width="2.7109375" style="28" customWidth="1"/>
    <col min="2840" max="2840" width="73.85546875" style="28" customWidth="1"/>
    <col min="2841" max="2841" width="10.85546875" style="28" bestFit="1" customWidth="1"/>
    <col min="2842" max="3072" width="9.140625" style="28"/>
    <col min="3073" max="3073" width="41" style="28" customWidth="1"/>
    <col min="3074" max="3074" width="11.28515625" style="28" bestFit="1" customWidth="1"/>
    <col min="3075" max="3075" width="17.85546875" style="28" bestFit="1" customWidth="1"/>
    <col min="3076" max="3076" width="17.28515625" style="28" bestFit="1" customWidth="1"/>
    <col min="3077" max="3077" width="0" style="28" hidden="1" customWidth="1"/>
    <col min="3078" max="3078" width="17" style="28" bestFit="1" customWidth="1"/>
    <col min="3079" max="3079" width="19.7109375" style="28" bestFit="1" customWidth="1"/>
    <col min="3080" max="3080" width="19.7109375" style="28" customWidth="1"/>
    <col min="3081" max="3081" width="9.7109375" style="28" bestFit="1" customWidth="1"/>
    <col min="3082" max="3082" width="2.85546875" style="28" customWidth="1"/>
    <col min="3083" max="3083" width="32.7109375" style="28" customWidth="1"/>
    <col min="3084" max="3084" width="11.85546875" style="28" bestFit="1" customWidth="1"/>
    <col min="3085" max="3085" width="17.7109375" style="28" customWidth="1"/>
    <col min="3086" max="3086" width="11.140625" style="28" customWidth="1"/>
    <col min="3087" max="3087" width="14.140625" style="28" customWidth="1"/>
    <col min="3088" max="3088" width="11.85546875" style="28" customWidth="1"/>
    <col min="3089" max="3089" width="16.140625" style="28" customWidth="1"/>
    <col min="3090" max="3090" width="17.42578125" style="28" customWidth="1"/>
    <col min="3091" max="3091" width="19.85546875" style="28" bestFit="1" customWidth="1"/>
    <col min="3092" max="3092" width="19.85546875" style="28" customWidth="1"/>
    <col min="3093" max="3093" width="16.28515625" style="28" customWidth="1"/>
    <col min="3094" max="3094" width="16.5703125" style="28" customWidth="1"/>
    <col min="3095" max="3095" width="2.7109375" style="28" customWidth="1"/>
    <col min="3096" max="3096" width="73.85546875" style="28" customWidth="1"/>
    <col min="3097" max="3097" width="10.85546875" style="28" bestFit="1" customWidth="1"/>
    <col min="3098" max="3328" width="9.140625" style="28"/>
    <col min="3329" max="3329" width="41" style="28" customWidth="1"/>
    <col min="3330" max="3330" width="11.28515625" style="28" bestFit="1" customWidth="1"/>
    <col min="3331" max="3331" width="17.85546875" style="28" bestFit="1" customWidth="1"/>
    <col min="3332" max="3332" width="17.28515625" style="28" bestFit="1" customWidth="1"/>
    <col min="3333" max="3333" width="0" style="28" hidden="1" customWidth="1"/>
    <col min="3334" max="3334" width="17" style="28" bestFit="1" customWidth="1"/>
    <col min="3335" max="3335" width="19.7109375" style="28" bestFit="1" customWidth="1"/>
    <col min="3336" max="3336" width="19.7109375" style="28" customWidth="1"/>
    <col min="3337" max="3337" width="9.7109375" style="28" bestFit="1" customWidth="1"/>
    <col min="3338" max="3338" width="2.85546875" style="28" customWidth="1"/>
    <col min="3339" max="3339" width="32.7109375" style="28" customWidth="1"/>
    <col min="3340" max="3340" width="11.85546875" style="28" bestFit="1" customWidth="1"/>
    <col min="3341" max="3341" width="17.7109375" style="28" customWidth="1"/>
    <col min="3342" max="3342" width="11.140625" style="28" customWidth="1"/>
    <col min="3343" max="3343" width="14.140625" style="28" customWidth="1"/>
    <col min="3344" max="3344" width="11.85546875" style="28" customWidth="1"/>
    <col min="3345" max="3345" width="16.140625" style="28" customWidth="1"/>
    <col min="3346" max="3346" width="17.42578125" style="28" customWidth="1"/>
    <col min="3347" max="3347" width="19.85546875" style="28" bestFit="1" customWidth="1"/>
    <col min="3348" max="3348" width="19.85546875" style="28" customWidth="1"/>
    <col min="3349" max="3349" width="16.28515625" style="28" customWidth="1"/>
    <col min="3350" max="3350" width="16.5703125" style="28" customWidth="1"/>
    <col min="3351" max="3351" width="2.7109375" style="28" customWidth="1"/>
    <col min="3352" max="3352" width="73.85546875" style="28" customWidth="1"/>
    <col min="3353" max="3353" width="10.85546875" style="28" bestFit="1" customWidth="1"/>
    <col min="3354" max="3584" width="9.140625" style="28"/>
    <col min="3585" max="3585" width="41" style="28" customWidth="1"/>
    <col min="3586" max="3586" width="11.28515625" style="28" bestFit="1" customWidth="1"/>
    <col min="3587" max="3587" width="17.85546875" style="28" bestFit="1" customWidth="1"/>
    <col min="3588" max="3588" width="17.28515625" style="28" bestFit="1" customWidth="1"/>
    <col min="3589" max="3589" width="0" style="28" hidden="1" customWidth="1"/>
    <col min="3590" max="3590" width="17" style="28" bestFit="1" customWidth="1"/>
    <col min="3591" max="3591" width="19.7109375" style="28" bestFit="1" customWidth="1"/>
    <col min="3592" max="3592" width="19.7109375" style="28" customWidth="1"/>
    <col min="3593" max="3593" width="9.7109375" style="28" bestFit="1" customWidth="1"/>
    <col min="3594" max="3594" width="2.85546875" style="28" customWidth="1"/>
    <col min="3595" max="3595" width="32.7109375" style="28" customWidth="1"/>
    <col min="3596" max="3596" width="11.85546875" style="28" bestFit="1" customWidth="1"/>
    <col min="3597" max="3597" width="17.7109375" style="28" customWidth="1"/>
    <col min="3598" max="3598" width="11.140625" style="28" customWidth="1"/>
    <col min="3599" max="3599" width="14.140625" style="28" customWidth="1"/>
    <col min="3600" max="3600" width="11.85546875" style="28" customWidth="1"/>
    <col min="3601" max="3601" width="16.140625" style="28" customWidth="1"/>
    <col min="3602" max="3602" width="17.42578125" style="28" customWidth="1"/>
    <col min="3603" max="3603" width="19.85546875" style="28" bestFit="1" customWidth="1"/>
    <col min="3604" max="3604" width="19.85546875" style="28" customWidth="1"/>
    <col min="3605" max="3605" width="16.28515625" style="28" customWidth="1"/>
    <col min="3606" max="3606" width="16.5703125" style="28" customWidth="1"/>
    <col min="3607" max="3607" width="2.7109375" style="28" customWidth="1"/>
    <col min="3608" max="3608" width="73.85546875" style="28" customWidth="1"/>
    <col min="3609" max="3609" width="10.85546875" style="28" bestFit="1" customWidth="1"/>
    <col min="3610" max="3840" width="9.140625" style="28"/>
    <col min="3841" max="3841" width="41" style="28" customWidth="1"/>
    <col min="3842" max="3842" width="11.28515625" style="28" bestFit="1" customWidth="1"/>
    <col min="3843" max="3843" width="17.85546875" style="28" bestFit="1" customWidth="1"/>
    <col min="3844" max="3844" width="17.28515625" style="28" bestFit="1" customWidth="1"/>
    <col min="3845" max="3845" width="0" style="28" hidden="1" customWidth="1"/>
    <col min="3846" max="3846" width="17" style="28" bestFit="1" customWidth="1"/>
    <col min="3847" max="3847" width="19.7109375" style="28" bestFit="1" customWidth="1"/>
    <col min="3848" max="3848" width="19.7109375" style="28" customWidth="1"/>
    <col min="3849" max="3849" width="9.7109375" style="28" bestFit="1" customWidth="1"/>
    <col min="3850" max="3850" width="2.85546875" style="28" customWidth="1"/>
    <col min="3851" max="3851" width="32.7109375" style="28" customWidth="1"/>
    <col min="3852" max="3852" width="11.85546875" style="28" bestFit="1" customWidth="1"/>
    <col min="3853" max="3853" width="17.7109375" style="28" customWidth="1"/>
    <col min="3854" max="3854" width="11.140625" style="28" customWidth="1"/>
    <col min="3855" max="3855" width="14.140625" style="28" customWidth="1"/>
    <col min="3856" max="3856" width="11.85546875" style="28" customWidth="1"/>
    <col min="3857" max="3857" width="16.140625" style="28" customWidth="1"/>
    <col min="3858" max="3858" width="17.42578125" style="28" customWidth="1"/>
    <col min="3859" max="3859" width="19.85546875" style="28" bestFit="1" customWidth="1"/>
    <col min="3860" max="3860" width="19.85546875" style="28" customWidth="1"/>
    <col min="3861" max="3861" width="16.28515625" style="28" customWidth="1"/>
    <col min="3862" max="3862" width="16.5703125" style="28" customWidth="1"/>
    <col min="3863" max="3863" width="2.7109375" style="28" customWidth="1"/>
    <col min="3864" max="3864" width="73.85546875" style="28" customWidth="1"/>
    <col min="3865" max="3865" width="10.85546875" style="28" bestFit="1" customWidth="1"/>
    <col min="3866" max="4096" width="9.140625" style="28"/>
    <col min="4097" max="4097" width="41" style="28" customWidth="1"/>
    <col min="4098" max="4098" width="11.28515625" style="28" bestFit="1" customWidth="1"/>
    <col min="4099" max="4099" width="17.85546875" style="28" bestFit="1" customWidth="1"/>
    <col min="4100" max="4100" width="17.28515625" style="28" bestFit="1" customWidth="1"/>
    <col min="4101" max="4101" width="0" style="28" hidden="1" customWidth="1"/>
    <col min="4102" max="4102" width="17" style="28" bestFit="1" customWidth="1"/>
    <col min="4103" max="4103" width="19.7109375" style="28" bestFit="1" customWidth="1"/>
    <col min="4104" max="4104" width="19.7109375" style="28" customWidth="1"/>
    <col min="4105" max="4105" width="9.7109375" style="28" bestFit="1" customWidth="1"/>
    <col min="4106" max="4106" width="2.85546875" style="28" customWidth="1"/>
    <col min="4107" max="4107" width="32.7109375" style="28" customWidth="1"/>
    <col min="4108" max="4108" width="11.85546875" style="28" bestFit="1" customWidth="1"/>
    <col min="4109" max="4109" width="17.7109375" style="28" customWidth="1"/>
    <col min="4110" max="4110" width="11.140625" style="28" customWidth="1"/>
    <col min="4111" max="4111" width="14.140625" style="28" customWidth="1"/>
    <col min="4112" max="4112" width="11.85546875" style="28" customWidth="1"/>
    <col min="4113" max="4113" width="16.140625" style="28" customWidth="1"/>
    <col min="4114" max="4114" width="17.42578125" style="28" customWidth="1"/>
    <col min="4115" max="4115" width="19.85546875" style="28" bestFit="1" customWidth="1"/>
    <col min="4116" max="4116" width="19.85546875" style="28" customWidth="1"/>
    <col min="4117" max="4117" width="16.28515625" style="28" customWidth="1"/>
    <col min="4118" max="4118" width="16.5703125" style="28" customWidth="1"/>
    <col min="4119" max="4119" width="2.7109375" style="28" customWidth="1"/>
    <col min="4120" max="4120" width="73.85546875" style="28" customWidth="1"/>
    <col min="4121" max="4121" width="10.85546875" style="28" bestFit="1" customWidth="1"/>
    <col min="4122" max="4352" width="9.140625" style="28"/>
    <col min="4353" max="4353" width="41" style="28" customWidth="1"/>
    <col min="4354" max="4354" width="11.28515625" style="28" bestFit="1" customWidth="1"/>
    <col min="4355" max="4355" width="17.85546875" style="28" bestFit="1" customWidth="1"/>
    <col min="4356" max="4356" width="17.28515625" style="28" bestFit="1" customWidth="1"/>
    <col min="4357" max="4357" width="0" style="28" hidden="1" customWidth="1"/>
    <col min="4358" max="4358" width="17" style="28" bestFit="1" customWidth="1"/>
    <col min="4359" max="4359" width="19.7109375" style="28" bestFit="1" customWidth="1"/>
    <col min="4360" max="4360" width="19.7109375" style="28" customWidth="1"/>
    <col min="4361" max="4361" width="9.7109375" style="28" bestFit="1" customWidth="1"/>
    <col min="4362" max="4362" width="2.85546875" style="28" customWidth="1"/>
    <col min="4363" max="4363" width="32.7109375" style="28" customWidth="1"/>
    <col min="4364" max="4364" width="11.85546875" style="28" bestFit="1" customWidth="1"/>
    <col min="4365" max="4365" width="17.7109375" style="28" customWidth="1"/>
    <col min="4366" max="4366" width="11.140625" style="28" customWidth="1"/>
    <col min="4367" max="4367" width="14.140625" style="28" customWidth="1"/>
    <col min="4368" max="4368" width="11.85546875" style="28" customWidth="1"/>
    <col min="4369" max="4369" width="16.140625" style="28" customWidth="1"/>
    <col min="4370" max="4370" width="17.42578125" style="28" customWidth="1"/>
    <col min="4371" max="4371" width="19.85546875" style="28" bestFit="1" customWidth="1"/>
    <col min="4372" max="4372" width="19.85546875" style="28" customWidth="1"/>
    <col min="4373" max="4373" width="16.28515625" style="28" customWidth="1"/>
    <col min="4374" max="4374" width="16.5703125" style="28" customWidth="1"/>
    <col min="4375" max="4375" width="2.7109375" style="28" customWidth="1"/>
    <col min="4376" max="4376" width="73.85546875" style="28" customWidth="1"/>
    <col min="4377" max="4377" width="10.85546875" style="28" bestFit="1" customWidth="1"/>
    <col min="4378" max="4608" width="9.140625" style="28"/>
    <col min="4609" max="4609" width="41" style="28" customWidth="1"/>
    <col min="4610" max="4610" width="11.28515625" style="28" bestFit="1" customWidth="1"/>
    <col min="4611" max="4611" width="17.85546875" style="28" bestFit="1" customWidth="1"/>
    <col min="4612" max="4612" width="17.28515625" style="28" bestFit="1" customWidth="1"/>
    <col min="4613" max="4613" width="0" style="28" hidden="1" customWidth="1"/>
    <col min="4614" max="4614" width="17" style="28" bestFit="1" customWidth="1"/>
    <col min="4615" max="4615" width="19.7109375" style="28" bestFit="1" customWidth="1"/>
    <col min="4616" max="4616" width="19.7109375" style="28" customWidth="1"/>
    <col min="4617" max="4617" width="9.7109375" style="28" bestFit="1" customWidth="1"/>
    <col min="4618" max="4618" width="2.85546875" style="28" customWidth="1"/>
    <col min="4619" max="4619" width="32.7109375" style="28" customWidth="1"/>
    <col min="4620" max="4620" width="11.85546875" style="28" bestFit="1" customWidth="1"/>
    <col min="4621" max="4621" width="17.7109375" style="28" customWidth="1"/>
    <col min="4622" max="4622" width="11.140625" style="28" customWidth="1"/>
    <col min="4623" max="4623" width="14.140625" style="28" customWidth="1"/>
    <col min="4624" max="4624" width="11.85546875" style="28" customWidth="1"/>
    <col min="4625" max="4625" width="16.140625" style="28" customWidth="1"/>
    <col min="4626" max="4626" width="17.42578125" style="28" customWidth="1"/>
    <col min="4627" max="4627" width="19.85546875" style="28" bestFit="1" customWidth="1"/>
    <col min="4628" max="4628" width="19.85546875" style="28" customWidth="1"/>
    <col min="4629" max="4629" width="16.28515625" style="28" customWidth="1"/>
    <col min="4630" max="4630" width="16.5703125" style="28" customWidth="1"/>
    <col min="4631" max="4631" width="2.7109375" style="28" customWidth="1"/>
    <col min="4632" max="4632" width="73.85546875" style="28" customWidth="1"/>
    <col min="4633" max="4633" width="10.85546875" style="28" bestFit="1" customWidth="1"/>
    <col min="4634" max="4864" width="9.140625" style="28"/>
    <col min="4865" max="4865" width="41" style="28" customWidth="1"/>
    <col min="4866" max="4866" width="11.28515625" style="28" bestFit="1" customWidth="1"/>
    <col min="4867" max="4867" width="17.85546875" style="28" bestFit="1" customWidth="1"/>
    <col min="4868" max="4868" width="17.28515625" style="28" bestFit="1" customWidth="1"/>
    <col min="4869" max="4869" width="0" style="28" hidden="1" customWidth="1"/>
    <col min="4870" max="4870" width="17" style="28" bestFit="1" customWidth="1"/>
    <col min="4871" max="4871" width="19.7109375" style="28" bestFit="1" customWidth="1"/>
    <col min="4872" max="4872" width="19.7109375" style="28" customWidth="1"/>
    <col min="4873" max="4873" width="9.7109375" style="28" bestFit="1" customWidth="1"/>
    <col min="4874" max="4874" width="2.85546875" style="28" customWidth="1"/>
    <col min="4875" max="4875" width="32.7109375" style="28" customWidth="1"/>
    <col min="4876" max="4876" width="11.85546875" style="28" bestFit="1" customWidth="1"/>
    <col min="4877" max="4877" width="17.7109375" style="28" customWidth="1"/>
    <col min="4878" max="4878" width="11.140625" style="28" customWidth="1"/>
    <col min="4879" max="4879" width="14.140625" style="28" customWidth="1"/>
    <col min="4880" max="4880" width="11.85546875" style="28" customWidth="1"/>
    <col min="4881" max="4881" width="16.140625" style="28" customWidth="1"/>
    <col min="4882" max="4882" width="17.42578125" style="28" customWidth="1"/>
    <col min="4883" max="4883" width="19.85546875" style="28" bestFit="1" customWidth="1"/>
    <col min="4884" max="4884" width="19.85546875" style="28" customWidth="1"/>
    <col min="4885" max="4885" width="16.28515625" style="28" customWidth="1"/>
    <col min="4886" max="4886" width="16.5703125" style="28" customWidth="1"/>
    <col min="4887" max="4887" width="2.7109375" style="28" customWidth="1"/>
    <col min="4888" max="4888" width="73.85546875" style="28" customWidth="1"/>
    <col min="4889" max="4889" width="10.85546875" style="28" bestFit="1" customWidth="1"/>
    <col min="4890" max="5120" width="9.140625" style="28"/>
    <col min="5121" max="5121" width="41" style="28" customWidth="1"/>
    <col min="5122" max="5122" width="11.28515625" style="28" bestFit="1" customWidth="1"/>
    <col min="5123" max="5123" width="17.85546875" style="28" bestFit="1" customWidth="1"/>
    <col min="5124" max="5124" width="17.28515625" style="28" bestFit="1" customWidth="1"/>
    <col min="5125" max="5125" width="0" style="28" hidden="1" customWidth="1"/>
    <col min="5126" max="5126" width="17" style="28" bestFit="1" customWidth="1"/>
    <col min="5127" max="5127" width="19.7109375" style="28" bestFit="1" customWidth="1"/>
    <col min="5128" max="5128" width="19.7109375" style="28" customWidth="1"/>
    <col min="5129" max="5129" width="9.7109375" style="28" bestFit="1" customWidth="1"/>
    <col min="5130" max="5130" width="2.85546875" style="28" customWidth="1"/>
    <col min="5131" max="5131" width="32.7109375" style="28" customWidth="1"/>
    <col min="5132" max="5132" width="11.85546875" style="28" bestFit="1" customWidth="1"/>
    <col min="5133" max="5133" width="17.7109375" style="28" customWidth="1"/>
    <col min="5134" max="5134" width="11.140625" style="28" customWidth="1"/>
    <col min="5135" max="5135" width="14.140625" style="28" customWidth="1"/>
    <col min="5136" max="5136" width="11.85546875" style="28" customWidth="1"/>
    <col min="5137" max="5137" width="16.140625" style="28" customWidth="1"/>
    <col min="5138" max="5138" width="17.42578125" style="28" customWidth="1"/>
    <col min="5139" max="5139" width="19.85546875" style="28" bestFit="1" customWidth="1"/>
    <col min="5140" max="5140" width="19.85546875" style="28" customWidth="1"/>
    <col min="5141" max="5141" width="16.28515625" style="28" customWidth="1"/>
    <col min="5142" max="5142" width="16.5703125" style="28" customWidth="1"/>
    <col min="5143" max="5143" width="2.7109375" style="28" customWidth="1"/>
    <col min="5144" max="5144" width="73.85546875" style="28" customWidth="1"/>
    <col min="5145" max="5145" width="10.85546875" style="28" bestFit="1" customWidth="1"/>
    <col min="5146" max="5376" width="9.140625" style="28"/>
    <col min="5377" max="5377" width="41" style="28" customWidth="1"/>
    <col min="5378" max="5378" width="11.28515625" style="28" bestFit="1" customWidth="1"/>
    <col min="5379" max="5379" width="17.85546875" style="28" bestFit="1" customWidth="1"/>
    <col min="5380" max="5380" width="17.28515625" style="28" bestFit="1" customWidth="1"/>
    <col min="5381" max="5381" width="0" style="28" hidden="1" customWidth="1"/>
    <col min="5382" max="5382" width="17" style="28" bestFit="1" customWidth="1"/>
    <col min="5383" max="5383" width="19.7109375" style="28" bestFit="1" customWidth="1"/>
    <col min="5384" max="5384" width="19.7109375" style="28" customWidth="1"/>
    <col min="5385" max="5385" width="9.7109375" style="28" bestFit="1" customWidth="1"/>
    <col min="5386" max="5386" width="2.85546875" style="28" customWidth="1"/>
    <col min="5387" max="5387" width="32.7109375" style="28" customWidth="1"/>
    <col min="5388" max="5388" width="11.85546875" style="28" bestFit="1" customWidth="1"/>
    <col min="5389" max="5389" width="17.7109375" style="28" customWidth="1"/>
    <col min="5390" max="5390" width="11.140625" style="28" customWidth="1"/>
    <col min="5391" max="5391" width="14.140625" style="28" customWidth="1"/>
    <col min="5392" max="5392" width="11.85546875" style="28" customWidth="1"/>
    <col min="5393" max="5393" width="16.140625" style="28" customWidth="1"/>
    <col min="5394" max="5394" width="17.42578125" style="28" customWidth="1"/>
    <col min="5395" max="5395" width="19.85546875" style="28" bestFit="1" customWidth="1"/>
    <col min="5396" max="5396" width="19.85546875" style="28" customWidth="1"/>
    <col min="5397" max="5397" width="16.28515625" style="28" customWidth="1"/>
    <col min="5398" max="5398" width="16.5703125" style="28" customWidth="1"/>
    <col min="5399" max="5399" width="2.7109375" style="28" customWidth="1"/>
    <col min="5400" max="5400" width="73.85546875" style="28" customWidth="1"/>
    <col min="5401" max="5401" width="10.85546875" style="28" bestFit="1" customWidth="1"/>
    <col min="5402" max="5632" width="9.140625" style="28"/>
    <col min="5633" max="5633" width="41" style="28" customWidth="1"/>
    <col min="5634" max="5634" width="11.28515625" style="28" bestFit="1" customWidth="1"/>
    <col min="5635" max="5635" width="17.85546875" style="28" bestFit="1" customWidth="1"/>
    <col min="5636" max="5636" width="17.28515625" style="28" bestFit="1" customWidth="1"/>
    <col min="5637" max="5637" width="0" style="28" hidden="1" customWidth="1"/>
    <col min="5638" max="5638" width="17" style="28" bestFit="1" customWidth="1"/>
    <col min="5639" max="5639" width="19.7109375" style="28" bestFit="1" customWidth="1"/>
    <col min="5640" max="5640" width="19.7109375" style="28" customWidth="1"/>
    <col min="5641" max="5641" width="9.7109375" style="28" bestFit="1" customWidth="1"/>
    <col min="5642" max="5642" width="2.85546875" style="28" customWidth="1"/>
    <col min="5643" max="5643" width="32.7109375" style="28" customWidth="1"/>
    <col min="5644" max="5644" width="11.85546875" style="28" bestFit="1" customWidth="1"/>
    <col min="5645" max="5645" width="17.7109375" style="28" customWidth="1"/>
    <col min="5646" max="5646" width="11.140625" style="28" customWidth="1"/>
    <col min="5647" max="5647" width="14.140625" style="28" customWidth="1"/>
    <col min="5648" max="5648" width="11.85546875" style="28" customWidth="1"/>
    <col min="5649" max="5649" width="16.140625" style="28" customWidth="1"/>
    <col min="5650" max="5650" width="17.42578125" style="28" customWidth="1"/>
    <col min="5651" max="5651" width="19.85546875" style="28" bestFit="1" customWidth="1"/>
    <col min="5652" max="5652" width="19.85546875" style="28" customWidth="1"/>
    <col min="5653" max="5653" width="16.28515625" style="28" customWidth="1"/>
    <col min="5654" max="5654" width="16.5703125" style="28" customWidth="1"/>
    <col min="5655" max="5655" width="2.7109375" style="28" customWidth="1"/>
    <col min="5656" max="5656" width="73.85546875" style="28" customWidth="1"/>
    <col min="5657" max="5657" width="10.85546875" style="28" bestFit="1" customWidth="1"/>
    <col min="5658" max="5888" width="9.140625" style="28"/>
    <col min="5889" max="5889" width="41" style="28" customWidth="1"/>
    <col min="5890" max="5890" width="11.28515625" style="28" bestFit="1" customWidth="1"/>
    <col min="5891" max="5891" width="17.85546875" style="28" bestFit="1" customWidth="1"/>
    <col min="5892" max="5892" width="17.28515625" style="28" bestFit="1" customWidth="1"/>
    <col min="5893" max="5893" width="0" style="28" hidden="1" customWidth="1"/>
    <col min="5894" max="5894" width="17" style="28" bestFit="1" customWidth="1"/>
    <col min="5895" max="5895" width="19.7109375" style="28" bestFit="1" customWidth="1"/>
    <col min="5896" max="5896" width="19.7109375" style="28" customWidth="1"/>
    <col min="5897" max="5897" width="9.7109375" style="28" bestFit="1" customWidth="1"/>
    <col min="5898" max="5898" width="2.85546875" style="28" customWidth="1"/>
    <col min="5899" max="5899" width="32.7109375" style="28" customWidth="1"/>
    <col min="5900" max="5900" width="11.85546875" style="28" bestFit="1" customWidth="1"/>
    <col min="5901" max="5901" width="17.7109375" style="28" customWidth="1"/>
    <col min="5902" max="5902" width="11.140625" style="28" customWidth="1"/>
    <col min="5903" max="5903" width="14.140625" style="28" customWidth="1"/>
    <col min="5904" max="5904" width="11.85546875" style="28" customWidth="1"/>
    <col min="5905" max="5905" width="16.140625" style="28" customWidth="1"/>
    <col min="5906" max="5906" width="17.42578125" style="28" customWidth="1"/>
    <col min="5907" max="5907" width="19.85546875" style="28" bestFit="1" customWidth="1"/>
    <col min="5908" max="5908" width="19.85546875" style="28" customWidth="1"/>
    <col min="5909" max="5909" width="16.28515625" style="28" customWidth="1"/>
    <col min="5910" max="5910" width="16.5703125" style="28" customWidth="1"/>
    <col min="5911" max="5911" width="2.7109375" style="28" customWidth="1"/>
    <col min="5912" max="5912" width="73.85546875" style="28" customWidth="1"/>
    <col min="5913" max="5913" width="10.85546875" style="28" bestFit="1" customWidth="1"/>
    <col min="5914" max="6144" width="9.140625" style="28"/>
    <col min="6145" max="6145" width="41" style="28" customWidth="1"/>
    <col min="6146" max="6146" width="11.28515625" style="28" bestFit="1" customWidth="1"/>
    <col min="6147" max="6147" width="17.85546875" style="28" bestFit="1" customWidth="1"/>
    <col min="6148" max="6148" width="17.28515625" style="28" bestFit="1" customWidth="1"/>
    <col min="6149" max="6149" width="0" style="28" hidden="1" customWidth="1"/>
    <col min="6150" max="6150" width="17" style="28" bestFit="1" customWidth="1"/>
    <col min="6151" max="6151" width="19.7109375" style="28" bestFit="1" customWidth="1"/>
    <col min="6152" max="6152" width="19.7109375" style="28" customWidth="1"/>
    <col min="6153" max="6153" width="9.7109375" style="28" bestFit="1" customWidth="1"/>
    <col min="6154" max="6154" width="2.85546875" style="28" customWidth="1"/>
    <col min="6155" max="6155" width="32.7109375" style="28" customWidth="1"/>
    <col min="6156" max="6156" width="11.85546875" style="28" bestFit="1" customWidth="1"/>
    <col min="6157" max="6157" width="17.7109375" style="28" customWidth="1"/>
    <col min="6158" max="6158" width="11.140625" style="28" customWidth="1"/>
    <col min="6159" max="6159" width="14.140625" style="28" customWidth="1"/>
    <col min="6160" max="6160" width="11.85546875" style="28" customWidth="1"/>
    <col min="6161" max="6161" width="16.140625" style="28" customWidth="1"/>
    <col min="6162" max="6162" width="17.42578125" style="28" customWidth="1"/>
    <col min="6163" max="6163" width="19.85546875" style="28" bestFit="1" customWidth="1"/>
    <col min="6164" max="6164" width="19.85546875" style="28" customWidth="1"/>
    <col min="6165" max="6165" width="16.28515625" style="28" customWidth="1"/>
    <col min="6166" max="6166" width="16.5703125" style="28" customWidth="1"/>
    <col min="6167" max="6167" width="2.7109375" style="28" customWidth="1"/>
    <col min="6168" max="6168" width="73.85546875" style="28" customWidth="1"/>
    <col min="6169" max="6169" width="10.85546875" style="28" bestFit="1" customWidth="1"/>
    <col min="6170" max="6400" width="9.140625" style="28"/>
    <col min="6401" max="6401" width="41" style="28" customWidth="1"/>
    <col min="6402" max="6402" width="11.28515625" style="28" bestFit="1" customWidth="1"/>
    <col min="6403" max="6403" width="17.85546875" style="28" bestFit="1" customWidth="1"/>
    <col min="6404" max="6404" width="17.28515625" style="28" bestFit="1" customWidth="1"/>
    <col min="6405" max="6405" width="0" style="28" hidden="1" customWidth="1"/>
    <col min="6406" max="6406" width="17" style="28" bestFit="1" customWidth="1"/>
    <col min="6407" max="6407" width="19.7109375" style="28" bestFit="1" customWidth="1"/>
    <col min="6408" max="6408" width="19.7109375" style="28" customWidth="1"/>
    <col min="6409" max="6409" width="9.7109375" style="28" bestFit="1" customWidth="1"/>
    <col min="6410" max="6410" width="2.85546875" style="28" customWidth="1"/>
    <col min="6411" max="6411" width="32.7109375" style="28" customWidth="1"/>
    <col min="6412" max="6412" width="11.85546875" style="28" bestFit="1" customWidth="1"/>
    <col min="6413" max="6413" width="17.7109375" style="28" customWidth="1"/>
    <col min="6414" max="6414" width="11.140625" style="28" customWidth="1"/>
    <col min="6415" max="6415" width="14.140625" style="28" customWidth="1"/>
    <col min="6416" max="6416" width="11.85546875" style="28" customWidth="1"/>
    <col min="6417" max="6417" width="16.140625" style="28" customWidth="1"/>
    <col min="6418" max="6418" width="17.42578125" style="28" customWidth="1"/>
    <col min="6419" max="6419" width="19.85546875" style="28" bestFit="1" customWidth="1"/>
    <col min="6420" max="6420" width="19.85546875" style="28" customWidth="1"/>
    <col min="6421" max="6421" width="16.28515625" style="28" customWidth="1"/>
    <col min="6422" max="6422" width="16.5703125" style="28" customWidth="1"/>
    <col min="6423" max="6423" width="2.7109375" style="28" customWidth="1"/>
    <col min="6424" max="6424" width="73.85546875" style="28" customWidth="1"/>
    <col min="6425" max="6425" width="10.85546875" style="28" bestFit="1" customWidth="1"/>
    <col min="6426" max="6656" width="9.140625" style="28"/>
    <col min="6657" max="6657" width="41" style="28" customWidth="1"/>
    <col min="6658" max="6658" width="11.28515625" style="28" bestFit="1" customWidth="1"/>
    <col min="6659" max="6659" width="17.85546875" style="28" bestFit="1" customWidth="1"/>
    <col min="6660" max="6660" width="17.28515625" style="28" bestFit="1" customWidth="1"/>
    <col min="6661" max="6661" width="0" style="28" hidden="1" customWidth="1"/>
    <col min="6662" max="6662" width="17" style="28" bestFit="1" customWidth="1"/>
    <col min="6663" max="6663" width="19.7109375" style="28" bestFit="1" customWidth="1"/>
    <col min="6664" max="6664" width="19.7109375" style="28" customWidth="1"/>
    <col min="6665" max="6665" width="9.7109375" style="28" bestFit="1" customWidth="1"/>
    <col min="6666" max="6666" width="2.85546875" style="28" customWidth="1"/>
    <col min="6667" max="6667" width="32.7109375" style="28" customWidth="1"/>
    <col min="6668" max="6668" width="11.85546875" style="28" bestFit="1" customWidth="1"/>
    <col min="6669" max="6669" width="17.7109375" style="28" customWidth="1"/>
    <col min="6670" max="6670" width="11.140625" style="28" customWidth="1"/>
    <col min="6671" max="6671" width="14.140625" style="28" customWidth="1"/>
    <col min="6672" max="6672" width="11.85546875" style="28" customWidth="1"/>
    <col min="6673" max="6673" width="16.140625" style="28" customWidth="1"/>
    <col min="6674" max="6674" width="17.42578125" style="28" customWidth="1"/>
    <col min="6675" max="6675" width="19.85546875" style="28" bestFit="1" customWidth="1"/>
    <col min="6676" max="6676" width="19.85546875" style="28" customWidth="1"/>
    <col min="6677" max="6677" width="16.28515625" style="28" customWidth="1"/>
    <col min="6678" max="6678" width="16.5703125" style="28" customWidth="1"/>
    <col min="6679" max="6679" width="2.7109375" style="28" customWidth="1"/>
    <col min="6680" max="6680" width="73.85546875" style="28" customWidth="1"/>
    <col min="6681" max="6681" width="10.85546875" style="28" bestFit="1" customWidth="1"/>
    <col min="6682" max="6912" width="9.140625" style="28"/>
    <col min="6913" max="6913" width="41" style="28" customWidth="1"/>
    <col min="6914" max="6914" width="11.28515625" style="28" bestFit="1" customWidth="1"/>
    <col min="6915" max="6915" width="17.85546875" style="28" bestFit="1" customWidth="1"/>
    <col min="6916" max="6916" width="17.28515625" style="28" bestFit="1" customWidth="1"/>
    <col min="6917" max="6917" width="0" style="28" hidden="1" customWidth="1"/>
    <col min="6918" max="6918" width="17" style="28" bestFit="1" customWidth="1"/>
    <col min="6919" max="6919" width="19.7109375" style="28" bestFit="1" customWidth="1"/>
    <col min="6920" max="6920" width="19.7109375" style="28" customWidth="1"/>
    <col min="6921" max="6921" width="9.7109375" style="28" bestFit="1" customWidth="1"/>
    <col min="6922" max="6922" width="2.85546875" style="28" customWidth="1"/>
    <col min="6923" max="6923" width="32.7109375" style="28" customWidth="1"/>
    <col min="6924" max="6924" width="11.85546875" style="28" bestFit="1" customWidth="1"/>
    <col min="6925" max="6925" width="17.7109375" style="28" customWidth="1"/>
    <col min="6926" max="6926" width="11.140625" style="28" customWidth="1"/>
    <col min="6927" max="6927" width="14.140625" style="28" customWidth="1"/>
    <col min="6928" max="6928" width="11.85546875" style="28" customWidth="1"/>
    <col min="6929" max="6929" width="16.140625" style="28" customWidth="1"/>
    <col min="6930" max="6930" width="17.42578125" style="28" customWidth="1"/>
    <col min="6931" max="6931" width="19.85546875" style="28" bestFit="1" customWidth="1"/>
    <col min="6932" max="6932" width="19.85546875" style="28" customWidth="1"/>
    <col min="6933" max="6933" width="16.28515625" style="28" customWidth="1"/>
    <col min="6934" max="6934" width="16.5703125" style="28" customWidth="1"/>
    <col min="6935" max="6935" width="2.7109375" style="28" customWidth="1"/>
    <col min="6936" max="6936" width="73.85546875" style="28" customWidth="1"/>
    <col min="6937" max="6937" width="10.85546875" style="28" bestFit="1" customWidth="1"/>
    <col min="6938" max="7168" width="9.140625" style="28"/>
    <col min="7169" max="7169" width="41" style="28" customWidth="1"/>
    <col min="7170" max="7170" width="11.28515625" style="28" bestFit="1" customWidth="1"/>
    <col min="7171" max="7171" width="17.85546875" style="28" bestFit="1" customWidth="1"/>
    <col min="7172" max="7172" width="17.28515625" style="28" bestFit="1" customWidth="1"/>
    <col min="7173" max="7173" width="0" style="28" hidden="1" customWidth="1"/>
    <col min="7174" max="7174" width="17" style="28" bestFit="1" customWidth="1"/>
    <col min="7175" max="7175" width="19.7109375" style="28" bestFit="1" customWidth="1"/>
    <col min="7176" max="7176" width="19.7109375" style="28" customWidth="1"/>
    <col min="7177" max="7177" width="9.7109375" style="28" bestFit="1" customWidth="1"/>
    <col min="7178" max="7178" width="2.85546875" style="28" customWidth="1"/>
    <col min="7179" max="7179" width="32.7109375" style="28" customWidth="1"/>
    <col min="7180" max="7180" width="11.85546875" style="28" bestFit="1" customWidth="1"/>
    <col min="7181" max="7181" width="17.7109375" style="28" customWidth="1"/>
    <col min="7182" max="7182" width="11.140625" style="28" customWidth="1"/>
    <col min="7183" max="7183" width="14.140625" style="28" customWidth="1"/>
    <col min="7184" max="7184" width="11.85546875" style="28" customWidth="1"/>
    <col min="7185" max="7185" width="16.140625" style="28" customWidth="1"/>
    <col min="7186" max="7186" width="17.42578125" style="28" customWidth="1"/>
    <col min="7187" max="7187" width="19.85546875" style="28" bestFit="1" customWidth="1"/>
    <col min="7188" max="7188" width="19.85546875" style="28" customWidth="1"/>
    <col min="7189" max="7189" width="16.28515625" style="28" customWidth="1"/>
    <col min="7190" max="7190" width="16.5703125" style="28" customWidth="1"/>
    <col min="7191" max="7191" width="2.7109375" style="28" customWidth="1"/>
    <col min="7192" max="7192" width="73.85546875" style="28" customWidth="1"/>
    <col min="7193" max="7193" width="10.85546875" style="28" bestFit="1" customWidth="1"/>
    <col min="7194" max="7424" width="9.140625" style="28"/>
    <col min="7425" max="7425" width="41" style="28" customWidth="1"/>
    <col min="7426" max="7426" width="11.28515625" style="28" bestFit="1" customWidth="1"/>
    <col min="7427" max="7427" width="17.85546875" style="28" bestFit="1" customWidth="1"/>
    <col min="7428" max="7428" width="17.28515625" style="28" bestFit="1" customWidth="1"/>
    <col min="7429" max="7429" width="0" style="28" hidden="1" customWidth="1"/>
    <col min="7430" max="7430" width="17" style="28" bestFit="1" customWidth="1"/>
    <col min="7431" max="7431" width="19.7109375" style="28" bestFit="1" customWidth="1"/>
    <col min="7432" max="7432" width="19.7109375" style="28" customWidth="1"/>
    <col min="7433" max="7433" width="9.7109375" style="28" bestFit="1" customWidth="1"/>
    <col min="7434" max="7434" width="2.85546875" style="28" customWidth="1"/>
    <col min="7435" max="7435" width="32.7109375" style="28" customWidth="1"/>
    <col min="7436" max="7436" width="11.85546875" style="28" bestFit="1" customWidth="1"/>
    <col min="7437" max="7437" width="17.7109375" style="28" customWidth="1"/>
    <col min="7438" max="7438" width="11.140625" style="28" customWidth="1"/>
    <col min="7439" max="7439" width="14.140625" style="28" customWidth="1"/>
    <col min="7440" max="7440" width="11.85546875" style="28" customWidth="1"/>
    <col min="7441" max="7441" width="16.140625" style="28" customWidth="1"/>
    <col min="7442" max="7442" width="17.42578125" style="28" customWidth="1"/>
    <col min="7443" max="7443" width="19.85546875" style="28" bestFit="1" customWidth="1"/>
    <col min="7444" max="7444" width="19.85546875" style="28" customWidth="1"/>
    <col min="7445" max="7445" width="16.28515625" style="28" customWidth="1"/>
    <col min="7446" max="7446" width="16.5703125" style="28" customWidth="1"/>
    <col min="7447" max="7447" width="2.7109375" style="28" customWidth="1"/>
    <col min="7448" max="7448" width="73.85546875" style="28" customWidth="1"/>
    <col min="7449" max="7449" width="10.85546875" style="28" bestFit="1" customWidth="1"/>
    <col min="7450" max="7680" width="9.140625" style="28"/>
    <col min="7681" max="7681" width="41" style="28" customWidth="1"/>
    <col min="7682" max="7682" width="11.28515625" style="28" bestFit="1" customWidth="1"/>
    <col min="7683" max="7683" width="17.85546875" style="28" bestFit="1" customWidth="1"/>
    <col min="7684" max="7684" width="17.28515625" style="28" bestFit="1" customWidth="1"/>
    <col min="7685" max="7685" width="0" style="28" hidden="1" customWidth="1"/>
    <col min="7686" max="7686" width="17" style="28" bestFit="1" customWidth="1"/>
    <col min="7687" max="7687" width="19.7109375" style="28" bestFit="1" customWidth="1"/>
    <col min="7688" max="7688" width="19.7109375" style="28" customWidth="1"/>
    <col min="7689" max="7689" width="9.7109375" style="28" bestFit="1" customWidth="1"/>
    <col min="7690" max="7690" width="2.85546875" style="28" customWidth="1"/>
    <col min="7691" max="7691" width="32.7109375" style="28" customWidth="1"/>
    <col min="7692" max="7692" width="11.85546875" style="28" bestFit="1" customWidth="1"/>
    <col min="7693" max="7693" width="17.7109375" style="28" customWidth="1"/>
    <col min="7694" max="7694" width="11.140625" style="28" customWidth="1"/>
    <col min="7695" max="7695" width="14.140625" style="28" customWidth="1"/>
    <col min="7696" max="7696" width="11.85546875" style="28" customWidth="1"/>
    <col min="7697" max="7697" width="16.140625" style="28" customWidth="1"/>
    <col min="7698" max="7698" width="17.42578125" style="28" customWidth="1"/>
    <col min="7699" max="7699" width="19.85546875" style="28" bestFit="1" customWidth="1"/>
    <col min="7700" max="7700" width="19.85546875" style="28" customWidth="1"/>
    <col min="7701" max="7701" width="16.28515625" style="28" customWidth="1"/>
    <col min="7702" max="7702" width="16.5703125" style="28" customWidth="1"/>
    <col min="7703" max="7703" width="2.7109375" style="28" customWidth="1"/>
    <col min="7704" max="7704" width="73.85546875" style="28" customWidth="1"/>
    <col min="7705" max="7705" width="10.85546875" style="28" bestFit="1" customWidth="1"/>
    <col min="7706" max="7936" width="9.140625" style="28"/>
    <col min="7937" max="7937" width="41" style="28" customWidth="1"/>
    <col min="7938" max="7938" width="11.28515625" style="28" bestFit="1" customWidth="1"/>
    <col min="7939" max="7939" width="17.85546875" style="28" bestFit="1" customWidth="1"/>
    <col min="7940" max="7940" width="17.28515625" style="28" bestFit="1" customWidth="1"/>
    <col min="7941" max="7941" width="0" style="28" hidden="1" customWidth="1"/>
    <col min="7942" max="7942" width="17" style="28" bestFit="1" customWidth="1"/>
    <col min="7943" max="7943" width="19.7109375" style="28" bestFit="1" customWidth="1"/>
    <col min="7944" max="7944" width="19.7109375" style="28" customWidth="1"/>
    <col min="7945" max="7945" width="9.7109375" style="28" bestFit="1" customWidth="1"/>
    <col min="7946" max="7946" width="2.85546875" style="28" customWidth="1"/>
    <col min="7947" max="7947" width="32.7109375" style="28" customWidth="1"/>
    <col min="7948" max="7948" width="11.85546875" style="28" bestFit="1" customWidth="1"/>
    <col min="7949" max="7949" width="17.7109375" style="28" customWidth="1"/>
    <col min="7950" max="7950" width="11.140625" style="28" customWidth="1"/>
    <col min="7951" max="7951" width="14.140625" style="28" customWidth="1"/>
    <col min="7952" max="7952" width="11.85546875" style="28" customWidth="1"/>
    <col min="7953" max="7953" width="16.140625" style="28" customWidth="1"/>
    <col min="7954" max="7954" width="17.42578125" style="28" customWidth="1"/>
    <col min="7955" max="7955" width="19.85546875" style="28" bestFit="1" customWidth="1"/>
    <col min="7956" max="7956" width="19.85546875" style="28" customWidth="1"/>
    <col min="7957" max="7957" width="16.28515625" style="28" customWidth="1"/>
    <col min="7958" max="7958" width="16.5703125" style="28" customWidth="1"/>
    <col min="7959" max="7959" width="2.7109375" style="28" customWidth="1"/>
    <col min="7960" max="7960" width="73.85546875" style="28" customWidth="1"/>
    <col min="7961" max="7961" width="10.85546875" style="28" bestFit="1" customWidth="1"/>
    <col min="7962" max="8192" width="9.140625" style="28"/>
    <col min="8193" max="8193" width="41" style="28" customWidth="1"/>
    <col min="8194" max="8194" width="11.28515625" style="28" bestFit="1" customWidth="1"/>
    <col min="8195" max="8195" width="17.85546875" style="28" bestFit="1" customWidth="1"/>
    <col min="8196" max="8196" width="17.28515625" style="28" bestFit="1" customWidth="1"/>
    <col min="8197" max="8197" width="0" style="28" hidden="1" customWidth="1"/>
    <col min="8198" max="8198" width="17" style="28" bestFit="1" customWidth="1"/>
    <col min="8199" max="8199" width="19.7109375" style="28" bestFit="1" customWidth="1"/>
    <col min="8200" max="8200" width="19.7109375" style="28" customWidth="1"/>
    <col min="8201" max="8201" width="9.7109375" style="28" bestFit="1" customWidth="1"/>
    <col min="8202" max="8202" width="2.85546875" style="28" customWidth="1"/>
    <col min="8203" max="8203" width="32.7109375" style="28" customWidth="1"/>
    <col min="8204" max="8204" width="11.85546875" style="28" bestFit="1" customWidth="1"/>
    <col min="8205" max="8205" width="17.7109375" style="28" customWidth="1"/>
    <col min="8206" max="8206" width="11.140625" style="28" customWidth="1"/>
    <col min="8207" max="8207" width="14.140625" style="28" customWidth="1"/>
    <col min="8208" max="8208" width="11.85546875" style="28" customWidth="1"/>
    <col min="8209" max="8209" width="16.140625" style="28" customWidth="1"/>
    <col min="8210" max="8210" width="17.42578125" style="28" customWidth="1"/>
    <col min="8211" max="8211" width="19.85546875" style="28" bestFit="1" customWidth="1"/>
    <col min="8212" max="8212" width="19.85546875" style="28" customWidth="1"/>
    <col min="8213" max="8213" width="16.28515625" style="28" customWidth="1"/>
    <col min="8214" max="8214" width="16.5703125" style="28" customWidth="1"/>
    <col min="8215" max="8215" width="2.7109375" style="28" customWidth="1"/>
    <col min="8216" max="8216" width="73.85546875" style="28" customWidth="1"/>
    <col min="8217" max="8217" width="10.85546875" style="28" bestFit="1" customWidth="1"/>
    <col min="8218" max="8448" width="9.140625" style="28"/>
    <col min="8449" max="8449" width="41" style="28" customWidth="1"/>
    <col min="8450" max="8450" width="11.28515625" style="28" bestFit="1" customWidth="1"/>
    <col min="8451" max="8451" width="17.85546875" style="28" bestFit="1" customWidth="1"/>
    <col min="8452" max="8452" width="17.28515625" style="28" bestFit="1" customWidth="1"/>
    <col min="8453" max="8453" width="0" style="28" hidden="1" customWidth="1"/>
    <col min="8454" max="8454" width="17" style="28" bestFit="1" customWidth="1"/>
    <col min="8455" max="8455" width="19.7109375" style="28" bestFit="1" customWidth="1"/>
    <col min="8456" max="8456" width="19.7109375" style="28" customWidth="1"/>
    <col min="8457" max="8457" width="9.7109375" style="28" bestFit="1" customWidth="1"/>
    <col min="8458" max="8458" width="2.85546875" style="28" customWidth="1"/>
    <col min="8459" max="8459" width="32.7109375" style="28" customWidth="1"/>
    <col min="8460" max="8460" width="11.85546875" style="28" bestFit="1" customWidth="1"/>
    <col min="8461" max="8461" width="17.7109375" style="28" customWidth="1"/>
    <col min="8462" max="8462" width="11.140625" style="28" customWidth="1"/>
    <col min="8463" max="8463" width="14.140625" style="28" customWidth="1"/>
    <col min="8464" max="8464" width="11.85546875" style="28" customWidth="1"/>
    <col min="8465" max="8465" width="16.140625" style="28" customWidth="1"/>
    <col min="8466" max="8466" width="17.42578125" style="28" customWidth="1"/>
    <col min="8467" max="8467" width="19.85546875" style="28" bestFit="1" customWidth="1"/>
    <col min="8468" max="8468" width="19.85546875" style="28" customWidth="1"/>
    <col min="8469" max="8469" width="16.28515625" style="28" customWidth="1"/>
    <col min="8470" max="8470" width="16.5703125" style="28" customWidth="1"/>
    <col min="8471" max="8471" width="2.7109375" style="28" customWidth="1"/>
    <col min="8472" max="8472" width="73.85546875" style="28" customWidth="1"/>
    <col min="8473" max="8473" width="10.85546875" style="28" bestFit="1" customWidth="1"/>
    <col min="8474" max="8704" width="9.140625" style="28"/>
    <col min="8705" max="8705" width="41" style="28" customWidth="1"/>
    <col min="8706" max="8706" width="11.28515625" style="28" bestFit="1" customWidth="1"/>
    <col min="8707" max="8707" width="17.85546875" style="28" bestFit="1" customWidth="1"/>
    <col min="8708" max="8708" width="17.28515625" style="28" bestFit="1" customWidth="1"/>
    <col min="8709" max="8709" width="0" style="28" hidden="1" customWidth="1"/>
    <col min="8710" max="8710" width="17" style="28" bestFit="1" customWidth="1"/>
    <col min="8711" max="8711" width="19.7109375" style="28" bestFit="1" customWidth="1"/>
    <col min="8712" max="8712" width="19.7109375" style="28" customWidth="1"/>
    <col min="8713" max="8713" width="9.7109375" style="28" bestFit="1" customWidth="1"/>
    <col min="8714" max="8714" width="2.85546875" style="28" customWidth="1"/>
    <col min="8715" max="8715" width="32.7109375" style="28" customWidth="1"/>
    <col min="8716" max="8716" width="11.85546875" style="28" bestFit="1" customWidth="1"/>
    <col min="8717" max="8717" width="17.7109375" style="28" customWidth="1"/>
    <col min="8718" max="8718" width="11.140625" style="28" customWidth="1"/>
    <col min="8719" max="8719" width="14.140625" style="28" customWidth="1"/>
    <col min="8720" max="8720" width="11.85546875" style="28" customWidth="1"/>
    <col min="8721" max="8721" width="16.140625" style="28" customWidth="1"/>
    <col min="8722" max="8722" width="17.42578125" style="28" customWidth="1"/>
    <col min="8723" max="8723" width="19.85546875" style="28" bestFit="1" customWidth="1"/>
    <col min="8724" max="8724" width="19.85546875" style="28" customWidth="1"/>
    <col min="8725" max="8725" width="16.28515625" style="28" customWidth="1"/>
    <col min="8726" max="8726" width="16.5703125" style="28" customWidth="1"/>
    <col min="8727" max="8727" width="2.7109375" style="28" customWidth="1"/>
    <col min="8728" max="8728" width="73.85546875" style="28" customWidth="1"/>
    <col min="8729" max="8729" width="10.85546875" style="28" bestFit="1" customWidth="1"/>
    <col min="8730" max="8960" width="9.140625" style="28"/>
    <col min="8961" max="8961" width="41" style="28" customWidth="1"/>
    <col min="8962" max="8962" width="11.28515625" style="28" bestFit="1" customWidth="1"/>
    <col min="8963" max="8963" width="17.85546875" style="28" bestFit="1" customWidth="1"/>
    <col min="8964" max="8964" width="17.28515625" style="28" bestFit="1" customWidth="1"/>
    <col min="8965" max="8965" width="0" style="28" hidden="1" customWidth="1"/>
    <col min="8966" max="8966" width="17" style="28" bestFit="1" customWidth="1"/>
    <col min="8967" max="8967" width="19.7109375" style="28" bestFit="1" customWidth="1"/>
    <col min="8968" max="8968" width="19.7109375" style="28" customWidth="1"/>
    <col min="8969" max="8969" width="9.7109375" style="28" bestFit="1" customWidth="1"/>
    <col min="8970" max="8970" width="2.85546875" style="28" customWidth="1"/>
    <col min="8971" max="8971" width="32.7109375" style="28" customWidth="1"/>
    <col min="8972" max="8972" width="11.85546875" style="28" bestFit="1" customWidth="1"/>
    <col min="8973" max="8973" width="17.7109375" style="28" customWidth="1"/>
    <col min="8974" max="8974" width="11.140625" style="28" customWidth="1"/>
    <col min="8975" max="8975" width="14.140625" style="28" customWidth="1"/>
    <col min="8976" max="8976" width="11.85546875" style="28" customWidth="1"/>
    <col min="8977" max="8977" width="16.140625" style="28" customWidth="1"/>
    <col min="8978" max="8978" width="17.42578125" style="28" customWidth="1"/>
    <col min="8979" max="8979" width="19.85546875" style="28" bestFit="1" customWidth="1"/>
    <col min="8980" max="8980" width="19.85546875" style="28" customWidth="1"/>
    <col min="8981" max="8981" width="16.28515625" style="28" customWidth="1"/>
    <col min="8982" max="8982" width="16.5703125" style="28" customWidth="1"/>
    <col min="8983" max="8983" width="2.7109375" style="28" customWidth="1"/>
    <col min="8984" max="8984" width="73.85546875" style="28" customWidth="1"/>
    <col min="8985" max="8985" width="10.85546875" style="28" bestFit="1" customWidth="1"/>
    <col min="8986" max="9216" width="9.140625" style="28"/>
    <col min="9217" max="9217" width="41" style="28" customWidth="1"/>
    <col min="9218" max="9218" width="11.28515625" style="28" bestFit="1" customWidth="1"/>
    <col min="9219" max="9219" width="17.85546875" style="28" bestFit="1" customWidth="1"/>
    <col min="9220" max="9220" width="17.28515625" style="28" bestFit="1" customWidth="1"/>
    <col min="9221" max="9221" width="0" style="28" hidden="1" customWidth="1"/>
    <col min="9222" max="9222" width="17" style="28" bestFit="1" customWidth="1"/>
    <col min="9223" max="9223" width="19.7109375" style="28" bestFit="1" customWidth="1"/>
    <col min="9224" max="9224" width="19.7109375" style="28" customWidth="1"/>
    <col min="9225" max="9225" width="9.7109375" style="28" bestFit="1" customWidth="1"/>
    <col min="9226" max="9226" width="2.85546875" style="28" customWidth="1"/>
    <col min="9227" max="9227" width="32.7109375" style="28" customWidth="1"/>
    <col min="9228" max="9228" width="11.85546875" style="28" bestFit="1" customWidth="1"/>
    <col min="9229" max="9229" width="17.7109375" style="28" customWidth="1"/>
    <col min="9230" max="9230" width="11.140625" style="28" customWidth="1"/>
    <col min="9231" max="9231" width="14.140625" style="28" customWidth="1"/>
    <col min="9232" max="9232" width="11.85546875" style="28" customWidth="1"/>
    <col min="9233" max="9233" width="16.140625" style="28" customWidth="1"/>
    <col min="9234" max="9234" width="17.42578125" style="28" customWidth="1"/>
    <col min="9235" max="9235" width="19.85546875" style="28" bestFit="1" customWidth="1"/>
    <col min="9236" max="9236" width="19.85546875" style="28" customWidth="1"/>
    <col min="9237" max="9237" width="16.28515625" style="28" customWidth="1"/>
    <col min="9238" max="9238" width="16.5703125" style="28" customWidth="1"/>
    <col min="9239" max="9239" width="2.7109375" style="28" customWidth="1"/>
    <col min="9240" max="9240" width="73.85546875" style="28" customWidth="1"/>
    <col min="9241" max="9241" width="10.85546875" style="28" bestFit="1" customWidth="1"/>
    <col min="9242" max="9472" width="9.140625" style="28"/>
    <col min="9473" max="9473" width="41" style="28" customWidth="1"/>
    <col min="9474" max="9474" width="11.28515625" style="28" bestFit="1" customWidth="1"/>
    <col min="9475" max="9475" width="17.85546875" style="28" bestFit="1" customWidth="1"/>
    <col min="9476" max="9476" width="17.28515625" style="28" bestFit="1" customWidth="1"/>
    <col min="9477" max="9477" width="0" style="28" hidden="1" customWidth="1"/>
    <col min="9478" max="9478" width="17" style="28" bestFit="1" customWidth="1"/>
    <col min="9479" max="9479" width="19.7109375" style="28" bestFit="1" customWidth="1"/>
    <col min="9480" max="9480" width="19.7109375" style="28" customWidth="1"/>
    <col min="9481" max="9481" width="9.7109375" style="28" bestFit="1" customWidth="1"/>
    <col min="9482" max="9482" width="2.85546875" style="28" customWidth="1"/>
    <col min="9483" max="9483" width="32.7109375" style="28" customWidth="1"/>
    <col min="9484" max="9484" width="11.85546875" style="28" bestFit="1" customWidth="1"/>
    <col min="9485" max="9485" width="17.7109375" style="28" customWidth="1"/>
    <col min="9486" max="9486" width="11.140625" style="28" customWidth="1"/>
    <col min="9487" max="9487" width="14.140625" style="28" customWidth="1"/>
    <col min="9488" max="9488" width="11.85546875" style="28" customWidth="1"/>
    <col min="9489" max="9489" width="16.140625" style="28" customWidth="1"/>
    <col min="9490" max="9490" width="17.42578125" style="28" customWidth="1"/>
    <col min="9491" max="9491" width="19.85546875" style="28" bestFit="1" customWidth="1"/>
    <col min="9492" max="9492" width="19.85546875" style="28" customWidth="1"/>
    <col min="9493" max="9493" width="16.28515625" style="28" customWidth="1"/>
    <col min="9494" max="9494" width="16.5703125" style="28" customWidth="1"/>
    <col min="9495" max="9495" width="2.7109375" style="28" customWidth="1"/>
    <col min="9496" max="9496" width="73.85546875" style="28" customWidth="1"/>
    <col min="9497" max="9497" width="10.85546875" style="28" bestFit="1" customWidth="1"/>
    <col min="9498" max="9728" width="9.140625" style="28"/>
    <col min="9729" max="9729" width="41" style="28" customWidth="1"/>
    <col min="9730" max="9730" width="11.28515625" style="28" bestFit="1" customWidth="1"/>
    <col min="9731" max="9731" width="17.85546875" style="28" bestFit="1" customWidth="1"/>
    <col min="9732" max="9732" width="17.28515625" style="28" bestFit="1" customWidth="1"/>
    <col min="9733" max="9733" width="0" style="28" hidden="1" customWidth="1"/>
    <col min="9734" max="9734" width="17" style="28" bestFit="1" customWidth="1"/>
    <col min="9735" max="9735" width="19.7109375" style="28" bestFit="1" customWidth="1"/>
    <col min="9736" max="9736" width="19.7109375" style="28" customWidth="1"/>
    <col min="9737" max="9737" width="9.7109375" style="28" bestFit="1" customWidth="1"/>
    <col min="9738" max="9738" width="2.85546875" style="28" customWidth="1"/>
    <col min="9739" max="9739" width="32.7109375" style="28" customWidth="1"/>
    <col min="9740" max="9740" width="11.85546875" style="28" bestFit="1" customWidth="1"/>
    <col min="9741" max="9741" width="17.7109375" style="28" customWidth="1"/>
    <col min="9742" max="9742" width="11.140625" style="28" customWidth="1"/>
    <col min="9743" max="9743" width="14.140625" style="28" customWidth="1"/>
    <col min="9744" max="9744" width="11.85546875" style="28" customWidth="1"/>
    <col min="9745" max="9745" width="16.140625" style="28" customWidth="1"/>
    <col min="9746" max="9746" width="17.42578125" style="28" customWidth="1"/>
    <col min="9747" max="9747" width="19.85546875" style="28" bestFit="1" customWidth="1"/>
    <col min="9748" max="9748" width="19.85546875" style="28" customWidth="1"/>
    <col min="9749" max="9749" width="16.28515625" style="28" customWidth="1"/>
    <col min="9750" max="9750" width="16.5703125" style="28" customWidth="1"/>
    <col min="9751" max="9751" width="2.7109375" style="28" customWidth="1"/>
    <col min="9752" max="9752" width="73.85546875" style="28" customWidth="1"/>
    <col min="9753" max="9753" width="10.85546875" style="28" bestFit="1" customWidth="1"/>
    <col min="9754" max="9984" width="9.140625" style="28"/>
    <col min="9985" max="9985" width="41" style="28" customWidth="1"/>
    <col min="9986" max="9986" width="11.28515625" style="28" bestFit="1" customWidth="1"/>
    <col min="9987" max="9987" width="17.85546875" style="28" bestFit="1" customWidth="1"/>
    <col min="9988" max="9988" width="17.28515625" style="28" bestFit="1" customWidth="1"/>
    <col min="9989" max="9989" width="0" style="28" hidden="1" customWidth="1"/>
    <col min="9990" max="9990" width="17" style="28" bestFit="1" customWidth="1"/>
    <col min="9991" max="9991" width="19.7109375" style="28" bestFit="1" customWidth="1"/>
    <col min="9992" max="9992" width="19.7109375" style="28" customWidth="1"/>
    <col min="9993" max="9993" width="9.7109375" style="28" bestFit="1" customWidth="1"/>
    <col min="9994" max="9994" width="2.85546875" style="28" customWidth="1"/>
    <col min="9995" max="9995" width="32.7109375" style="28" customWidth="1"/>
    <col min="9996" max="9996" width="11.85546875" style="28" bestFit="1" customWidth="1"/>
    <col min="9997" max="9997" width="17.7109375" style="28" customWidth="1"/>
    <col min="9998" max="9998" width="11.140625" style="28" customWidth="1"/>
    <col min="9999" max="9999" width="14.140625" style="28" customWidth="1"/>
    <col min="10000" max="10000" width="11.85546875" style="28" customWidth="1"/>
    <col min="10001" max="10001" width="16.140625" style="28" customWidth="1"/>
    <col min="10002" max="10002" width="17.42578125" style="28" customWidth="1"/>
    <col min="10003" max="10003" width="19.85546875" style="28" bestFit="1" customWidth="1"/>
    <col min="10004" max="10004" width="19.85546875" style="28" customWidth="1"/>
    <col min="10005" max="10005" width="16.28515625" style="28" customWidth="1"/>
    <col min="10006" max="10006" width="16.5703125" style="28" customWidth="1"/>
    <col min="10007" max="10007" width="2.7109375" style="28" customWidth="1"/>
    <col min="10008" max="10008" width="73.85546875" style="28" customWidth="1"/>
    <col min="10009" max="10009" width="10.85546875" style="28" bestFit="1" customWidth="1"/>
    <col min="10010" max="10240" width="9.140625" style="28"/>
    <col min="10241" max="10241" width="41" style="28" customWidth="1"/>
    <col min="10242" max="10242" width="11.28515625" style="28" bestFit="1" customWidth="1"/>
    <col min="10243" max="10243" width="17.85546875" style="28" bestFit="1" customWidth="1"/>
    <col min="10244" max="10244" width="17.28515625" style="28" bestFit="1" customWidth="1"/>
    <col min="10245" max="10245" width="0" style="28" hidden="1" customWidth="1"/>
    <col min="10246" max="10246" width="17" style="28" bestFit="1" customWidth="1"/>
    <col min="10247" max="10247" width="19.7109375" style="28" bestFit="1" customWidth="1"/>
    <col min="10248" max="10248" width="19.7109375" style="28" customWidth="1"/>
    <col min="10249" max="10249" width="9.7109375" style="28" bestFit="1" customWidth="1"/>
    <col min="10250" max="10250" width="2.85546875" style="28" customWidth="1"/>
    <col min="10251" max="10251" width="32.7109375" style="28" customWidth="1"/>
    <col min="10252" max="10252" width="11.85546875" style="28" bestFit="1" customWidth="1"/>
    <col min="10253" max="10253" width="17.7109375" style="28" customWidth="1"/>
    <col min="10254" max="10254" width="11.140625" style="28" customWidth="1"/>
    <col min="10255" max="10255" width="14.140625" style="28" customWidth="1"/>
    <col min="10256" max="10256" width="11.85546875" style="28" customWidth="1"/>
    <col min="10257" max="10257" width="16.140625" style="28" customWidth="1"/>
    <col min="10258" max="10258" width="17.42578125" style="28" customWidth="1"/>
    <col min="10259" max="10259" width="19.85546875" style="28" bestFit="1" customWidth="1"/>
    <col min="10260" max="10260" width="19.85546875" style="28" customWidth="1"/>
    <col min="10261" max="10261" width="16.28515625" style="28" customWidth="1"/>
    <col min="10262" max="10262" width="16.5703125" style="28" customWidth="1"/>
    <col min="10263" max="10263" width="2.7109375" style="28" customWidth="1"/>
    <col min="10264" max="10264" width="73.85546875" style="28" customWidth="1"/>
    <col min="10265" max="10265" width="10.85546875" style="28" bestFit="1" customWidth="1"/>
    <col min="10266" max="10496" width="9.140625" style="28"/>
    <col min="10497" max="10497" width="41" style="28" customWidth="1"/>
    <col min="10498" max="10498" width="11.28515625" style="28" bestFit="1" customWidth="1"/>
    <col min="10499" max="10499" width="17.85546875" style="28" bestFit="1" customWidth="1"/>
    <col min="10500" max="10500" width="17.28515625" style="28" bestFit="1" customWidth="1"/>
    <col min="10501" max="10501" width="0" style="28" hidden="1" customWidth="1"/>
    <col min="10502" max="10502" width="17" style="28" bestFit="1" customWidth="1"/>
    <col min="10503" max="10503" width="19.7109375" style="28" bestFit="1" customWidth="1"/>
    <col min="10504" max="10504" width="19.7109375" style="28" customWidth="1"/>
    <col min="10505" max="10505" width="9.7109375" style="28" bestFit="1" customWidth="1"/>
    <col min="10506" max="10506" width="2.85546875" style="28" customWidth="1"/>
    <col min="10507" max="10507" width="32.7109375" style="28" customWidth="1"/>
    <col min="10508" max="10508" width="11.85546875" style="28" bestFit="1" customWidth="1"/>
    <col min="10509" max="10509" width="17.7109375" style="28" customWidth="1"/>
    <col min="10510" max="10510" width="11.140625" style="28" customWidth="1"/>
    <col min="10511" max="10511" width="14.140625" style="28" customWidth="1"/>
    <col min="10512" max="10512" width="11.85546875" style="28" customWidth="1"/>
    <col min="10513" max="10513" width="16.140625" style="28" customWidth="1"/>
    <col min="10514" max="10514" width="17.42578125" style="28" customWidth="1"/>
    <col min="10515" max="10515" width="19.85546875" style="28" bestFit="1" customWidth="1"/>
    <col min="10516" max="10516" width="19.85546875" style="28" customWidth="1"/>
    <col min="10517" max="10517" width="16.28515625" style="28" customWidth="1"/>
    <col min="10518" max="10518" width="16.5703125" style="28" customWidth="1"/>
    <col min="10519" max="10519" width="2.7109375" style="28" customWidth="1"/>
    <col min="10520" max="10520" width="73.85546875" style="28" customWidth="1"/>
    <col min="10521" max="10521" width="10.85546875" style="28" bestFit="1" customWidth="1"/>
    <col min="10522" max="10752" width="9.140625" style="28"/>
    <col min="10753" max="10753" width="41" style="28" customWidth="1"/>
    <col min="10754" max="10754" width="11.28515625" style="28" bestFit="1" customWidth="1"/>
    <col min="10755" max="10755" width="17.85546875" style="28" bestFit="1" customWidth="1"/>
    <col min="10756" max="10756" width="17.28515625" style="28" bestFit="1" customWidth="1"/>
    <col min="10757" max="10757" width="0" style="28" hidden="1" customWidth="1"/>
    <col min="10758" max="10758" width="17" style="28" bestFit="1" customWidth="1"/>
    <col min="10759" max="10759" width="19.7109375" style="28" bestFit="1" customWidth="1"/>
    <col min="10760" max="10760" width="19.7109375" style="28" customWidth="1"/>
    <col min="10761" max="10761" width="9.7109375" style="28" bestFit="1" customWidth="1"/>
    <col min="10762" max="10762" width="2.85546875" style="28" customWidth="1"/>
    <col min="10763" max="10763" width="32.7109375" style="28" customWidth="1"/>
    <col min="10764" max="10764" width="11.85546875" style="28" bestFit="1" customWidth="1"/>
    <col min="10765" max="10765" width="17.7109375" style="28" customWidth="1"/>
    <col min="10766" max="10766" width="11.140625" style="28" customWidth="1"/>
    <col min="10767" max="10767" width="14.140625" style="28" customWidth="1"/>
    <col min="10768" max="10768" width="11.85546875" style="28" customWidth="1"/>
    <col min="10769" max="10769" width="16.140625" style="28" customWidth="1"/>
    <col min="10770" max="10770" width="17.42578125" style="28" customWidth="1"/>
    <col min="10771" max="10771" width="19.85546875" style="28" bestFit="1" customWidth="1"/>
    <col min="10772" max="10772" width="19.85546875" style="28" customWidth="1"/>
    <col min="10773" max="10773" width="16.28515625" style="28" customWidth="1"/>
    <col min="10774" max="10774" width="16.5703125" style="28" customWidth="1"/>
    <col min="10775" max="10775" width="2.7109375" style="28" customWidth="1"/>
    <col min="10776" max="10776" width="73.85546875" style="28" customWidth="1"/>
    <col min="10777" max="10777" width="10.85546875" style="28" bestFit="1" customWidth="1"/>
    <col min="10778" max="11008" width="9.140625" style="28"/>
    <col min="11009" max="11009" width="41" style="28" customWidth="1"/>
    <col min="11010" max="11010" width="11.28515625" style="28" bestFit="1" customWidth="1"/>
    <col min="11011" max="11011" width="17.85546875" style="28" bestFit="1" customWidth="1"/>
    <col min="11012" max="11012" width="17.28515625" style="28" bestFit="1" customWidth="1"/>
    <col min="11013" max="11013" width="0" style="28" hidden="1" customWidth="1"/>
    <col min="11014" max="11014" width="17" style="28" bestFit="1" customWidth="1"/>
    <col min="11015" max="11015" width="19.7109375" style="28" bestFit="1" customWidth="1"/>
    <col min="11016" max="11016" width="19.7109375" style="28" customWidth="1"/>
    <col min="11017" max="11017" width="9.7109375" style="28" bestFit="1" customWidth="1"/>
    <col min="11018" max="11018" width="2.85546875" style="28" customWidth="1"/>
    <col min="11019" max="11019" width="32.7109375" style="28" customWidth="1"/>
    <col min="11020" max="11020" width="11.85546875" style="28" bestFit="1" customWidth="1"/>
    <col min="11021" max="11021" width="17.7109375" style="28" customWidth="1"/>
    <col min="11022" max="11022" width="11.140625" style="28" customWidth="1"/>
    <col min="11023" max="11023" width="14.140625" style="28" customWidth="1"/>
    <col min="11024" max="11024" width="11.85546875" style="28" customWidth="1"/>
    <col min="11025" max="11025" width="16.140625" style="28" customWidth="1"/>
    <col min="11026" max="11026" width="17.42578125" style="28" customWidth="1"/>
    <col min="11027" max="11027" width="19.85546875" style="28" bestFit="1" customWidth="1"/>
    <col min="11028" max="11028" width="19.85546875" style="28" customWidth="1"/>
    <col min="11029" max="11029" width="16.28515625" style="28" customWidth="1"/>
    <col min="11030" max="11030" width="16.5703125" style="28" customWidth="1"/>
    <col min="11031" max="11031" width="2.7109375" style="28" customWidth="1"/>
    <col min="11032" max="11032" width="73.85546875" style="28" customWidth="1"/>
    <col min="11033" max="11033" width="10.85546875" style="28" bestFit="1" customWidth="1"/>
    <col min="11034" max="11264" width="9.140625" style="28"/>
    <col min="11265" max="11265" width="41" style="28" customWidth="1"/>
    <col min="11266" max="11266" width="11.28515625" style="28" bestFit="1" customWidth="1"/>
    <col min="11267" max="11267" width="17.85546875" style="28" bestFit="1" customWidth="1"/>
    <col min="11268" max="11268" width="17.28515625" style="28" bestFit="1" customWidth="1"/>
    <col min="11269" max="11269" width="0" style="28" hidden="1" customWidth="1"/>
    <col min="11270" max="11270" width="17" style="28" bestFit="1" customWidth="1"/>
    <col min="11271" max="11271" width="19.7109375" style="28" bestFit="1" customWidth="1"/>
    <col min="11272" max="11272" width="19.7109375" style="28" customWidth="1"/>
    <col min="11273" max="11273" width="9.7109375" style="28" bestFit="1" customWidth="1"/>
    <col min="11274" max="11274" width="2.85546875" style="28" customWidth="1"/>
    <col min="11275" max="11275" width="32.7109375" style="28" customWidth="1"/>
    <col min="11276" max="11276" width="11.85546875" style="28" bestFit="1" customWidth="1"/>
    <col min="11277" max="11277" width="17.7109375" style="28" customWidth="1"/>
    <col min="11278" max="11278" width="11.140625" style="28" customWidth="1"/>
    <col min="11279" max="11279" width="14.140625" style="28" customWidth="1"/>
    <col min="11280" max="11280" width="11.85546875" style="28" customWidth="1"/>
    <col min="11281" max="11281" width="16.140625" style="28" customWidth="1"/>
    <col min="11282" max="11282" width="17.42578125" style="28" customWidth="1"/>
    <col min="11283" max="11283" width="19.85546875" style="28" bestFit="1" customWidth="1"/>
    <col min="11284" max="11284" width="19.85546875" style="28" customWidth="1"/>
    <col min="11285" max="11285" width="16.28515625" style="28" customWidth="1"/>
    <col min="11286" max="11286" width="16.5703125" style="28" customWidth="1"/>
    <col min="11287" max="11287" width="2.7109375" style="28" customWidth="1"/>
    <col min="11288" max="11288" width="73.85546875" style="28" customWidth="1"/>
    <col min="11289" max="11289" width="10.85546875" style="28" bestFit="1" customWidth="1"/>
    <col min="11290" max="11520" width="9.140625" style="28"/>
    <col min="11521" max="11521" width="41" style="28" customWidth="1"/>
    <col min="11522" max="11522" width="11.28515625" style="28" bestFit="1" customWidth="1"/>
    <col min="11523" max="11523" width="17.85546875" style="28" bestFit="1" customWidth="1"/>
    <col min="11524" max="11524" width="17.28515625" style="28" bestFit="1" customWidth="1"/>
    <col min="11525" max="11525" width="0" style="28" hidden="1" customWidth="1"/>
    <col min="11526" max="11526" width="17" style="28" bestFit="1" customWidth="1"/>
    <col min="11527" max="11527" width="19.7109375" style="28" bestFit="1" customWidth="1"/>
    <col min="11528" max="11528" width="19.7109375" style="28" customWidth="1"/>
    <col min="11529" max="11529" width="9.7109375" style="28" bestFit="1" customWidth="1"/>
    <col min="11530" max="11530" width="2.85546875" style="28" customWidth="1"/>
    <col min="11531" max="11531" width="32.7109375" style="28" customWidth="1"/>
    <col min="11532" max="11532" width="11.85546875" style="28" bestFit="1" customWidth="1"/>
    <col min="11533" max="11533" width="17.7109375" style="28" customWidth="1"/>
    <col min="11534" max="11534" width="11.140625" style="28" customWidth="1"/>
    <col min="11535" max="11535" width="14.140625" style="28" customWidth="1"/>
    <col min="11536" max="11536" width="11.85546875" style="28" customWidth="1"/>
    <col min="11537" max="11537" width="16.140625" style="28" customWidth="1"/>
    <col min="11538" max="11538" width="17.42578125" style="28" customWidth="1"/>
    <col min="11539" max="11539" width="19.85546875" style="28" bestFit="1" customWidth="1"/>
    <col min="11540" max="11540" width="19.85546875" style="28" customWidth="1"/>
    <col min="11541" max="11541" width="16.28515625" style="28" customWidth="1"/>
    <col min="11542" max="11542" width="16.5703125" style="28" customWidth="1"/>
    <col min="11543" max="11543" width="2.7109375" style="28" customWidth="1"/>
    <col min="11544" max="11544" width="73.85546875" style="28" customWidth="1"/>
    <col min="11545" max="11545" width="10.85546875" style="28" bestFit="1" customWidth="1"/>
    <col min="11546" max="11776" width="9.140625" style="28"/>
    <col min="11777" max="11777" width="41" style="28" customWidth="1"/>
    <col min="11778" max="11778" width="11.28515625" style="28" bestFit="1" customWidth="1"/>
    <col min="11779" max="11779" width="17.85546875" style="28" bestFit="1" customWidth="1"/>
    <col min="11780" max="11780" width="17.28515625" style="28" bestFit="1" customWidth="1"/>
    <col min="11781" max="11781" width="0" style="28" hidden="1" customWidth="1"/>
    <col min="11782" max="11782" width="17" style="28" bestFit="1" customWidth="1"/>
    <col min="11783" max="11783" width="19.7109375" style="28" bestFit="1" customWidth="1"/>
    <col min="11784" max="11784" width="19.7109375" style="28" customWidth="1"/>
    <col min="11785" max="11785" width="9.7109375" style="28" bestFit="1" customWidth="1"/>
    <col min="11786" max="11786" width="2.85546875" style="28" customWidth="1"/>
    <col min="11787" max="11787" width="32.7109375" style="28" customWidth="1"/>
    <col min="11788" max="11788" width="11.85546875" style="28" bestFit="1" customWidth="1"/>
    <col min="11789" max="11789" width="17.7109375" style="28" customWidth="1"/>
    <col min="11790" max="11790" width="11.140625" style="28" customWidth="1"/>
    <col min="11791" max="11791" width="14.140625" style="28" customWidth="1"/>
    <col min="11792" max="11792" width="11.85546875" style="28" customWidth="1"/>
    <col min="11793" max="11793" width="16.140625" style="28" customWidth="1"/>
    <col min="11794" max="11794" width="17.42578125" style="28" customWidth="1"/>
    <col min="11795" max="11795" width="19.85546875" style="28" bestFit="1" customWidth="1"/>
    <col min="11796" max="11796" width="19.85546875" style="28" customWidth="1"/>
    <col min="11797" max="11797" width="16.28515625" style="28" customWidth="1"/>
    <col min="11798" max="11798" width="16.5703125" style="28" customWidth="1"/>
    <col min="11799" max="11799" width="2.7109375" style="28" customWidth="1"/>
    <col min="11800" max="11800" width="73.85546875" style="28" customWidth="1"/>
    <col min="11801" max="11801" width="10.85546875" style="28" bestFit="1" customWidth="1"/>
    <col min="11802" max="12032" width="9.140625" style="28"/>
    <col min="12033" max="12033" width="41" style="28" customWidth="1"/>
    <col min="12034" max="12034" width="11.28515625" style="28" bestFit="1" customWidth="1"/>
    <col min="12035" max="12035" width="17.85546875" style="28" bestFit="1" customWidth="1"/>
    <col min="12036" max="12036" width="17.28515625" style="28" bestFit="1" customWidth="1"/>
    <col min="12037" max="12037" width="0" style="28" hidden="1" customWidth="1"/>
    <col min="12038" max="12038" width="17" style="28" bestFit="1" customWidth="1"/>
    <col min="12039" max="12039" width="19.7109375" style="28" bestFit="1" customWidth="1"/>
    <col min="12040" max="12040" width="19.7109375" style="28" customWidth="1"/>
    <col min="12041" max="12041" width="9.7109375" style="28" bestFit="1" customWidth="1"/>
    <col min="12042" max="12042" width="2.85546875" style="28" customWidth="1"/>
    <col min="12043" max="12043" width="32.7109375" style="28" customWidth="1"/>
    <col min="12044" max="12044" width="11.85546875" style="28" bestFit="1" customWidth="1"/>
    <col min="12045" max="12045" width="17.7109375" style="28" customWidth="1"/>
    <col min="12046" max="12046" width="11.140625" style="28" customWidth="1"/>
    <col min="12047" max="12047" width="14.140625" style="28" customWidth="1"/>
    <col min="12048" max="12048" width="11.85546875" style="28" customWidth="1"/>
    <col min="12049" max="12049" width="16.140625" style="28" customWidth="1"/>
    <col min="12050" max="12050" width="17.42578125" style="28" customWidth="1"/>
    <col min="12051" max="12051" width="19.85546875" style="28" bestFit="1" customWidth="1"/>
    <col min="12052" max="12052" width="19.85546875" style="28" customWidth="1"/>
    <col min="12053" max="12053" width="16.28515625" style="28" customWidth="1"/>
    <col min="12054" max="12054" width="16.5703125" style="28" customWidth="1"/>
    <col min="12055" max="12055" width="2.7109375" style="28" customWidth="1"/>
    <col min="12056" max="12056" width="73.85546875" style="28" customWidth="1"/>
    <col min="12057" max="12057" width="10.85546875" style="28" bestFit="1" customWidth="1"/>
    <col min="12058" max="12288" width="9.140625" style="28"/>
    <col min="12289" max="12289" width="41" style="28" customWidth="1"/>
    <col min="12290" max="12290" width="11.28515625" style="28" bestFit="1" customWidth="1"/>
    <col min="12291" max="12291" width="17.85546875" style="28" bestFit="1" customWidth="1"/>
    <col min="12292" max="12292" width="17.28515625" style="28" bestFit="1" customWidth="1"/>
    <col min="12293" max="12293" width="0" style="28" hidden="1" customWidth="1"/>
    <col min="12294" max="12294" width="17" style="28" bestFit="1" customWidth="1"/>
    <col min="12295" max="12295" width="19.7109375" style="28" bestFit="1" customWidth="1"/>
    <col min="12296" max="12296" width="19.7109375" style="28" customWidth="1"/>
    <col min="12297" max="12297" width="9.7109375" style="28" bestFit="1" customWidth="1"/>
    <col min="12298" max="12298" width="2.85546875" style="28" customWidth="1"/>
    <col min="12299" max="12299" width="32.7109375" style="28" customWidth="1"/>
    <col min="12300" max="12300" width="11.85546875" style="28" bestFit="1" customWidth="1"/>
    <col min="12301" max="12301" width="17.7109375" style="28" customWidth="1"/>
    <col min="12302" max="12302" width="11.140625" style="28" customWidth="1"/>
    <col min="12303" max="12303" width="14.140625" style="28" customWidth="1"/>
    <col min="12304" max="12304" width="11.85546875" style="28" customWidth="1"/>
    <col min="12305" max="12305" width="16.140625" style="28" customWidth="1"/>
    <col min="12306" max="12306" width="17.42578125" style="28" customWidth="1"/>
    <col min="12307" max="12307" width="19.85546875" style="28" bestFit="1" customWidth="1"/>
    <col min="12308" max="12308" width="19.85546875" style="28" customWidth="1"/>
    <col min="12309" max="12309" width="16.28515625" style="28" customWidth="1"/>
    <col min="12310" max="12310" width="16.5703125" style="28" customWidth="1"/>
    <col min="12311" max="12311" width="2.7109375" style="28" customWidth="1"/>
    <col min="12312" max="12312" width="73.85546875" style="28" customWidth="1"/>
    <col min="12313" max="12313" width="10.85546875" style="28" bestFit="1" customWidth="1"/>
    <col min="12314" max="12544" width="9.140625" style="28"/>
    <col min="12545" max="12545" width="41" style="28" customWidth="1"/>
    <col min="12546" max="12546" width="11.28515625" style="28" bestFit="1" customWidth="1"/>
    <col min="12547" max="12547" width="17.85546875" style="28" bestFit="1" customWidth="1"/>
    <col min="12548" max="12548" width="17.28515625" style="28" bestFit="1" customWidth="1"/>
    <col min="12549" max="12549" width="0" style="28" hidden="1" customWidth="1"/>
    <col min="12550" max="12550" width="17" style="28" bestFit="1" customWidth="1"/>
    <col min="12551" max="12551" width="19.7109375" style="28" bestFit="1" customWidth="1"/>
    <col min="12552" max="12552" width="19.7109375" style="28" customWidth="1"/>
    <col min="12553" max="12553" width="9.7109375" style="28" bestFit="1" customWidth="1"/>
    <col min="12554" max="12554" width="2.85546875" style="28" customWidth="1"/>
    <col min="12555" max="12555" width="32.7109375" style="28" customWidth="1"/>
    <col min="12556" max="12556" width="11.85546875" style="28" bestFit="1" customWidth="1"/>
    <col min="12557" max="12557" width="17.7109375" style="28" customWidth="1"/>
    <col min="12558" max="12558" width="11.140625" style="28" customWidth="1"/>
    <col min="12559" max="12559" width="14.140625" style="28" customWidth="1"/>
    <col min="12560" max="12560" width="11.85546875" style="28" customWidth="1"/>
    <col min="12561" max="12561" width="16.140625" style="28" customWidth="1"/>
    <col min="12562" max="12562" width="17.42578125" style="28" customWidth="1"/>
    <col min="12563" max="12563" width="19.85546875" style="28" bestFit="1" customWidth="1"/>
    <col min="12564" max="12564" width="19.85546875" style="28" customWidth="1"/>
    <col min="12565" max="12565" width="16.28515625" style="28" customWidth="1"/>
    <col min="12566" max="12566" width="16.5703125" style="28" customWidth="1"/>
    <col min="12567" max="12567" width="2.7109375" style="28" customWidth="1"/>
    <col min="12568" max="12568" width="73.85546875" style="28" customWidth="1"/>
    <col min="12569" max="12569" width="10.85546875" style="28" bestFit="1" customWidth="1"/>
    <col min="12570" max="12800" width="9.140625" style="28"/>
    <col min="12801" max="12801" width="41" style="28" customWidth="1"/>
    <col min="12802" max="12802" width="11.28515625" style="28" bestFit="1" customWidth="1"/>
    <col min="12803" max="12803" width="17.85546875" style="28" bestFit="1" customWidth="1"/>
    <col min="12804" max="12804" width="17.28515625" style="28" bestFit="1" customWidth="1"/>
    <col min="12805" max="12805" width="0" style="28" hidden="1" customWidth="1"/>
    <col min="12806" max="12806" width="17" style="28" bestFit="1" customWidth="1"/>
    <col min="12807" max="12807" width="19.7109375" style="28" bestFit="1" customWidth="1"/>
    <col min="12808" max="12808" width="19.7109375" style="28" customWidth="1"/>
    <col min="12809" max="12809" width="9.7109375" style="28" bestFit="1" customWidth="1"/>
    <col min="12810" max="12810" width="2.85546875" style="28" customWidth="1"/>
    <col min="12811" max="12811" width="32.7109375" style="28" customWidth="1"/>
    <col min="12812" max="12812" width="11.85546875" style="28" bestFit="1" customWidth="1"/>
    <col min="12813" max="12813" width="17.7109375" style="28" customWidth="1"/>
    <col min="12814" max="12814" width="11.140625" style="28" customWidth="1"/>
    <col min="12815" max="12815" width="14.140625" style="28" customWidth="1"/>
    <col min="12816" max="12816" width="11.85546875" style="28" customWidth="1"/>
    <col min="12817" max="12817" width="16.140625" style="28" customWidth="1"/>
    <col min="12818" max="12818" width="17.42578125" style="28" customWidth="1"/>
    <col min="12819" max="12819" width="19.85546875" style="28" bestFit="1" customWidth="1"/>
    <col min="12820" max="12820" width="19.85546875" style="28" customWidth="1"/>
    <col min="12821" max="12821" width="16.28515625" style="28" customWidth="1"/>
    <col min="12822" max="12822" width="16.5703125" style="28" customWidth="1"/>
    <col min="12823" max="12823" width="2.7109375" style="28" customWidth="1"/>
    <col min="12824" max="12824" width="73.85546875" style="28" customWidth="1"/>
    <col min="12825" max="12825" width="10.85546875" style="28" bestFit="1" customWidth="1"/>
    <col min="12826" max="13056" width="9.140625" style="28"/>
    <col min="13057" max="13057" width="41" style="28" customWidth="1"/>
    <col min="13058" max="13058" width="11.28515625" style="28" bestFit="1" customWidth="1"/>
    <col min="13059" max="13059" width="17.85546875" style="28" bestFit="1" customWidth="1"/>
    <col min="13060" max="13060" width="17.28515625" style="28" bestFit="1" customWidth="1"/>
    <col min="13061" max="13061" width="0" style="28" hidden="1" customWidth="1"/>
    <col min="13062" max="13062" width="17" style="28" bestFit="1" customWidth="1"/>
    <col min="13063" max="13063" width="19.7109375" style="28" bestFit="1" customWidth="1"/>
    <col min="13064" max="13064" width="19.7109375" style="28" customWidth="1"/>
    <col min="13065" max="13065" width="9.7109375" style="28" bestFit="1" customWidth="1"/>
    <col min="13066" max="13066" width="2.85546875" style="28" customWidth="1"/>
    <col min="13067" max="13067" width="32.7109375" style="28" customWidth="1"/>
    <col min="13068" max="13068" width="11.85546875" style="28" bestFit="1" customWidth="1"/>
    <col min="13069" max="13069" width="17.7109375" style="28" customWidth="1"/>
    <col min="13070" max="13070" width="11.140625" style="28" customWidth="1"/>
    <col min="13071" max="13071" width="14.140625" style="28" customWidth="1"/>
    <col min="13072" max="13072" width="11.85546875" style="28" customWidth="1"/>
    <col min="13073" max="13073" width="16.140625" style="28" customWidth="1"/>
    <col min="13074" max="13074" width="17.42578125" style="28" customWidth="1"/>
    <col min="13075" max="13075" width="19.85546875" style="28" bestFit="1" customWidth="1"/>
    <col min="13076" max="13076" width="19.85546875" style="28" customWidth="1"/>
    <col min="13077" max="13077" width="16.28515625" style="28" customWidth="1"/>
    <col min="13078" max="13078" width="16.5703125" style="28" customWidth="1"/>
    <col min="13079" max="13079" width="2.7109375" style="28" customWidth="1"/>
    <col min="13080" max="13080" width="73.85546875" style="28" customWidth="1"/>
    <col min="13081" max="13081" width="10.85546875" style="28" bestFit="1" customWidth="1"/>
    <col min="13082" max="13312" width="9.140625" style="28"/>
    <col min="13313" max="13313" width="41" style="28" customWidth="1"/>
    <col min="13314" max="13314" width="11.28515625" style="28" bestFit="1" customWidth="1"/>
    <col min="13315" max="13315" width="17.85546875" style="28" bestFit="1" customWidth="1"/>
    <col min="13316" max="13316" width="17.28515625" style="28" bestFit="1" customWidth="1"/>
    <col min="13317" max="13317" width="0" style="28" hidden="1" customWidth="1"/>
    <col min="13318" max="13318" width="17" style="28" bestFit="1" customWidth="1"/>
    <col min="13319" max="13319" width="19.7109375" style="28" bestFit="1" customWidth="1"/>
    <col min="13320" max="13320" width="19.7109375" style="28" customWidth="1"/>
    <col min="13321" max="13321" width="9.7109375" style="28" bestFit="1" customWidth="1"/>
    <col min="13322" max="13322" width="2.85546875" style="28" customWidth="1"/>
    <col min="13323" max="13323" width="32.7109375" style="28" customWidth="1"/>
    <col min="13324" max="13324" width="11.85546875" style="28" bestFit="1" customWidth="1"/>
    <col min="13325" max="13325" width="17.7109375" style="28" customWidth="1"/>
    <col min="13326" max="13326" width="11.140625" style="28" customWidth="1"/>
    <col min="13327" max="13327" width="14.140625" style="28" customWidth="1"/>
    <col min="13328" max="13328" width="11.85546875" style="28" customWidth="1"/>
    <col min="13329" max="13329" width="16.140625" style="28" customWidth="1"/>
    <col min="13330" max="13330" width="17.42578125" style="28" customWidth="1"/>
    <col min="13331" max="13331" width="19.85546875" style="28" bestFit="1" customWidth="1"/>
    <col min="13332" max="13332" width="19.85546875" style="28" customWidth="1"/>
    <col min="13333" max="13333" width="16.28515625" style="28" customWidth="1"/>
    <col min="13334" max="13334" width="16.5703125" style="28" customWidth="1"/>
    <col min="13335" max="13335" width="2.7109375" style="28" customWidth="1"/>
    <col min="13336" max="13336" width="73.85546875" style="28" customWidth="1"/>
    <col min="13337" max="13337" width="10.85546875" style="28" bestFit="1" customWidth="1"/>
    <col min="13338" max="13568" width="9.140625" style="28"/>
    <col min="13569" max="13569" width="41" style="28" customWidth="1"/>
    <col min="13570" max="13570" width="11.28515625" style="28" bestFit="1" customWidth="1"/>
    <col min="13571" max="13571" width="17.85546875" style="28" bestFit="1" customWidth="1"/>
    <col min="13572" max="13572" width="17.28515625" style="28" bestFit="1" customWidth="1"/>
    <col min="13573" max="13573" width="0" style="28" hidden="1" customWidth="1"/>
    <col min="13574" max="13574" width="17" style="28" bestFit="1" customWidth="1"/>
    <col min="13575" max="13575" width="19.7109375" style="28" bestFit="1" customWidth="1"/>
    <col min="13576" max="13576" width="19.7109375" style="28" customWidth="1"/>
    <col min="13577" max="13577" width="9.7109375" style="28" bestFit="1" customWidth="1"/>
    <col min="13578" max="13578" width="2.85546875" style="28" customWidth="1"/>
    <col min="13579" max="13579" width="32.7109375" style="28" customWidth="1"/>
    <col min="13580" max="13580" width="11.85546875" style="28" bestFit="1" customWidth="1"/>
    <col min="13581" max="13581" width="17.7109375" style="28" customWidth="1"/>
    <col min="13582" max="13582" width="11.140625" style="28" customWidth="1"/>
    <col min="13583" max="13583" width="14.140625" style="28" customWidth="1"/>
    <col min="13584" max="13584" width="11.85546875" style="28" customWidth="1"/>
    <col min="13585" max="13585" width="16.140625" style="28" customWidth="1"/>
    <col min="13586" max="13586" width="17.42578125" style="28" customWidth="1"/>
    <col min="13587" max="13587" width="19.85546875" style="28" bestFit="1" customWidth="1"/>
    <col min="13588" max="13588" width="19.85546875" style="28" customWidth="1"/>
    <col min="13589" max="13589" width="16.28515625" style="28" customWidth="1"/>
    <col min="13590" max="13590" width="16.5703125" style="28" customWidth="1"/>
    <col min="13591" max="13591" width="2.7109375" style="28" customWidth="1"/>
    <col min="13592" max="13592" width="73.85546875" style="28" customWidth="1"/>
    <col min="13593" max="13593" width="10.85546875" style="28" bestFit="1" customWidth="1"/>
    <col min="13594" max="13824" width="9.140625" style="28"/>
    <col min="13825" max="13825" width="41" style="28" customWidth="1"/>
    <col min="13826" max="13826" width="11.28515625" style="28" bestFit="1" customWidth="1"/>
    <col min="13827" max="13827" width="17.85546875" style="28" bestFit="1" customWidth="1"/>
    <col min="13828" max="13828" width="17.28515625" style="28" bestFit="1" customWidth="1"/>
    <col min="13829" max="13829" width="0" style="28" hidden="1" customWidth="1"/>
    <col min="13830" max="13830" width="17" style="28" bestFit="1" customWidth="1"/>
    <col min="13831" max="13831" width="19.7109375" style="28" bestFit="1" customWidth="1"/>
    <col min="13832" max="13832" width="19.7109375" style="28" customWidth="1"/>
    <col min="13833" max="13833" width="9.7109375" style="28" bestFit="1" customWidth="1"/>
    <col min="13834" max="13834" width="2.85546875" style="28" customWidth="1"/>
    <col min="13835" max="13835" width="32.7109375" style="28" customWidth="1"/>
    <col min="13836" max="13836" width="11.85546875" style="28" bestFit="1" customWidth="1"/>
    <col min="13837" max="13837" width="17.7109375" style="28" customWidth="1"/>
    <col min="13838" max="13838" width="11.140625" style="28" customWidth="1"/>
    <col min="13839" max="13839" width="14.140625" style="28" customWidth="1"/>
    <col min="13840" max="13840" width="11.85546875" style="28" customWidth="1"/>
    <col min="13841" max="13841" width="16.140625" style="28" customWidth="1"/>
    <col min="13842" max="13842" width="17.42578125" style="28" customWidth="1"/>
    <col min="13843" max="13843" width="19.85546875" style="28" bestFit="1" customWidth="1"/>
    <col min="13844" max="13844" width="19.85546875" style="28" customWidth="1"/>
    <col min="13845" max="13845" width="16.28515625" style="28" customWidth="1"/>
    <col min="13846" max="13846" width="16.5703125" style="28" customWidth="1"/>
    <col min="13847" max="13847" width="2.7109375" style="28" customWidth="1"/>
    <col min="13848" max="13848" width="73.85546875" style="28" customWidth="1"/>
    <col min="13849" max="13849" width="10.85546875" style="28" bestFit="1" customWidth="1"/>
    <col min="13850" max="14080" width="9.140625" style="28"/>
    <col min="14081" max="14081" width="41" style="28" customWidth="1"/>
    <col min="14082" max="14082" width="11.28515625" style="28" bestFit="1" customWidth="1"/>
    <col min="14083" max="14083" width="17.85546875" style="28" bestFit="1" customWidth="1"/>
    <col min="14084" max="14084" width="17.28515625" style="28" bestFit="1" customWidth="1"/>
    <col min="14085" max="14085" width="0" style="28" hidden="1" customWidth="1"/>
    <col min="14086" max="14086" width="17" style="28" bestFit="1" customWidth="1"/>
    <col min="14087" max="14087" width="19.7109375" style="28" bestFit="1" customWidth="1"/>
    <col min="14088" max="14088" width="19.7109375" style="28" customWidth="1"/>
    <col min="14089" max="14089" width="9.7109375" style="28" bestFit="1" customWidth="1"/>
    <col min="14090" max="14090" width="2.85546875" style="28" customWidth="1"/>
    <col min="14091" max="14091" width="32.7109375" style="28" customWidth="1"/>
    <col min="14092" max="14092" width="11.85546875" style="28" bestFit="1" customWidth="1"/>
    <col min="14093" max="14093" width="17.7109375" style="28" customWidth="1"/>
    <col min="14094" max="14094" width="11.140625" style="28" customWidth="1"/>
    <col min="14095" max="14095" width="14.140625" style="28" customWidth="1"/>
    <col min="14096" max="14096" width="11.85546875" style="28" customWidth="1"/>
    <col min="14097" max="14097" width="16.140625" style="28" customWidth="1"/>
    <col min="14098" max="14098" width="17.42578125" style="28" customWidth="1"/>
    <col min="14099" max="14099" width="19.85546875" style="28" bestFit="1" customWidth="1"/>
    <col min="14100" max="14100" width="19.85546875" style="28" customWidth="1"/>
    <col min="14101" max="14101" width="16.28515625" style="28" customWidth="1"/>
    <col min="14102" max="14102" width="16.5703125" style="28" customWidth="1"/>
    <col min="14103" max="14103" width="2.7109375" style="28" customWidth="1"/>
    <col min="14104" max="14104" width="73.85546875" style="28" customWidth="1"/>
    <col min="14105" max="14105" width="10.85546875" style="28" bestFit="1" customWidth="1"/>
    <col min="14106" max="14336" width="9.140625" style="28"/>
    <col min="14337" max="14337" width="41" style="28" customWidth="1"/>
    <col min="14338" max="14338" width="11.28515625" style="28" bestFit="1" customWidth="1"/>
    <col min="14339" max="14339" width="17.85546875" style="28" bestFit="1" customWidth="1"/>
    <col min="14340" max="14340" width="17.28515625" style="28" bestFit="1" customWidth="1"/>
    <col min="14341" max="14341" width="0" style="28" hidden="1" customWidth="1"/>
    <col min="14342" max="14342" width="17" style="28" bestFit="1" customWidth="1"/>
    <col min="14343" max="14343" width="19.7109375" style="28" bestFit="1" customWidth="1"/>
    <col min="14344" max="14344" width="19.7109375" style="28" customWidth="1"/>
    <col min="14345" max="14345" width="9.7109375" style="28" bestFit="1" customWidth="1"/>
    <col min="14346" max="14346" width="2.85546875" style="28" customWidth="1"/>
    <col min="14347" max="14347" width="32.7109375" style="28" customWidth="1"/>
    <col min="14348" max="14348" width="11.85546875" style="28" bestFit="1" customWidth="1"/>
    <col min="14349" max="14349" width="17.7109375" style="28" customWidth="1"/>
    <col min="14350" max="14350" width="11.140625" style="28" customWidth="1"/>
    <col min="14351" max="14351" width="14.140625" style="28" customWidth="1"/>
    <col min="14352" max="14352" width="11.85546875" style="28" customWidth="1"/>
    <col min="14353" max="14353" width="16.140625" style="28" customWidth="1"/>
    <col min="14354" max="14354" width="17.42578125" style="28" customWidth="1"/>
    <col min="14355" max="14355" width="19.85546875" style="28" bestFit="1" customWidth="1"/>
    <col min="14356" max="14356" width="19.85546875" style="28" customWidth="1"/>
    <col min="14357" max="14357" width="16.28515625" style="28" customWidth="1"/>
    <col min="14358" max="14358" width="16.5703125" style="28" customWidth="1"/>
    <col min="14359" max="14359" width="2.7109375" style="28" customWidth="1"/>
    <col min="14360" max="14360" width="73.85546875" style="28" customWidth="1"/>
    <col min="14361" max="14361" width="10.85546875" style="28" bestFit="1" customWidth="1"/>
    <col min="14362" max="14592" width="9.140625" style="28"/>
    <col min="14593" max="14593" width="41" style="28" customWidth="1"/>
    <col min="14594" max="14594" width="11.28515625" style="28" bestFit="1" customWidth="1"/>
    <col min="14595" max="14595" width="17.85546875" style="28" bestFit="1" customWidth="1"/>
    <col min="14596" max="14596" width="17.28515625" style="28" bestFit="1" customWidth="1"/>
    <col min="14597" max="14597" width="0" style="28" hidden="1" customWidth="1"/>
    <col min="14598" max="14598" width="17" style="28" bestFit="1" customWidth="1"/>
    <col min="14599" max="14599" width="19.7109375" style="28" bestFit="1" customWidth="1"/>
    <col min="14600" max="14600" width="19.7109375" style="28" customWidth="1"/>
    <col min="14601" max="14601" width="9.7109375" style="28" bestFit="1" customWidth="1"/>
    <col min="14602" max="14602" width="2.85546875" style="28" customWidth="1"/>
    <col min="14603" max="14603" width="32.7109375" style="28" customWidth="1"/>
    <col min="14604" max="14604" width="11.85546875" style="28" bestFit="1" customWidth="1"/>
    <col min="14605" max="14605" width="17.7109375" style="28" customWidth="1"/>
    <col min="14606" max="14606" width="11.140625" style="28" customWidth="1"/>
    <col min="14607" max="14607" width="14.140625" style="28" customWidth="1"/>
    <col min="14608" max="14608" width="11.85546875" style="28" customWidth="1"/>
    <col min="14609" max="14609" width="16.140625" style="28" customWidth="1"/>
    <col min="14610" max="14610" width="17.42578125" style="28" customWidth="1"/>
    <col min="14611" max="14611" width="19.85546875" style="28" bestFit="1" customWidth="1"/>
    <col min="14612" max="14612" width="19.85546875" style="28" customWidth="1"/>
    <col min="14613" max="14613" width="16.28515625" style="28" customWidth="1"/>
    <col min="14614" max="14614" width="16.5703125" style="28" customWidth="1"/>
    <col min="14615" max="14615" width="2.7109375" style="28" customWidth="1"/>
    <col min="14616" max="14616" width="73.85546875" style="28" customWidth="1"/>
    <col min="14617" max="14617" width="10.85546875" style="28" bestFit="1" customWidth="1"/>
    <col min="14618" max="14848" width="9.140625" style="28"/>
    <col min="14849" max="14849" width="41" style="28" customWidth="1"/>
    <col min="14850" max="14850" width="11.28515625" style="28" bestFit="1" customWidth="1"/>
    <col min="14851" max="14851" width="17.85546875" style="28" bestFit="1" customWidth="1"/>
    <col min="14852" max="14852" width="17.28515625" style="28" bestFit="1" customWidth="1"/>
    <col min="14853" max="14853" width="0" style="28" hidden="1" customWidth="1"/>
    <col min="14854" max="14854" width="17" style="28" bestFit="1" customWidth="1"/>
    <col min="14855" max="14855" width="19.7109375" style="28" bestFit="1" customWidth="1"/>
    <col min="14856" max="14856" width="19.7109375" style="28" customWidth="1"/>
    <col min="14857" max="14857" width="9.7109375" style="28" bestFit="1" customWidth="1"/>
    <col min="14858" max="14858" width="2.85546875" style="28" customWidth="1"/>
    <col min="14859" max="14859" width="32.7109375" style="28" customWidth="1"/>
    <col min="14860" max="14860" width="11.85546875" style="28" bestFit="1" customWidth="1"/>
    <col min="14861" max="14861" width="17.7109375" style="28" customWidth="1"/>
    <col min="14862" max="14862" width="11.140625" style="28" customWidth="1"/>
    <col min="14863" max="14863" width="14.140625" style="28" customWidth="1"/>
    <col min="14864" max="14864" width="11.85546875" style="28" customWidth="1"/>
    <col min="14865" max="14865" width="16.140625" style="28" customWidth="1"/>
    <col min="14866" max="14866" width="17.42578125" style="28" customWidth="1"/>
    <col min="14867" max="14867" width="19.85546875" style="28" bestFit="1" customWidth="1"/>
    <col min="14868" max="14868" width="19.85546875" style="28" customWidth="1"/>
    <col min="14869" max="14869" width="16.28515625" style="28" customWidth="1"/>
    <col min="14870" max="14870" width="16.5703125" style="28" customWidth="1"/>
    <col min="14871" max="14871" width="2.7109375" style="28" customWidth="1"/>
    <col min="14872" max="14872" width="73.85546875" style="28" customWidth="1"/>
    <col min="14873" max="14873" width="10.85546875" style="28" bestFit="1" customWidth="1"/>
    <col min="14874" max="15104" width="9.140625" style="28"/>
    <col min="15105" max="15105" width="41" style="28" customWidth="1"/>
    <col min="15106" max="15106" width="11.28515625" style="28" bestFit="1" customWidth="1"/>
    <col min="15107" max="15107" width="17.85546875" style="28" bestFit="1" customWidth="1"/>
    <col min="15108" max="15108" width="17.28515625" style="28" bestFit="1" customWidth="1"/>
    <col min="15109" max="15109" width="0" style="28" hidden="1" customWidth="1"/>
    <col min="15110" max="15110" width="17" style="28" bestFit="1" customWidth="1"/>
    <col min="15111" max="15111" width="19.7109375" style="28" bestFit="1" customWidth="1"/>
    <col min="15112" max="15112" width="19.7109375" style="28" customWidth="1"/>
    <col min="15113" max="15113" width="9.7109375" style="28" bestFit="1" customWidth="1"/>
    <col min="15114" max="15114" width="2.85546875" style="28" customWidth="1"/>
    <col min="15115" max="15115" width="32.7109375" style="28" customWidth="1"/>
    <col min="15116" max="15116" width="11.85546875" style="28" bestFit="1" customWidth="1"/>
    <col min="15117" max="15117" width="17.7109375" style="28" customWidth="1"/>
    <col min="15118" max="15118" width="11.140625" style="28" customWidth="1"/>
    <col min="15119" max="15119" width="14.140625" style="28" customWidth="1"/>
    <col min="15120" max="15120" width="11.85546875" style="28" customWidth="1"/>
    <col min="15121" max="15121" width="16.140625" style="28" customWidth="1"/>
    <col min="15122" max="15122" width="17.42578125" style="28" customWidth="1"/>
    <col min="15123" max="15123" width="19.85546875" style="28" bestFit="1" customWidth="1"/>
    <col min="15124" max="15124" width="19.85546875" style="28" customWidth="1"/>
    <col min="15125" max="15125" width="16.28515625" style="28" customWidth="1"/>
    <col min="15126" max="15126" width="16.5703125" style="28" customWidth="1"/>
    <col min="15127" max="15127" width="2.7109375" style="28" customWidth="1"/>
    <col min="15128" max="15128" width="73.85546875" style="28" customWidth="1"/>
    <col min="15129" max="15129" width="10.85546875" style="28" bestFit="1" customWidth="1"/>
    <col min="15130" max="15360" width="9.140625" style="28"/>
    <col min="15361" max="15361" width="41" style="28" customWidth="1"/>
    <col min="15362" max="15362" width="11.28515625" style="28" bestFit="1" customWidth="1"/>
    <col min="15363" max="15363" width="17.85546875" style="28" bestFit="1" customWidth="1"/>
    <col min="15364" max="15364" width="17.28515625" style="28" bestFit="1" customWidth="1"/>
    <col min="15365" max="15365" width="0" style="28" hidden="1" customWidth="1"/>
    <col min="15366" max="15366" width="17" style="28" bestFit="1" customWidth="1"/>
    <col min="15367" max="15367" width="19.7109375" style="28" bestFit="1" customWidth="1"/>
    <col min="15368" max="15368" width="19.7109375" style="28" customWidth="1"/>
    <col min="15369" max="15369" width="9.7109375" style="28" bestFit="1" customWidth="1"/>
    <col min="15370" max="15370" width="2.85546875" style="28" customWidth="1"/>
    <col min="15371" max="15371" width="32.7109375" style="28" customWidth="1"/>
    <col min="15372" max="15372" width="11.85546875" style="28" bestFit="1" customWidth="1"/>
    <col min="15373" max="15373" width="17.7109375" style="28" customWidth="1"/>
    <col min="15374" max="15374" width="11.140625" style="28" customWidth="1"/>
    <col min="15375" max="15375" width="14.140625" style="28" customWidth="1"/>
    <col min="15376" max="15376" width="11.85546875" style="28" customWidth="1"/>
    <col min="15377" max="15377" width="16.140625" style="28" customWidth="1"/>
    <col min="15378" max="15378" width="17.42578125" style="28" customWidth="1"/>
    <col min="15379" max="15379" width="19.85546875" style="28" bestFit="1" customWidth="1"/>
    <col min="15380" max="15380" width="19.85546875" style="28" customWidth="1"/>
    <col min="15381" max="15381" width="16.28515625" style="28" customWidth="1"/>
    <col min="15382" max="15382" width="16.5703125" style="28" customWidth="1"/>
    <col min="15383" max="15383" width="2.7109375" style="28" customWidth="1"/>
    <col min="15384" max="15384" width="73.85546875" style="28" customWidth="1"/>
    <col min="15385" max="15385" width="10.85546875" style="28" bestFit="1" customWidth="1"/>
    <col min="15386" max="15616" width="9.140625" style="28"/>
    <col min="15617" max="15617" width="41" style="28" customWidth="1"/>
    <col min="15618" max="15618" width="11.28515625" style="28" bestFit="1" customWidth="1"/>
    <col min="15619" max="15619" width="17.85546875" style="28" bestFit="1" customWidth="1"/>
    <col min="15620" max="15620" width="17.28515625" style="28" bestFit="1" customWidth="1"/>
    <col min="15621" max="15621" width="0" style="28" hidden="1" customWidth="1"/>
    <col min="15622" max="15622" width="17" style="28" bestFit="1" customWidth="1"/>
    <col min="15623" max="15623" width="19.7109375" style="28" bestFit="1" customWidth="1"/>
    <col min="15624" max="15624" width="19.7109375" style="28" customWidth="1"/>
    <col min="15625" max="15625" width="9.7109375" style="28" bestFit="1" customWidth="1"/>
    <col min="15626" max="15626" width="2.85546875" style="28" customWidth="1"/>
    <col min="15627" max="15627" width="32.7109375" style="28" customWidth="1"/>
    <col min="15628" max="15628" width="11.85546875" style="28" bestFit="1" customWidth="1"/>
    <col min="15629" max="15629" width="17.7109375" style="28" customWidth="1"/>
    <col min="15630" max="15630" width="11.140625" style="28" customWidth="1"/>
    <col min="15631" max="15631" width="14.140625" style="28" customWidth="1"/>
    <col min="15632" max="15632" width="11.85546875" style="28" customWidth="1"/>
    <col min="15633" max="15633" width="16.140625" style="28" customWidth="1"/>
    <col min="15634" max="15634" width="17.42578125" style="28" customWidth="1"/>
    <col min="15635" max="15635" width="19.85546875" style="28" bestFit="1" customWidth="1"/>
    <col min="15636" max="15636" width="19.85546875" style="28" customWidth="1"/>
    <col min="15637" max="15637" width="16.28515625" style="28" customWidth="1"/>
    <col min="15638" max="15638" width="16.5703125" style="28" customWidth="1"/>
    <col min="15639" max="15639" width="2.7109375" style="28" customWidth="1"/>
    <col min="15640" max="15640" width="73.85546875" style="28" customWidth="1"/>
    <col min="15641" max="15641" width="10.85546875" style="28" bestFit="1" customWidth="1"/>
    <col min="15642" max="15872" width="9.140625" style="28"/>
    <col min="15873" max="15873" width="41" style="28" customWidth="1"/>
    <col min="15874" max="15874" width="11.28515625" style="28" bestFit="1" customWidth="1"/>
    <col min="15875" max="15875" width="17.85546875" style="28" bestFit="1" customWidth="1"/>
    <col min="15876" max="15876" width="17.28515625" style="28" bestFit="1" customWidth="1"/>
    <col min="15877" max="15877" width="0" style="28" hidden="1" customWidth="1"/>
    <col min="15878" max="15878" width="17" style="28" bestFit="1" customWidth="1"/>
    <col min="15879" max="15879" width="19.7109375" style="28" bestFit="1" customWidth="1"/>
    <col min="15880" max="15880" width="19.7109375" style="28" customWidth="1"/>
    <col min="15881" max="15881" width="9.7109375" style="28" bestFit="1" customWidth="1"/>
    <col min="15882" max="15882" width="2.85546875" style="28" customWidth="1"/>
    <col min="15883" max="15883" width="32.7109375" style="28" customWidth="1"/>
    <col min="15884" max="15884" width="11.85546875" style="28" bestFit="1" customWidth="1"/>
    <col min="15885" max="15885" width="17.7109375" style="28" customWidth="1"/>
    <col min="15886" max="15886" width="11.140625" style="28" customWidth="1"/>
    <col min="15887" max="15887" width="14.140625" style="28" customWidth="1"/>
    <col min="15888" max="15888" width="11.85546875" style="28" customWidth="1"/>
    <col min="15889" max="15889" width="16.140625" style="28" customWidth="1"/>
    <col min="15890" max="15890" width="17.42578125" style="28" customWidth="1"/>
    <col min="15891" max="15891" width="19.85546875" style="28" bestFit="1" customWidth="1"/>
    <col min="15892" max="15892" width="19.85546875" style="28" customWidth="1"/>
    <col min="15893" max="15893" width="16.28515625" style="28" customWidth="1"/>
    <col min="15894" max="15894" width="16.5703125" style="28" customWidth="1"/>
    <col min="15895" max="15895" width="2.7109375" style="28" customWidth="1"/>
    <col min="15896" max="15896" width="73.85546875" style="28" customWidth="1"/>
    <col min="15897" max="15897" width="10.85546875" style="28" bestFit="1" customWidth="1"/>
    <col min="15898" max="16128" width="9.140625" style="28"/>
    <col min="16129" max="16129" width="41" style="28" customWidth="1"/>
    <col min="16130" max="16130" width="11.28515625" style="28" bestFit="1" customWidth="1"/>
    <col min="16131" max="16131" width="17.85546875" style="28" bestFit="1" customWidth="1"/>
    <col min="16132" max="16132" width="17.28515625" style="28" bestFit="1" customWidth="1"/>
    <col min="16133" max="16133" width="0" style="28" hidden="1" customWidth="1"/>
    <col min="16134" max="16134" width="17" style="28" bestFit="1" customWidth="1"/>
    <col min="16135" max="16135" width="19.7109375" style="28" bestFit="1" customWidth="1"/>
    <col min="16136" max="16136" width="19.7109375" style="28" customWidth="1"/>
    <col min="16137" max="16137" width="9.7109375" style="28" bestFit="1" customWidth="1"/>
    <col min="16138" max="16138" width="2.85546875" style="28" customWidth="1"/>
    <col min="16139" max="16139" width="32.7109375" style="28" customWidth="1"/>
    <col min="16140" max="16140" width="11.85546875" style="28" bestFit="1" customWidth="1"/>
    <col min="16141" max="16141" width="17.7109375" style="28" customWidth="1"/>
    <col min="16142" max="16142" width="11.140625" style="28" customWidth="1"/>
    <col min="16143" max="16143" width="14.140625" style="28" customWidth="1"/>
    <col min="16144" max="16144" width="11.85546875" style="28" customWidth="1"/>
    <col min="16145" max="16145" width="16.140625" style="28" customWidth="1"/>
    <col min="16146" max="16146" width="17.42578125" style="28" customWidth="1"/>
    <col min="16147" max="16147" width="19.85546875" style="28" bestFit="1" customWidth="1"/>
    <col min="16148" max="16148" width="19.85546875" style="28" customWidth="1"/>
    <col min="16149" max="16149" width="16.28515625" style="28" customWidth="1"/>
    <col min="16150" max="16150" width="16.5703125" style="28" customWidth="1"/>
    <col min="16151" max="16151" width="2.7109375" style="28" customWidth="1"/>
    <col min="16152" max="16152" width="73.85546875" style="28" customWidth="1"/>
    <col min="16153" max="16153" width="10.85546875" style="28" bestFit="1" customWidth="1"/>
    <col min="16154" max="16384" width="9.140625" style="28"/>
  </cols>
  <sheetData>
    <row r="1" spans="1:25">
      <c r="A1" s="462"/>
      <c r="B1" s="463"/>
      <c r="C1" s="464"/>
      <c r="D1" s="465"/>
      <c r="E1" s="466"/>
      <c r="F1" s="467"/>
      <c r="G1" s="466"/>
      <c r="H1" s="466"/>
      <c r="I1" s="468"/>
    </row>
    <row r="2" spans="1:25" ht="15.75">
      <c r="A2" s="469" t="s">
        <v>1004</v>
      </c>
      <c r="B2" s="249"/>
      <c r="C2" s="249"/>
      <c r="D2" s="249"/>
      <c r="E2" s="249"/>
      <c r="F2" s="470" t="s">
        <v>364</v>
      </c>
      <c r="G2" s="249"/>
      <c r="H2" s="249"/>
      <c r="I2" s="249"/>
    </row>
    <row r="3" spans="1:25">
      <c r="A3" s="471" t="s">
        <v>1005</v>
      </c>
      <c r="B3" s="249"/>
      <c r="C3" s="249"/>
      <c r="D3" s="249"/>
      <c r="E3" s="249"/>
      <c r="F3" s="249"/>
      <c r="G3" s="249"/>
      <c r="H3" s="249"/>
      <c r="I3" s="249"/>
    </row>
    <row r="4" spans="1:25">
      <c r="A4" s="249"/>
      <c r="B4" s="249"/>
      <c r="C4" s="249"/>
      <c r="D4" s="249"/>
      <c r="E4" s="249"/>
      <c r="F4" s="249"/>
      <c r="G4" s="249"/>
      <c r="H4" s="249"/>
      <c r="I4" s="249"/>
    </row>
    <row r="5" spans="1:25" s="478" customFormat="1">
      <c r="A5" s="472" t="s">
        <v>1006</v>
      </c>
      <c r="B5" s="473" t="s">
        <v>337</v>
      </c>
      <c r="C5" s="474" t="s">
        <v>338</v>
      </c>
      <c r="D5" s="475" t="s">
        <v>580</v>
      </c>
      <c r="E5" s="476" t="s">
        <v>581</v>
      </c>
      <c r="F5" s="477" t="s">
        <v>581</v>
      </c>
      <c r="G5" s="476" t="s">
        <v>338</v>
      </c>
      <c r="H5" s="476" t="s">
        <v>582</v>
      </c>
      <c r="I5" s="468" t="s">
        <v>338</v>
      </c>
      <c r="J5" s="249"/>
      <c r="K5" s="249"/>
      <c r="L5" s="249"/>
      <c r="M5" s="249"/>
      <c r="N5" s="249"/>
      <c r="O5" s="249"/>
      <c r="P5" s="249"/>
      <c r="Q5" s="249"/>
      <c r="R5" s="249"/>
      <c r="S5" s="249"/>
      <c r="T5" s="249"/>
      <c r="U5" s="249"/>
      <c r="V5" s="249"/>
      <c r="W5" s="249"/>
      <c r="X5" s="249"/>
      <c r="Y5" s="249"/>
    </row>
    <row r="6" spans="1:25" s="479" customFormat="1">
      <c r="A6" s="468" t="s">
        <v>339</v>
      </c>
      <c r="B6" s="473" t="s">
        <v>340</v>
      </c>
      <c r="C6" s="474" t="s">
        <v>341</v>
      </c>
      <c r="D6" s="475" t="s">
        <v>583</v>
      </c>
      <c r="E6" s="476" t="s">
        <v>584</v>
      </c>
      <c r="F6" s="477" t="s">
        <v>585</v>
      </c>
      <c r="G6" s="476" t="s">
        <v>586</v>
      </c>
      <c r="H6" s="476" t="s">
        <v>587</v>
      </c>
      <c r="I6" s="468" t="s">
        <v>342</v>
      </c>
      <c r="J6" s="249"/>
      <c r="K6" s="249"/>
      <c r="L6" s="249"/>
      <c r="M6" s="249"/>
      <c r="N6" s="249"/>
      <c r="O6" s="249"/>
      <c r="P6" s="249"/>
      <c r="Q6" s="249"/>
      <c r="R6" s="249"/>
      <c r="S6" s="249"/>
      <c r="T6" s="249"/>
      <c r="U6" s="249"/>
      <c r="V6" s="249"/>
      <c r="W6" s="249"/>
      <c r="X6" s="249"/>
      <c r="Y6" s="249"/>
    </row>
    <row r="7" spans="1:25">
      <c r="A7" s="462"/>
      <c r="B7" s="463"/>
      <c r="C7" s="464"/>
      <c r="D7" s="465"/>
      <c r="E7" s="466"/>
      <c r="F7" s="467"/>
      <c r="G7" s="466"/>
      <c r="H7" s="466"/>
      <c r="I7" s="468"/>
    </row>
    <row r="8" spans="1:25">
      <c r="A8" s="462" t="s">
        <v>343</v>
      </c>
      <c r="B8" s="463"/>
      <c r="C8" s="464"/>
      <c r="D8" s="465"/>
      <c r="E8" s="466"/>
      <c r="F8" s="467"/>
      <c r="G8" s="466"/>
      <c r="H8" s="466"/>
      <c r="I8" s="468"/>
    </row>
    <row r="9" spans="1:25">
      <c r="A9" s="480" t="s">
        <v>19</v>
      </c>
      <c r="B9" s="483" t="s">
        <v>344</v>
      </c>
      <c r="C9" s="464">
        <v>88466.04</v>
      </c>
      <c r="D9" s="465">
        <v>88466.044423301995</v>
      </c>
      <c r="E9" s="481">
        <v>0</v>
      </c>
      <c r="F9" s="482">
        <v>0</v>
      </c>
      <c r="G9" s="481">
        <f t="shared" ref="G9:G28" si="0">+D9+F9</f>
        <v>88466.044423301995</v>
      </c>
      <c r="H9" s="466">
        <f t="shared" ref="H9:H28" si="1">C9-G9</f>
        <v>-4.4233020016690716E-3</v>
      </c>
      <c r="I9" s="468">
        <v>20</v>
      </c>
    </row>
    <row r="10" spans="1:25">
      <c r="A10" s="480" t="s">
        <v>346</v>
      </c>
      <c r="B10" s="483" t="s">
        <v>347</v>
      </c>
      <c r="C10" s="464">
        <v>5934.08</v>
      </c>
      <c r="D10" s="465">
        <v>5934.0829670399999</v>
      </c>
      <c r="E10" s="481">
        <v>0</v>
      </c>
      <c r="F10" s="482">
        <v>0</v>
      </c>
      <c r="G10" s="481">
        <f t="shared" si="0"/>
        <v>5934.0829670399999</v>
      </c>
      <c r="H10" s="466">
        <f t="shared" si="1"/>
        <v>-2.9670399999304209E-3</v>
      </c>
      <c r="I10" s="468">
        <v>10</v>
      </c>
    </row>
    <row r="11" spans="1:25">
      <c r="A11" s="480" t="s">
        <v>19</v>
      </c>
      <c r="B11" s="483" t="s">
        <v>349</v>
      </c>
      <c r="C11" s="464">
        <v>42660</v>
      </c>
      <c r="D11" s="465">
        <v>42660</v>
      </c>
      <c r="E11" s="481">
        <v>177.75</v>
      </c>
      <c r="F11" s="482">
        <v>0</v>
      </c>
      <c r="G11" s="481">
        <f t="shared" si="0"/>
        <v>42660</v>
      </c>
      <c r="H11" s="466">
        <f t="shared" si="1"/>
        <v>0</v>
      </c>
      <c r="I11" s="468">
        <v>20</v>
      </c>
    </row>
    <row r="12" spans="1:25">
      <c r="A12" s="480" t="s">
        <v>346</v>
      </c>
      <c r="B12" s="483" t="s">
        <v>349</v>
      </c>
      <c r="C12" s="464">
        <v>40036.01</v>
      </c>
      <c r="D12" s="465">
        <v>40036.011999999995</v>
      </c>
      <c r="E12" s="481">
        <v>166.81670833333334</v>
      </c>
      <c r="F12" s="482">
        <v>0</v>
      </c>
      <c r="G12" s="481">
        <f t="shared" si="0"/>
        <v>40036.011999999995</v>
      </c>
      <c r="H12" s="466">
        <f t="shared" si="1"/>
        <v>-1.999999993131496E-3</v>
      </c>
      <c r="I12" s="468">
        <v>20</v>
      </c>
    </row>
    <row r="13" spans="1:25">
      <c r="A13" s="480" t="s">
        <v>20</v>
      </c>
      <c r="B13" s="483" t="s">
        <v>350</v>
      </c>
      <c r="C13" s="464">
        <v>4050</v>
      </c>
      <c r="D13" s="465">
        <v>4050.0045</v>
      </c>
      <c r="E13" s="481">
        <v>0</v>
      </c>
      <c r="F13" s="482">
        <v>0</v>
      </c>
      <c r="G13" s="481">
        <f t="shared" si="0"/>
        <v>4050.0045</v>
      </c>
      <c r="H13" s="466">
        <f t="shared" si="1"/>
        <v>-4.500000000007276E-3</v>
      </c>
      <c r="I13" s="468">
        <v>10</v>
      </c>
    </row>
    <row r="14" spans="1:25">
      <c r="A14" s="480" t="s">
        <v>351</v>
      </c>
      <c r="B14" s="483" t="s">
        <v>352</v>
      </c>
      <c r="C14" s="464">
        <v>35000</v>
      </c>
      <c r="D14" s="465">
        <v>20999.923333333329</v>
      </c>
      <c r="E14" s="481">
        <v>97.222222222222229</v>
      </c>
      <c r="F14" s="482">
        <v>1166.6399999999999</v>
      </c>
      <c r="G14" s="481">
        <f t="shared" si="0"/>
        <v>22166.563333333328</v>
      </c>
      <c r="H14" s="466">
        <f t="shared" si="1"/>
        <v>12833.436666666672</v>
      </c>
      <c r="I14" s="468">
        <v>30</v>
      </c>
    </row>
    <row r="15" spans="1:25">
      <c r="A15" s="480" t="s">
        <v>18</v>
      </c>
      <c r="B15" s="483" t="s">
        <v>353</v>
      </c>
      <c r="C15" s="464">
        <v>4380</v>
      </c>
      <c r="D15" s="465">
        <v>2832.3999999999992</v>
      </c>
      <c r="E15" s="481">
        <v>14.6</v>
      </c>
      <c r="F15" s="482">
        <v>175.2</v>
      </c>
      <c r="G15" s="481">
        <f t="shared" si="0"/>
        <v>3007.599999999999</v>
      </c>
      <c r="H15" s="466">
        <f t="shared" si="1"/>
        <v>1372.400000000001</v>
      </c>
      <c r="I15" s="468">
        <v>25</v>
      </c>
    </row>
    <row r="16" spans="1:25">
      <c r="A16" s="480" t="s">
        <v>351</v>
      </c>
      <c r="B16" s="483" t="s">
        <v>354</v>
      </c>
      <c r="C16" s="464">
        <v>122539.91</v>
      </c>
      <c r="D16" s="465">
        <v>64673.888333333336</v>
      </c>
      <c r="E16" s="481">
        <v>340.38863888888892</v>
      </c>
      <c r="F16" s="482">
        <v>4084.68</v>
      </c>
      <c r="G16" s="481">
        <f t="shared" si="0"/>
        <v>68758.568333333329</v>
      </c>
      <c r="H16" s="466">
        <f t="shared" si="1"/>
        <v>53781.341666666674</v>
      </c>
      <c r="I16" s="468">
        <v>30</v>
      </c>
    </row>
    <row r="17" spans="1:25">
      <c r="A17" s="480" t="s">
        <v>355</v>
      </c>
      <c r="B17" s="483" t="s">
        <v>356</v>
      </c>
      <c r="C17" s="464">
        <v>4317.5</v>
      </c>
      <c r="D17" s="465">
        <v>4317.501666666667</v>
      </c>
      <c r="E17" s="481">
        <v>29.982638888888886</v>
      </c>
      <c r="F17" s="482">
        <v>0</v>
      </c>
      <c r="G17" s="481">
        <f t="shared" si="0"/>
        <v>4317.501666666667</v>
      </c>
      <c r="H17" s="466">
        <f t="shared" si="1"/>
        <v>-1.6666666670062114E-3</v>
      </c>
      <c r="I17" s="468">
        <v>10</v>
      </c>
    </row>
    <row r="18" spans="1:25">
      <c r="A18" s="480" t="s">
        <v>346</v>
      </c>
      <c r="B18" s="483" t="s">
        <v>357</v>
      </c>
      <c r="C18" s="464">
        <v>48448.03</v>
      </c>
      <c r="D18" s="465">
        <v>21263.381666666661</v>
      </c>
      <c r="E18" s="481">
        <v>134.5778611111111</v>
      </c>
      <c r="F18" s="482">
        <v>1614.96</v>
      </c>
      <c r="G18" s="481">
        <f t="shared" si="0"/>
        <v>22878.34166666666</v>
      </c>
      <c r="H18" s="466">
        <f t="shared" si="1"/>
        <v>25569.688333333339</v>
      </c>
      <c r="I18" s="468">
        <v>30</v>
      </c>
    </row>
    <row r="19" spans="1:25">
      <c r="A19" s="480" t="s">
        <v>346</v>
      </c>
      <c r="B19" s="483" t="s">
        <v>358</v>
      </c>
      <c r="C19" s="464">
        <v>1350</v>
      </c>
      <c r="D19" s="465">
        <v>540</v>
      </c>
      <c r="E19" s="481">
        <v>3.75</v>
      </c>
      <c r="F19" s="482">
        <v>45</v>
      </c>
      <c r="G19" s="481">
        <f t="shared" si="0"/>
        <v>585</v>
      </c>
      <c r="H19" s="466">
        <f t="shared" si="1"/>
        <v>765</v>
      </c>
      <c r="I19" s="468">
        <v>30</v>
      </c>
    </row>
    <row r="20" spans="1:25">
      <c r="A20" s="480" t="s">
        <v>359</v>
      </c>
      <c r="B20" s="483" t="s">
        <v>360</v>
      </c>
      <c r="C20" s="464">
        <v>6154</v>
      </c>
      <c r="D20" s="465">
        <v>6153.9973529346389</v>
      </c>
      <c r="E20" s="481">
        <v>51.283333333333331</v>
      </c>
      <c r="F20" s="482">
        <v>0</v>
      </c>
      <c r="G20" s="481">
        <f t="shared" si="0"/>
        <v>6153.9973529346389</v>
      </c>
      <c r="H20" s="466">
        <f t="shared" si="1"/>
        <v>2.6470653610886075E-3</v>
      </c>
      <c r="I20" s="468">
        <v>10</v>
      </c>
    </row>
    <row r="21" spans="1:25">
      <c r="A21" s="480" t="s">
        <v>361</v>
      </c>
      <c r="B21" s="483" t="s">
        <v>362</v>
      </c>
      <c r="C21" s="464">
        <v>6895</v>
      </c>
      <c r="D21" s="465">
        <v>4366.9900000000007</v>
      </c>
      <c r="E21" s="481">
        <v>38.305555555555557</v>
      </c>
      <c r="F21" s="482">
        <v>459.72</v>
      </c>
      <c r="G21" s="481">
        <f t="shared" si="0"/>
        <v>4826.7100000000009</v>
      </c>
      <c r="H21" s="466">
        <f t="shared" si="1"/>
        <v>2068.2899999999991</v>
      </c>
      <c r="I21" s="468">
        <v>15</v>
      </c>
    </row>
    <row r="22" spans="1:25">
      <c r="A22" s="480" t="s">
        <v>843</v>
      </c>
      <c r="B22" s="463">
        <v>40179</v>
      </c>
      <c r="C22" s="464">
        <v>41263.75</v>
      </c>
      <c r="D22" s="465">
        <v>6602.4000000000005</v>
      </c>
      <c r="E22" s="481">
        <v>38.305555555555557</v>
      </c>
      <c r="F22" s="482">
        <v>1650.6000000000001</v>
      </c>
      <c r="G22" s="481">
        <f t="shared" si="0"/>
        <v>8253</v>
      </c>
      <c r="H22" s="466">
        <f t="shared" si="1"/>
        <v>33010.75</v>
      </c>
      <c r="I22" s="468">
        <v>25</v>
      </c>
    </row>
    <row r="23" spans="1:25">
      <c r="A23" s="480" t="s">
        <v>844</v>
      </c>
      <c r="B23" s="463">
        <v>40543</v>
      </c>
      <c r="C23" s="464">
        <v>100760.81999999999</v>
      </c>
      <c r="D23" s="465">
        <v>12091.32</v>
      </c>
      <c r="E23" s="481">
        <v>38.305555555555557</v>
      </c>
      <c r="F23" s="482">
        <v>4030.44</v>
      </c>
      <c r="G23" s="481">
        <f t="shared" si="0"/>
        <v>16121.76</v>
      </c>
      <c r="H23" s="466">
        <f t="shared" si="1"/>
        <v>84639.06</v>
      </c>
      <c r="I23" s="468">
        <v>25</v>
      </c>
    </row>
    <row r="24" spans="1:25">
      <c r="A24" s="484" t="s">
        <v>907</v>
      </c>
      <c r="B24" s="463">
        <v>40633</v>
      </c>
      <c r="C24" s="464">
        <v>93641.85</v>
      </c>
      <c r="D24" s="465">
        <v>10300.619999999999</v>
      </c>
      <c r="E24" s="481">
        <v>38.305555555555557</v>
      </c>
      <c r="F24" s="482">
        <v>3745.68</v>
      </c>
      <c r="G24" s="481">
        <f t="shared" si="0"/>
        <v>14046.3</v>
      </c>
      <c r="H24" s="466">
        <f t="shared" si="1"/>
        <v>79595.55</v>
      </c>
      <c r="I24" s="468">
        <v>25</v>
      </c>
    </row>
    <row r="25" spans="1:25">
      <c r="A25" s="484" t="s">
        <v>908</v>
      </c>
      <c r="B25" s="463">
        <v>40908</v>
      </c>
      <c r="C25" s="464">
        <v>1638.69</v>
      </c>
      <c r="D25" s="465">
        <v>131.04</v>
      </c>
      <c r="E25" s="481">
        <v>38.305555555555557</v>
      </c>
      <c r="F25" s="482">
        <v>65.52</v>
      </c>
      <c r="G25" s="481">
        <f t="shared" si="0"/>
        <v>196.56</v>
      </c>
      <c r="H25" s="466">
        <f t="shared" si="1"/>
        <v>1442.13</v>
      </c>
      <c r="I25" s="468">
        <v>25</v>
      </c>
    </row>
    <row r="26" spans="1:25">
      <c r="A26" s="484" t="s">
        <v>920</v>
      </c>
      <c r="B26" s="463">
        <v>41274</v>
      </c>
      <c r="C26" s="464">
        <v>34043.06</v>
      </c>
      <c r="D26" s="465">
        <v>1361.76</v>
      </c>
      <c r="E26" s="481">
        <v>38.305555555555557</v>
      </c>
      <c r="F26" s="482">
        <v>1361.76</v>
      </c>
      <c r="G26" s="481">
        <f t="shared" si="0"/>
        <v>2723.52</v>
      </c>
      <c r="H26" s="466">
        <f t="shared" si="1"/>
        <v>31319.539999999997</v>
      </c>
      <c r="I26" s="468">
        <v>25</v>
      </c>
    </row>
    <row r="27" spans="1:25">
      <c r="A27" s="484" t="s">
        <v>921</v>
      </c>
      <c r="B27" s="463">
        <v>41274</v>
      </c>
      <c r="C27" s="485">
        <v>15265.470000000001</v>
      </c>
      <c r="D27" s="486">
        <v>610.55999999999995</v>
      </c>
      <c r="E27" s="481">
        <v>38.305555555555557</v>
      </c>
      <c r="F27" s="486">
        <v>610.56000000000006</v>
      </c>
      <c r="G27" s="481">
        <f t="shared" si="0"/>
        <v>1221.1199999999999</v>
      </c>
      <c r="H27" s="466">
        <f t="shared" si="1"/>
        <v>14044.350000000002</v>
      </c>
      <c r="I27" s="468">
        <v>25</v>
      </c>
    </row>
    <row r="28" spans="1:25" ht="13.5" thickBot="1">
      <c r="A28" s="484" t="s">
        <v>1000</v>
      </c>
      <c r="B28" s="463">
        <v>41639</v>
      </c>
      <c r="C28" s="487">
        <v>8625.83</v>
      </c>
      <c r="D28" s="488">
        <v>0</v>
      </c>
      <c r="E28" s="489"/>
      <c r="F28" s="488">
        <v>345</v>
      </c>
      <c r="G28" s="489">
        <f t="shared" si="0"/>
        <v>345</v>
      </c>
      <c r="H28" s="489">
        <f t="shared" si="1"/>
        <v>8280.83</v>
      </c>
      <c r="I28" s="468">
        <v>25</v>
      </c>
    </row>
    <row r="29" spans="1:25" ht="13.5" thickTop="1">
      <c r="A29" s="490" t="s">
        <v>363</v>
      </c>
      <c r="B29" s="463"/>
      <c r="C29" s="491">
        <f>SUM(C9:C28)</f>
        <v>705470.03999999992</v>
      </c>
      <c r="D29" s="491">
        <f t="shared" ref="D29:H29" si="2">SUM(D9:D28)</f>
        <v>337391.92624327657</v>
      </c>
      <c r="E29" s="491">
        <f t="shared" si="2"/>
        <v>1284.5102916666674</v>
      </c>
      <c r="F29" s="491">
        <f t="shared" si="2"/>
        <v>19355.759999999998</v>
      </c>
      <c r="G29" s="491">
        <f t="shared" si="2"/>
        <v>356747.68624327664</v>
      </c>
      <c r="H29" s="491">
        <f t="shared" si="2"/>
        <v>348722.35375672334</v>
      </c>
      <c r="I29" s="468"/>
    </row>
    <row r="30" spans="1:25">
      <c r="A30" s="490"/>
      <c r="B30" s="463"/>
      <c r="C30" s="491"/>
      <c r="D30" s="491"/>
      <c r="E30" s="491"/>
      <c r="F30" s="491" t="s">
        <v>364</v>
      </c>
      <c r="G30" s="491" t="s">
        <v>364</v>
      </c>
      <c r="H30" s="491" t="s">
        <v>364</v>
      </c>
      <c r="I30" s="468"/>
    </row>
    <row r="31" spans="1:25">
      <c r="A31" s="490" t="s">
        <v>365</v>
      </c>
      <c r="B31" s="483"/>
      <c r="C31" s="464"/>
      <c r="D31" s="465"/>
      <c r="E31" s="466"/>
      <c r="F31" s="467" t="s">
        <v>364</v>
      </c>
      <c r="G31" s="466"/>
      <c r="H31" s="466"/>
      <c r="I31" s="468"/>
    </row>
    <row r="32" spans="1:25" s="494" customFormat="1">
      <c r="A32" s="480" t="s">
        <v>375</v>
      </c>
      <c r="B32" s="483" t="s">
        <v>348</v>
      </c>
      <c r="C32" s="464">
        <v>834.75</v>
      </c>
      <c r="D32" s="492">
        <v>834.75</v>
      </c>
      <c r="E32" s="481">
        <v>2.3987068965517242</v>
      </c>
      <c r="F32" s="482">
        <v>0</v>
      </c>
      <c r="G32" s="481">
        <f t="shared" ref="G32:G63" si="3">+D32+F32</f>
        <v>834.75</v>
      </c>
      <c r="H32" s="466">
        <f t="shared" ref="H32:H63" si="4">+C32-G32</f>
        <v>0</v>
      </c>
      <c r="I32" s="468">
        <v>28.5</v>
      </c>
      <c r="J32" s="249"/>
      <c r="K32" s="249"/>
      <c r="L32" s="249"/>
      <c r="M32" s="493"/>
      <c r="N32" s="249"/>
      <c r="O32" s="249"/>
      <c r="P32" s="249"/>
      <c r="Q32" s="249"/>
      <c r="R32" s="249"/>
      <c r="S32" s="249"/>
      <c r="T32" s="249"/>
      <c r="U32" s="249"/>
      <c r="V32" s="249"/>
      <c r="W32" s="249"/>
      <c r="X32" s="249"/>
      <c r="Y32" s="249"/>
    </row>
    <row r="33" spans="1:25" s="494" customFormat="1">
      <c r="A33" s="480" t="s">
        <v>376</v>
      </c>
      <c r="B33" s="483" t="s">
        <v>348</v>
      </c>
      <c r="C33" s="464">
        <v>48730.64</v>
      </c>
      <c r="D33" s="492">
        <v>48730.64</v>
      </c>
      <c r="E33" s="481">
        <v>140.03057471264367</v>
      </c>
      <c r="F33" s="482">
        <v>0</v>
      </c>
      <c r="G33" s="481">
        <f t="shared" si="3"/>
        <v>48730.64</v>
      </c>
      <c r="H33" s="466">
        <f t="shared" si="4"/>
        <v>0</v>
      </c>
      <c r="I33" s="468">
        <v>28.5</v>
      </c>
      <c r="J33" s="249"/>
      <c r="K33" s="249"/>
      <c r="L33" s="249"/>
      <c r="M33" s="493"/>
      <c r="N33" s="249"/>
      <c r="O33" s="249"/>
      <c r="P33" s="249"/>
      <c r="Q33" s="249"/>
      <c r="R33" s="249"/>
      <c r="S33" s="249"/>
      <c r="T33" s="249"/>
      <c r="U33" s="249"/>
      <c r="V33" s="249"/>
      <c r="W33" s="249"/>
      <c r="X33" s="249"/>
      <c r="Y33" s="249"/>
    </row>
    <row r="34" spans="1:25" s="494" customFormat="1">
      <c r="A34" s="480" t="s">
        <v>373</v>
      </c>
      <c r="B34" s="483" t="s">
        <v>377</v>
      </c>
      <c r="C34" s="464">
        <v>36951.769999999997</v>
      </c>
      <c r="D34" s="492">
        <v>35677.420000000006</v>
      </c>
      <c r="E34" s="481">
        <v>106.18324712643677</v>
      </c>
      <c r="F34" s="482">
        <v>1274.3500000000001</v>
      </c>
      <c r="G34" s="481">
        <f t="shared" si="3"/>
        <v>36951.770000000004</v>
      </c>
      <c r="H34" s="466">
        <f t="shared" si="4"/>
        <v>0</v>
      </c>
      <c r="I34" s="468">
        <v>28.5</v>
      </c>
      <c r="J34" s="249"/>
      <c r="K34" s="249"/>
      <c r="L34" s="249"/>
      <c r="M34" s="493"/>
      <c r="N34" s="249"/>
      <c r="O34" s="249"/>
      <c r="P34" s="249"/>
      <c r="Q34" s="249"/>
      <c r="R34" s="249"/>
      <c r="S34" s="249"/>
      <c r="T34" s="249"/>
      <c r="U34" s="249"/>
      <c r="V34" s="249"/>
      <c r="W34" s="249"/>
      <c r="X34" s="249"/>
      <c r="Y34" s="249"/>
    </row>
    <row r="35" spans="1:25">
      <c r="A35" s="480" t="s">
        <v>373</v>
      </c>
      <c r="B35" s="483" t="s">
        <v>378</v>
      </c>
      <c r="C35" s="464">
        <v>32746.34</v>
      </c>
      <c r="D35" s="492">
        <v>30488.04</v>
      </c>
      <c r="E35" s="481">
        <v>94.098678160919533</v>
      </c>
      <c r="F35" s="482">
        <v>1129.1999999999998</v>
      </c>
      <c r="G35" s="481">
        <f t="shared" si="3"/>
        <v>31617.24</v>
      </c>
      <c r="H35" s="466">
        <f t="shared" si="4"/>
        <v>1129.0999999999985</v>
      </c>
      <c r="I35" s="468">
        <v>28.5</v>
      </c>
      <c r="M35" s="493"/>
    </row>
    <row r="36" spans="1:25">
      <c r="A36" s="480" t="s">
        <v>373</v>
      </c>
      <c r="B36" s="483" t="s">
        <v>379</v>
      </c>
      <c r="C36" s="464">
        <v>20167.59</v>
      </c>
      <c r="D36" s="492">
        <v>17385.72</v>
      </c>
      <c r="E36" s="481">
        <v>57.952844827586205</v>
      </c>
      <c r="F36" s="482">
        <v>695.40000000000009</v>
      </c>
      <c r="G36" s="481">
        <f t="shared" si="3"/>
        <v>18081.120000000003</v>
      </c>
      <c r="H36" s="466">
        <f t="shared" si="4"/>
        <v>2086.4699999999975</v>
      </c>
      <c r="I36" s="468">
        <v>28.5</v>
      </c>
      <c r="M36" s="493"/>
    </row>
    <row r="37" spans="1:25">
      <c r="A37" s="480" t="s">
        <v>369</v>
      </c>
      <c r="B37" s="483" t="s">
        <v>380</v>
      </c>
      <c r="C37" s="464">
        <v>4089.04</v>
      </c>
      <c r="D37" s="492">
        <v>3243.03</v>
      </c>
      <c r="E37" s="481">
        <v>11.750114942528734</v>
      </c>
      <c r="F37" s="482">
        <v>141</v>
      </c>
      <c r="G37" s="481">
        <f t="shared" si="3"/>
        <v>3384.03</v>
      </c>
      <c r="H37" s="466">
        <f t="shared" si="4"/>
        <v>705.00999999999976</v>
      </c>
      <c r="I37" s="468">
        <v>28.5</v>
      </c>
      <c r="M37" s="493"/>
    </row>
    <row r="38" spans="1:25">
      <c r="A38" s="480" t="s">
        <v>381</v>
      </c>
      <c r="B38" s="483" t="s">
        <v>382</v>
      </c>
      <c r="C38" s="464">
        <v>1772.16</v>
      </c>
      <c r="D38" s="492">
        <v>1233.98</v>
      </c>
      <c r="E38" s="481">
        <v>5.2742857142857149</v>
      </c>
      <c r="F38" s="482">
        <v>63.239999999999995</v>
      </c>
      <c r="G38" s="481">
        <f t="shared" si="3"/>
        <v>1297.22</v>
      </c>
      <c r="H38" s="466">
        <f t="shared" si="4"/>
        <v>474.94000000000005</v>
      </c>
      <c r="I38" s="468">
        <v>28</v>
      </c>
      <c r="M38" s="493"/>
    </row>
    <row r="39" spans="1:25">
      <c r="A39" s="480" t="s">
        <v>367</v>
      </c>
      <c r="B39" s="483" t="s">
        <v>383</v>
      </c>
      <c r="C39" s="464">
        <v>21171.86</v>
      </c>
      <c r="D39" s="492">
        <v>13992.96</v>
      </c>
      <c r="E39" s="481">
        <v>60.838678160919549</v>
      </c>
      <c r="F39" s="482">
        <v>730.08</v>
      </c>
      <c r="G39" s="481">
        <f t="shared" si="3"/>
        <v>14723.039999999999</v>
      </c>
      <c r="H39" s="466">
        <f t="shared" si="4"/>
        <v>6448.8200000000015</v>
      </c>
      <c r="I39" s="468">
        <v>28</v>
      </c>
      <c r="M39" s="493"/>
    </row>
    <row r="40" spans="1:25">
      <c r="A40" s="480" t="s">
        <v>381</v>
      </c>
      <c r="B40" s="483" t="s">
        <v>384</v>
      </c>
      <c r="C40" s="464">
        <v>34332.449999999997</v>
      </c>
      <c r="D40" s="492">
        <v>15735.900000000001</v>
      </c>
      <c r="E40" s="481">
        <v>71.525937499999998</v>
      </c>
      <c r="F40" s="482">
        <v>858.36</v>
      </c>
      <c r="G40" s="481">
        <f t="shared" si="3"/>
        <v>16594.260000000002</v>
      </c>
      <c r="H40" s="466">
        <f t="shared" si="4"/>
        <v>17738.189999999995</v>
      </c>
      <c r="I40" s="468">
        <v>28</v>
      </c>
      <c r="M40" s="493"/>
    </row>
    <row r="41" spans="1:25">
      <c r="A41" s="480" t="s">
        <v>381</v>
      </c>
      <c r="B41" s="483" t="s">
        <v>385</v>
      </c>
      <c r="C41" s="464">
        <v>72453.53</v>
      </c>
      <c r="D41" s="492">
        <v>31547.249999999996</v>
      </c>
      <c r="E41" s="481">
        <v>150.94485416666666</v>
      </c>
      <c r="F41" s="482">
        <v>1811.28</v>
      </c>
      <c r="G41" s="481">
        <f t="shared" si="3"/>
        <v>33358.53</v>
      </c>
      <c r="H41" s="466">
        <f t="shared" si="4"/>
        <v>39095</v>
      </c>
      <c r="I41" s="468">
        <v>40</v>
      </c>
      <c r="M41" s="493"/>
    </row>
    <row r="42" spans="1:25">
      <c r="A42" s="480" t="s">
        <v>367</v>
      </c>
      <c r="B42" s="483" t="s">
        <v>386</v>
      </c>
      <c r="C42" s="464">
        <v>17459.22</v>
      </c>
      <c r="D42" s="492">
        <v>7456.3799999999992</v>
      </c>
      <c r="E42" s="481">
        <v>36.373375000000003</v>
      </c>
      <c r="F42" s="482">
        <v>436.43999999999994</v>
      </c>
      <c r="G42" s="481">
        <f t="shared" si="3"/>
        <v>7892.8199999999988</v>
      </c>
      <c r="H42" s="466">
        <f t="shared" si="4"/>
        <v>9566.4000000000015</v>
      </c>
      <c r="I42" s="468">
        <v>40</v>
      </c>
      <c r="M42" s="493"/>
    </row>
    <row r="43" spans="1:25">
      <c r="A43" s="480" t="s">
        <v>381</v>
      </c>
      <c r="B43" s="483" t="s">
        <v>387</v>
      </c>
      <c r="C43" s="464">
        <v>94246.45</v>
      </c>
      <c r="D43" s="492">
        <v>38680.469999999994</v>
      </c>
      <c r="E43" s="481">
        <v>196.34677083333335</v>
      </c>
      <c r="F43" s="482">
        <v>2356.1999999999998</v>
      </c>
      <c r="G43" s="481">
        <f t="shared" si="3"/>
        <v>41036.669999999991</v>
      </c>
      <c r="H43" s="466">
        <f t="shared" si="4"/>
        <v>53209.780000000006</v>
      </c>
      <c r="I43" s="468">
        <v>40</v>
      </c>
      <c r="M43" s="493"/>
    </row>
    <row r="44" spans="1:25">
      <c r="A44" s="480" t="s">
        <v>367</v>
      </c>
      <c r="B44" s="483" t="s">
        <v>388</v>
      </c>
      <c r="C44" s="464">
        <v>29823.4</v>
      </c>
      <c r="D44" s="492">
        <v>12239.919999999998</v>
      </c>
      <c r="E44" s="481">
        <v>62.132083333333334</v>
      </c>
      <c r="F44" s="482">
        <v>745.56000000000006</v>
      </c>
      <c r="G44" s="481">
        <f t="shared" si="3"/>
        <v>12985.479999999998</v>
      </c>
      <c r="H44" s="466">
        <f t="shared" si="4"/>
        <v>16837.920000000006</v>
      </c>
      <c r="I44" s="468">
        <v>40</v>
      </c>
      <c r="M44" s="493"/>
    </row>
    <row r="45" spans="1:25">
      <c r="A45" s="480" t="s">
        <v>389</v>
      </c>
      <c r="B45" s="483" t="s">
        <v>390</v>
      </c>
      <c r="C45" s="464">
        <v>96493.440000000002</v>
      </c>
      <c r="D45" s="492">
        <v>37592.33</v>
      </c>
      <c r="E45" s="481">
        <v>201.02799999999999</v>
      </c>
      <c r="F45" s="482">
        <v>2412.36</v>
      </c>
      <c r="G45" s="481">
        <f t="shared" si="3"/>
        <v>40004.69</v>
      </c>
      <c r="H45" s="466">
        <f t="shared" si="4"/>
        <v>56488.75</v>
      </c>
      <c r="I45" s="468">
        <v>40</v>
      </c>
      <c r="M45" s="493"/>
    </row>
    <row r="46" spans="1:25" ht="14.25" customHeight="1">
      <c r="A46" s="480" t="s">
        <v>391</v>
      </c>
      <c r="B46" s="483" t="s">
        <v>392</v>
      </c>
      <c r="C46" s="464">
        <v>20730.810000000001</v>
      </c>
      <c r="D46" s="492">
        <v>8076.42</v>
      </c>
      <c r="E46" s="481">
        <v>43.189187500000003</v>
      </c>
      <c r="F46" s="482">
        <v>518.28</v>
      </c>
      <c r="G46" s="481">
        <f t="shared" si="3"/>
        <v>8594.7000000000007</v>
      </c>
      <c r="H46" s="466">
        <f t="shared" si="4"/>
        <v>12136.11</v>
      </c>
      <c r="I46" s="468">
        <v>40</v>
      </c>
      <c r="M46" s="493"/>
    </row>
    <row r="47" spans="1:25" ht="15" customHeight="1">
      <c r="A47" s="480" t="s">
        <v>393</v>
      </c>
      <c r="B47" s="483" t="s">
        <v>356</v>
      </c>
      <c r="C47" s="464">
        <v>27230.13</v>
      </c>
      <c r="D47" s="492">
        <v>12858.710000000001</v>
      </c>
      <c r="E47" s="481">
        <v>75.639250000000004</v>
      </c>
      <c r="F47" s="482">
        <v>907.68000000000006</v>
      </c>
      <c r="G47" s="481">
        <f t="shared" si="3"/>
        <v>13766.390000000001</v>
      </c>
      <c r="H47" s="466">
        <f t="shared" si="4"/>
        <v>13463.74</v>
      </c>
      <c r="I47" s="468">
        <v>30</v>
      </c>
      <c r="M47" s="493"/>
    </row>
    <row r="48" spans="1:25">
      <c r="A48" s="480" t="s">
        <v>367</v>
      </c>
      <c r="B48" s="483" t="s">
        <v>394</v>
      </c>
      <c r="C48" s="464">
        <v>8620.14</v>
      </c>
      <c r="D48" s="492">
        <v>6034.23</v>
      </c>
      <c r="E48" s="481">
        <v>35.917249999999996</v>
      </c>
      <c r="F48" s="482">
        <v>431.04</v>
      </c>
      <c r="G48" s="481">
        <f t="shared" si="3"/>
        <v>6465.2699999999995</v>
      </c>
      <c r="H48" s="466">
        <f t="shared" si="4"/>
        <v>2154.87</v>
      </c>
      <c r="I48" s="468">
        <v>25</v>
      </c>
      <c r="M48" s="493"/>
    </row>
    <row r="49" spans="1:13">
      <c r="A49" s="480" t="s">
        <v>395</v>
      </c>
      <c r="B49" s="483" t="s">
        <v>396</v>
      </c>
      <c r="C49" s="464">
        <v>19925.09</v>
      </c>
      <c r="D49" s="492">
        <v>9132.4600000000009</v>
      </c>
      <c r="E49" s="481">
        <v>55.347472222222223</v>
      </c>
      <c r="F49" s="482">
        <v>664.2</v>
      </c>
      <c r="G49" s="481">
        <f t="shared" si="3"/>
        <v>9796.6600000000017</v>
      </c>
      <c r="H49" s="466">
        <f t="shared" si="4"/>
        <v>10128.429999999998</v>
      </c>
      <c r="I49" s="468">
        <v>30</v>
      </c>
      <c r="M49" s="493"/>
    </row>
    <row r="50" spans="1:13">
      <c r="A50" s="480" t="s">
        <v>381</v>
      </c>
      <c r="B50" s="483" t="s">
        <v>397</v>
      </c>
      <c r="C50" s="464">
        <v>80563.429999999993</v>
      </c>
      <c r="D50" s="492">
        <v>26686.61</v>
      </c>
      <c r="E50" s="481">
        <v>167.84047916666665</v>
      </c>
      <c r="F50" s="482">
        <v>2014.08</v>
      </c>
      <c r="G50" s="481">
        <f t="shared" si="3"/>
        <v>28700.690000000002</v>
      </c>
      <c r="H50" s="466">
        <f t="shared" si="4"/>
        <v>51862.739999999991</v>
      </c>
      <c r="I50" s="468">
        <v>40</v>
      </c>
      <c r="M50" s="493"/>
    </row>
    <row r="51" spans="1:13">
      <c r="A51" s="480" t="s">
        <v>367</v>
      </c>
      <c r="B51" s="483" t="s">
        <v>397</v>
      </c>
      <c r="C51" s="464">
        <v>21018.74</v>
      </c>
      <c r="D51" s="492">
        <v>11139.819999999998</v>
      </c>
      <c r="E51" s="481">
        <v>70.062466666666666</v>
      </c>
      <c r="F51" s="482">
        <v>840.72</v>
      </c>
      <c r="G51" s="481">
        <f t="shared" si="3"/>
        <v>11980.539999999997</v>
      </c>
      <c r="H51" s="466">
        <f t="shared" si="4"/>
        <v>9038.2000000000044</v>
      </c>
      <c r="I51" s="468">
        <v>25</v>
      </c>
      <c r="M51" s="493"/>
    </row>
    <row r="52" spans="1:13">
      <c r="A52" s="480" t="s">
        <v>381</v>
      </c>
      <c r="B52" s="483" t="s">
        <v>358</v>
      </c>
      <c r="C52" s="464">
        <v>539038.28</v>
      </c>
      <c r="D52" s="492">
        <v>215615.37999999998</v>
      </c>
      <c r="E52" s="481">
        <v>1497.3285555555556</v>
      </c>
      <c r="F52" s="482">
        <v>17967.96</v>
      </c>
      <c r="G52" s="481">
        <f t="shared" si="3"/>
        <v>233583.33999999997</v>
      </c>
      <c r="H52" s="466">
        <f t="shared" si="4"/>
        <v>305454.94000000006</v>
      </c>
      <c r="I52" s="468">
        <v>30</v>
      </c>
      <c r="M52" s="493"/>
    </row>
    <row r="53" spans="1:13">
      <c r="A53" s="480" t="s">
        <v>367</v>
      </c>
      <c r="B53" s="483" t="s">
        <v>358</v>
      </c>
      <c r="C53" s="464">
        <v>23440.48</v>
      </c>
      <c r="D53" s="492">
        <v>11251.199999999999</v>
      </c>
      <c r="E53" s="481">
        <v>78.134933333333336</v>
      </c>
      <c r="F53" s="482">
        <v>937.56</v>
      </c>
      <c r="G53" s="481">
        <f t="shared" si="3"/>
        <v>12188.759999999998</v>
      </c>
      <c r="H53" s="466">
        <f t="shared" si="4"/>
        <v>11251.720000000001</v>
      </c>
      <c r="I53" s="468">
        <v>25</v>
      </c>
      <c r="M53" s="493"/>
    </row>
    <row r="54" spans="1:13">
      <c r="A54" s="480" t="s">
        <v>398</v>
      </c>
      <c r="B54" s="483" t="s">
        <v>360</v>
      </c>
      <c r="C54" s="464">
        <v>2083.14</v>
      </c>
      <c r="D54" s="492">
        <v>798.71</v>
      </c>
      <c r="E54" s="481">
        <v>5.7864999999999993</v>
      </c>
      <c r="F54" s="482">
        <v>69.48</v>
      </c>
      <c r="G54" s="481">
        <f t="shared" si="3"/>
        <v>868.19</v>
      </c>
      <c r="H54" s="466">
        <f t="shared" si="4"/>
        <v>1214.9499999999998</v>
      </c>
      <c r="I54" s="468">
        <v>30</v>
      </c>
      <c r="M54" s="493"/>
    </row>
    <row r="55" spans="1:13">
      <c r="A55" s="480" t="s">
        <v>399</v>
      </c>
      <c r="B55" s="483" t="s">
        <v>360</v>
      </c>
      <c r="C55" s="464">
        <v>27692.59</v>
      </c>
      <c r="D55" s="492">
        <v>10615.32</v>
      </c>
      <c r="E55" s="481">
        <v>76.923861111111108</v>
      </c>
      <c r="F55" s="482">
        <v>923.04</v>
      </c>
      <c r="G55" s="481">
        <f t="shared" si="3"/>
        <v>11538.36</v>
      </c>
      <c r="H55" s="466">
        <f t="shared" si="4"/>
        <v>16154.23</v>
      </c>
      <c r="I55" s="468">
        <v>30</v>
      </c>
      <c r="M55" s="493"/>
    </row>
    <row r="56" spans="1:13">
      <c r="A56" s="480" t="s">
        <v>367</v>
      </c>
      <c r="B56" s="483" t="s">
        <v>360</v>
      </c>
      <c r="C56" s="464">
        <v>48492.31</v>
      </c>
      <c r="D56" s="492">
        <v>22306.400000000001</v>
      </c>
      <c r="E56" s="481">
        <v>161.64103333333333</v>
      </c>
      <c r="F56" s="482">
        <v>1939.6799999999998</v>
      </c>
      <c r="G56" s="481">
        <f t="shared" si="3"/>
        <v>24246.080000000002</v>
      </c>
      <c r="H56" s="466">
        <f t="shared" si="4"/>
        <v>24246.229999999996</v>
      </c>
      <c r="I56" s="468">
        <v>25</v>
      </c>
      <c r="M56" s="493"/>
    </row>
    <row r="57" spans="1:13">
      <c r="A57" s="480" t="s">
        <v>400</v>
      </c>
      <c r="B57" s="483" t="s">
        <v>401</v>
      </c>
      <c r="C57" s="464">
        <v>105952.08</v>
      </c>
      <c r="D57" s="492">
        <v>37083.160000000003</v>
      </c>
      <c r="E57" s="481">
        <v>294.31133333333332</v>
      </c>
      <c r="F57" s="482">
        <v>3531.7200000000003</v>
      </c>
      <c r="G57" s="481">
        <f t="shared" si="3"/>
        <v>40614.880000000005</v>
      </c>
      <c r="H57" s="466">
        <f t="shared" si="4"/>
        <v>65337.2</v>
      </c>
      <c r="I57" s="468">
        <v>30</v>
      </c>
      <c r="M57" s="493"/>
    </row>
    <row r="58" spans="1:13">
      <c r="A58" s="480" t="s">
        <v>402</v>
      </c>
      <c r="B58" s="483" t="s">
        <v>401</v>
      </c>
      <c r="C58" s="464">
        <v>247466.47</v>
      </c>
      <c r="D58" s="492">
        <v>86613.41</v>
      </c>
      <c r="E58" s="481">
        <v>687.40686111111108</v>
      </c>
      <c r="F58" s="482">
        <v>8248.92</v>
      </c>
      <c r="G58" s="481">
        <f t="shared" si="3"/>
        <v>94862.33</v>
      </c>
      <c r="H58" s="466">
        <f t="shared" si="4"/>
        <v>152604.14000000001</v>
      </c>
      <c r="I58" s="468">
        <v>30</v>
      </c>
      <c r="M58" s="493"/>
    </row>
    <row r="59" spans="1:13">
      <c r="A59" s="480" t="s">
        <v>367</v>
      </c>
      <c r="B59" s="483" t="s">
        <v>401</v>
      </c>
      <c r="C59" s="464">
        <v>39355.379999999997</v>
      </c>
      <c r="D59" s="492">
        <v>16529.04</v>
      </c>
      <c r="E59" s="481">
        <v>131.18459999999999</v>
      </c>
      <c r="F59" s="482">
        <v>1574.16</v>
      </c>
      <c r="G59" s="481">
        <f t="shared" si="3"/>
        <v>18103.2</v>
      </c>
      <c r="H59" s="466">
        <f t="shared" si="4"/>
        <v>21252.179999999997</v>
      </c>
      <c r="I59" s="468">
        <v>25</v>
      </c>
      <c r="M59" s="493"/>
    </row>
    <row r="60" spans="1:13">
      <c r="A60" s="480" t="s">
        <v>403</v>
      </c>
      <c r="B60" s="483" t="s">
        <v>404</v>
      </c>
      <c r="C60" s="464">
        <v>8018.1</v>
      </c>
      <c r="D60" s="492">
        <v>2472.13</v>
      </c>
      <c r="E60" s="481">
        <v>22.272499999999997</v>
      </c>
      <c r="F60" s="482">
        <v>267.24</v>
      </c>
      <c r="G60" s="481">
        <f t="shared" si="3"/>
        <v>2739.37</v>
      </c>
      <c r="H60" s="466">
        <f t="shared" si="4"/>
        <v>5278.7300000000005</v>
      </c>
      <c r="I60" s="468">
        <v>30</v>
      </c>
      <c r="M60" s="493"/>
    </row>
    <row r="61" spans="1:13">
      <c r="A61" s="480" t="s">
        <v>405</v>
      </c>
      <c r="B61" s="483" t="s">
        <v>404</v>
      </c>
      <c r="C61" s="464">
        <v>16547.61</v>
      </c>
      <c r="D61" s="492">
        <v>5102.3900000000003</v>
      </c>
      <c r="E61" s="481">
        <v>45.965583333333335</v>
      </c>
      <c r="F61" s="482">
        <v>551.64</v>
      </c>
      <c r="G61" s="481">
        <f t="shared" si="3"/>
        <v>5654.0300000000007</v>
      </c>
      <c r="H61" s="466">
        <f t="shared" si="4"/>
        <v>10893.58</v>
      </c>
      <c r="I61" s="468">
        <v>30</v>
      </c>
      <c r="M61" s="493"/>
    </row>
    <row r="62" spans="1:13">
      <c r="A62" s="480" t="s">
        <v>406</v>
      </c>
      <c r="B62" s="483" t="s">
        <v>407</v>
      </c>
      <c r="C62" s="464">
        <v>17848.32</v>
      </c>
      <c r="D62" s="492">
        <v>5503.3</v>
      </c>
      <c r="E62" s="481">
        <v>49.578666666666663</v>
      </c>
      <c r="F62" s="482">
        <v>594.96</v>
      </c>
      <c r="G62" s="481">
        <f t="shared" si="3"/>
        <v>6098.26</v>
      </c>
      <c r="H62" s="466">
        <f t="shared" si="4"/>
        <v>11750.06</v>
      </c>
      <c r="I62" s="468">
        <v>30</v>
      </c>
      <c r="M62" s="493"/>
    </row>
    <row r="63" spans="1:13">
      <c r="A63" s="480" t="s">
        <v>408</v>
      </c>
      <c r="B63" s="483" t="s">
        <v>404</v>
      </c>
      <c r="C63" s="464">
        <v>114734.64</v>
      </c>
      <c r="D63" s="492">
        <v>35376.639999999999</v>
      </c>
      <c r="E63" s="481">
        <v>318.70733333333334</v>
      </c>
      <c r="F63" s="482">
        <v>3824.5199999999995</v>
      </c>
      <c r="G63" s="481">
        <f t="shared" si="3"/>
        <v>39201.159999999996</v>
      </c>
      <c r="H63" s="466">
        <f t="shared" si="4"/>
        <v>75533.48000000001</v>
      </c>
      <c r="I63" s="468">
        <v>30</v>
      </c>
      <c r="M63" s="493"/>
    </row>
    <row r="64" spans="1:13">
      <c r="A64" s="480" t="s">
        <v>409</v>
      </c>
      <c r="B64" s="483" t="s">
        <v>404</v>
      </c>
      <c r="C64" s="464">
        <v>13576.86</v>
      </c>
      <c r="D64" s="492">
        <v>4186.03</v>
      </c>
      <c r="E64" s="481">
        <v>37.713500000000003</v>
      </c>
      <c r="F64" s="482">
        <v>452.52</v>
      </c>
      <c r="G64" s="481">
        <f t="shared" ref="G64:G95" si="5">+D64+F64</f>
        <v>4638.5499999999993</v>
      </c>
      <c r="H64" s="466">
        <f t="shared" ref="H64:H95" si="6">+C64-G64</f>
        <v>8938.3100000000013</v>
      </c>
      <c r="I64" s="468">
        <v>30</v>
      </c>
      <c r="M64" s="493"/>
    </row>
    <row r="65" spans="1:13">
      <c r="A65" s="480" t="s">
        <v>410</v>
      </c>
      <c r="B65" s="483" t="s">
        <v>407</v>
      </c>
      <c r="C65" s="464">
        <v>33850.519999999997</v>
      </c>
      <c r="D65" s="492">
        <v>10437.280000000001</v>
      </c>
      <c r="E65" s="481">
        <v>94.029222222222231</v>
      </c>
      <c r="F65" s="482">
        <v>1128.3600000000001</v>
      </c>
      <c r="G65" s="481">
        <f t="shared" si="5"/>
        <v>11565.640000000001</v>
      </c>
      <c r="H65" s="466">
        <f t="shared" si="6"/>
        <v>22284.879999999997</v>
      </c>
      <c r="I65" s="468">
        <v>30</v>
      </c>
      <c r="M65" s="493"/>
    </row>
    <row r="66" spans="1:13">
      <c r="A66" s="480" t="s">
        <v>411</v>
      </c>
      <c r="B66" s="483" t="s">
        <v>404</v>
      </c>
      <c r="C66" s="464">
        <v>44160.9</v>
      </c>
      <c r="D66" s="492">
        <v>13616.32</v>
      </c>
      <c r="E66" s="481">
        <v>122.66916666666667</v>
      </c>
      <c r="F66" s="482">
        <v>1472.04</v>
      </c>
      <c r="G66" s="481">
        <f t="shared" si="5"/>
        <v>15088.36</v>
      </c>
      <c r="H66" s="466">
        <f t="shared" si="6"/>
        <v>29072.54</v>
      </c>
      <c r="I66" s="468">
        <v>30</v>
      </c>
      <c r="M66" s="493"/>
    </row>
    <row r="67" spans="1:13">
      <c r="A67" s="480" t="s">
        <v>412</v>
      </c>
      <c r="B67" s="483" t="s">
        <v>413</v>
      </c>
      <c r="C67" s="464">
        <v>34116.589999999997</v>
      </c>
      <c r="D67" s="492">
        <v>9287.3700000000008</v>
      </c>
      <c r="E67" s="481">
        <v>94.768305555555528</v>
      </c>
      <c r="F67" s="482">
        <v>1137.24</v>
      </c>
      <c r="G67" s="481">
        <f t="shared" si="5"/>
        <v>10424.61</v>
      </c>
      <c r="H67" s="466">
        <f t="shared" si="6"/>
        <v>23691.979999999996</v>
      </c>
      <c r="I67" s="468">
        <v>30</v>
      </c>
      <c r="M67" s="493"/>
    </row>
    <row r="68" spans="1:13">
      <c r="A68" s="480" t="s">
        <v>410</v>
      </c>
      <c r="B68" s="483" t="s">
        <v>413</v>
      </c>
      <c r="C68" s="464">
        <v>7994.18</v>
      </c>
      <c r="D68" s="492">
        <v>2176.38</v>
      </c>
      <c r="E68" s="481">
        <v>22.206055555555555</v>
      </c>
      <c r="F68" s="482">
        <v>266.52</v>
      </c>
      <c r="G68" s="481">
        <f t="shared" si="5"/>
        <v>2442.9</v>
      </c>
      <c r="H68" s="466">
        <f t="shared" si="6"/>
        <v>5551.2800000000007</v>
      </c>
      <c r="I68" s="468">
        <v>30</v>
      </c>
      <c r="M68" s="493"/>
    </row>
    <row r="69" spans="1:13">
      <c r="A69" s="480" t="s">
        <v>414</v>
      </c>
      <c r="B69" s="483" t="s">
        <v>415</v>
      </c>
      <c r="C69" s="464">
        <v>48071.91</v>
      </c>
      <c r="D69" s="492">
        <v>12952.560000000001</v>
      </c>
      <c r="E69" s="481">
        <v>133.53308333333334</v>
      </c>
      <c r="F69" s="482">
        <v>1602.3600000000001</v>
      </c>
      <c r="G69" s="481">
        <f t="shared" si="5"/>
        <v>14554.920000000002</v>
      </c>
      <c r="H69" s="466">
        <f t="shared" si="6"/>
        <v>33516.990000000005</v>
      </c>
      <c r="I69" s="468">
        <v>30</v>
      </c>
      <c r="M69" s="493"/>
    </row>
    <row r="70" spans="1:13">
      <c r="A70" s="480" t="s">
        <v>416</v>
      </c>
      <c r="B70" s="483" t="s">
        <v>415</v>
      </c>
      <c r="C70" s="464">
        <v>70230.509999999995</v>
      </c>
      <c r="D70" s="492">
        <v>18922.989999999998</v>
      </c>
      <c r="E70" s="481">
        <v>195.08474999999999</v>
      </c>
      <c r="F70" s="482">
        <v>2340.96</v>
      </c>
      <c r="G70" s="481">
        <f t="shared" si="5"/>
        <v>21263.949999999997</v>
      </c>
      <c r="H70" s="466">
        <f t="shared" si="6"/>
        <v>48966.559999999998</v>
      </c>
      <c r="I70" s="468">
        <v>30</v>
      </c>
      <c r="M70" s="493"/>
    </row>
    <row r="71" spans="1:13">
      <c r="A71" s="480" t="s">
        <v>405</v>
      </c>
      <c r="B71" s="483" t="s">
        <v>415</v>
      </c>
      <c r="C71" s="464">
        <v>20542.830000000002</v>
      </c>
      <c r="D71" s="492">
        <v>5534.9800000000005</v>
      </c>
      <c r="E71" s="481">
        <v>57.063416666666662</v>
      </c>
      <c r="F71" s="482">
        <v>684.72</v>
      </c>
      <c r="G71" s="481">
        <f t="shared" si="5"/>
        <v>6219.7000000000007</v>
      </c>
      <c r="H71" s="466">
        <f t="shared" si="6"/>
        <v>14323.130000000001</v>
      </c>
      <c r="I71" s="468">
        <v>30</v>
      </c>
      <c r="M71" s="493"/>
    </row>
    <row r="72" spans="1:13">
      <c r="A72" s="480" t="s">
        <v>417</v>
      </c>
      <c r="B72" s="483" t="s">
        <v>415</v>
      </c>
      <c r="C72" s="464">
        <v>84386.71</v>
      </c>
      <c r="D72" s="492">
        <v>22737.64</v>
      </c>
      <c r="E72" s="481">
        <v>234.4075277777778</v>
      </c>
      <c r="F72" s="482">
        <v>2812.92</v>
      </c>
      <c r="G72" s="481">
        <f t="shared" si="5"/>
        <v>25550.559999999998</v>
      </c>
      <c r="H72" s="466">
        <f t="shared" si="6"/>
        <v>58836.150000000009</v>
      </c>
      <c r="I72" s="468">
        <v>30</v>
      </c>
      <c r="M72" s="493"/>
    </row>
    <row r="73" spans="1:13">
      <c r="A73" s="480" t="s">
        <v>418</v>
      </c>
      <c r="B73" s="483" t="s">
        <v>415</v>
      </c>
      <c r="C73" s="485">
        <v>54323.86</v>
      </c>
      <c r="D73" s="492">
        <v>14637.29</v>
      </c>
      <c r="E73" s="481">
        <v>150.89961111111111</v>
      </c>
      <c r="F73" s="482">
        <v>1810.8000000000002</v>
      </c>
      <c r="G73" s="481">
        <f t="shared" si="5"/>
        <v>16448.09</v>
      </c>
      <c r="H73" s="466">
        <f t="shared" si="6"/>
        <v>37875.770000000004</v>
      </c>
      <c r="I73" s="468">
        <v>30</v>
      </c>
      <c r="M73" s="493"/>
    </row>
    <row r="74" spans="1:13">
      <c r="A74" s="480" t="s">
        <v>419</v>
      </c>
      <c r="B74" s="483">
        <v>38718</v>
      </c>
      <c r="C74" s="495">
        <v>29477.41</v>
      </c>
      <c r="D74" s="492">
        <v>11790.84</v>
      </c>
      <c r="E74" s="481">
        <v>122.82254166666667</v>
      </c>
      <c r="F74" s="482">
        <v>1473.84</v>
      </c>
      <c r="G74" s="481">
        <f t="shared" si="5"/>
        <v>13264.68</v>
      </c>
      <c r="H74" s="466">
        <f t="shared" si="6"/>
        <v>16212.73</v>
      </c>
      <c r="I74" s="468">
        <v>20</v>
      </c>
      <c r="M74" s="493"/>
    </row>
    <row r="75" spans="1:13">
      <c r="A75" s="480" t="s">
        <v>420</v>
      </c>
      <c r="B75" s="483">
        <v>38718</v>
      </c>
      <c r="C75" s="464">
        <v>6465.21</v>
      </c>
      <c r="D75" s="492">
        <v>2586.1600000000003</v>
      </c>
      <c r="E75" s="481">
        <v>60.620333333333328</v>
      </c>
      <c r="F75" s="482">
        <v>323.28000000000003</v>
      </c>
      <c r="G75" s="481">
        <f t="shared" si="5"/>
        <v>2909.4400000000005</v>
      </c>
      <c r="H75" s="466">
        <f t="shared" si="6"/>
        <v>3555.7699999999995</v>
      </c>
      <c r="I75" s="468">
        <v>20</v>
      </c>
      <c r="M75" s="493"/>
    </row>
    <row r="76" spans="1:13">
      <c r="A76" s="480" t="s">
        <v>421</v>
      </c>
      <c r="B76" s="483">
        <v>38718</v>
      </c>
      <c r="C76" s="464">
        <v>14548.88</v>
      </c>
      <c r="D76" s="492">
        <v>5819.54</v>
      </c>
      <c r="E76" s="481">
        <v>10.757733333333334</v>
      </c>
      <c r="F76" s="482">
        <v>727.43999999999994</v>
      </c>
      <c r="G76" s="481">
        <f t="shared" si="5"/>
        <v>6546.98</v>
      </c>
      <c r="H76" s="466">
        <f t="shared" si="6"/>
        <v>8001.9</v>
      </c>
      <c r="I76" s="468">
        <v>20</v>
      </c>
      <c r="M76" s="493"/>
    </row>
    <row r="77" spans="1:13">
      <c r="A77" s="480" t="s">
        <v>436</v>
      </c>
      <c r="B77" s="483">
        <v>38718</v>
      </c>
      <c r="C77" s="464">
        <v>3227.32</v>
      </c>
      <c r="D77" s="492">
        <v>1032.83</v>
      </c>
      <c r="E77" s="481">
        <v>26.938374999999997</v>
      </c>
      <c r="F77" s="482">
        <v>129.12</v>
      </c>
      <c r="G77" s="481">
        <f t="shared" si="5"/>
        <v>1161.9499999999998</v>
      </c>
      <c r="H77" s="466">
        <f t="shared" si="6"/>
        <v>2065.3700000000003</v>
      </c>
      <c r="I77" s="468">
        <v>20</v>
      </c>
      <c r="M77" s="493"/>
    </row>
    <row r="78" spans="1:13">
      <c r="A78" s="480" t="s">
        <v>422</v>
      </c>
      <c r="B78" s="483">
        <v>38777</v>
      </c>
      <c r="C78" s="464">
        <v>28101.83</v>
      </c>
      <c r="D78" s="492">
        <v>8805.130000000001</v>
      </c>
      <c r="E78" s="481">
        <v>93.67</v>
      </c>
      <c r="F78" s="482">
        <v>1124.04</v>
      </c>
      <c r="G78" s="481">
        <f t="shared" si="5"/>
        <v>9929.1700000000019</v>
      </c>
      <c r="H78" s="466">
        <f t="shared" si="6"/>
        <v>18172.66</v>
      </c>
      <c r="I78" s="468">
        <v>25</v>
      </c>
      <c r="M78" s="493"/>
    </row>
    <row r="79" spans="1:13">
      <c r="A79" s="480" t="s">
        <v>351</v>
      </c>
      <c r="B79" s="483">
        <v>38777</v>
      </c>
      <c r="C79" s="496">
        <v>24700.69</v>
      </c>
      <c r="D79" s="492">
        <v>7739.68</v>
      </c>
      <c r="E79" s="481">
        <v>82.34</v>
      </c>
      <c r="F79" s="482">
        <v>988.08</v>
      </c>
      <c r="G79" s="481">
        <f t="shared" si="5"/>
        <v>8727.76</v>
      </c>
      <c r="H79" s="466">
        <f t="shared" si="6"/>
        <v>15972.929999999998</v>
      </c>
      <c r="I79" s="468">
        <v>25</v>
      </c>
      <c r="M79" s="493"/>
    </row>
    <row r="80" spans="1:13">
      <c r="A80" s="480" t="s">
        <v>423</v>
      </c>
      <c r="B80" s="483">
        <v>38837</v>
      </c>
      <c r="C80" s="464">
        <v>5384.01</v>
      </c>
      <c r="D80" s="492">
        <v>4127.8499999999995</v>
      </c>
      <c r="E80" s="481">
        <v>44.87</v>
      </c>
      <c r="F80" s="482">
        <v>538.43999999999994</v>
      </c>
      <c r="G80" s="481">
        <f t="shared" si="5"/>
        <v>4666.2899999999991</v>
      </c>
      <c r="H80" s="466">
        <f t="shared" si="6"/>
        <v>717.72000000000116</v>
      </c>
      <c r="I80" s="468">
        <v>10</v>
      </c>
      <c r="M80" s="493"/>
    </row>
    <row r="81" spans="1:13">
      <c r="A81" s="480" t="s">
        <v>416</v>
      </c>
      <c r="B81" s="483">
        <v>38837</v>
      </c>
      <c r="C81" s="464">
        <v>2024.94</v>
      </c>
      <c r="D81" s="492">
        <v>1552.3200000000002</v>
      </c>
      <c r="E81" s="481">
        <v>16.87</v>
      </c>
      <c r="F81" s="482">
        <v>202.44</v>
      </c>
      <c r="G81" s="481">
        <f t="shared" si="5"/>
        <v>1754.7600000000002</v>
      </c>
      <c r="H81" s="466">
        <f t="shared" si="6"/>
        <v>270.17999999999984</v>
      </c>
      <c r="I81" s="468">
        <v>10</v>
      </c>
      <c r="M81" s="493"/>
    </row>
    <row r="82" spans="1:13">
      <c r="A82" s="480" t="s">
        <v>424</v>
      </c>
      <c r="B82" s="483">
        <v>38898</v>
      </c>
      <c r="C82" s="464">
        <v>6138.97</v>
      </c>
      <c r="D82" s="492">
        <v>1841.54</v>
      </c>
      <c r="E82" s="481">
        <v>20.46</v>
      </c>
      <c r="F82" s="482">
        <v>245.52</v>
      </c>
      <c r="G82" s="481">
        <f t="shared" si="5"/>
        <v>2087.06</v>
      </c>
      <c r="H82" s="466">
        <f t="shared" si="6"/>
        <v>4051.9100000000003</v>
      </c>
      <c r="I82" s="468">
        <v>25</v>
      </c>
      <c r="M82" s="493"/>
    </row>
    <row r="83" spans="1:13">
      <c r="A83" s="480" t="s">
        <v>425</v>
      </c>
      <c r="B83" s="483">
        <v>38898</v>
      </c>
      <c r="C83" s="464">
        <v>44986.97</v>
      </c>
      <c r="D83" s="481">
        <v>13496.26</v>
      </c>
      <c r="E83" s="481">
        <v>149.96</v>
      </c>
      <c r="F83" s="482">
        <v>1799.52</v>
      </c>
      <c r="G83" s="481">
        <f t="shared" si="5"/>
        <v>15295.78</v>
      </c>
      <c r="H83" s="466">
        <f t="shared" si="6"/>
        <v>29691.190000000002</v>
      </c>
      <c r="I83" s="468">
        <v>25</v>
      </c>
      <c r="M83" s="493"/>
    </row>
    <row r="84" spans="1:13">
      <c r="A84" s="480" t="s">
        <v>427</v>
      </c>
      <c r="B84" s="483">
        <v>38929</v>
      </c>
      <c r="C84" s="464">
        <v>2950</v>
      </c>
      <c r="D84" s="481">
        <v>1458.66</v>
      </c>
      <c r="E84" s="481">
        <v>16.39</v>
      </c>
      <c r="F84" s="482">
        <v>196.68</v>
      </c>
      <c r="G84" s="481">
        <f t="shared" si="5"/>
        <v>1655.3400000000001</v>
      </c>
      <c r="H84" s="466">
        <f t="shared" si="6"/>
        <v>1294.6599999999999</v>
      </c>
      <c r="I84" s="468">
        <v>15</v>
      </c>
      <c r="M84" s="493"/>
    </row>
    <row r="85" spans="1:13">
      <c r="A85" s="480" t="s">
        <v>428</v>
      </c>
      <c r="B85" s="483">
        <v>38960</v>
      </c>
      <c r="C85" s="464">
        <v>1688.23</v>
      </c>
      <c r="D85" s="481">
        <v>495.34</v>
      </c>
      <c r="E85" s="481">
        <v>5.63</v>
      </c>
      <c r="F85" s="482">
        <v>67.56</v>
      </c>
      <c r="G85" s="481">
        <f t="shared" si="5"/>
        <v>562.9</v>
      </c>
      <c r="H85" s="466">
        <f t="shared" si="6"/>
        <v>1125.33</v>
      </c>
      <c r="I85" s="468">
        <v>25</v>
      </c>
      <c r="M85" s="493"/>
    </row>
    <row r="86" spans="1:13">
      <c r="A86" s="480" t="s">
        <v>429</v>
      </c>
      <c r="B86" s="483">
        <v>38960</v>
      </c>
      <c r="C86" s="464">
        <v>1503.7</v>
      </c>
      <c r="D86" s="481">
        <v>440.98</v>
      </c>
      <c r="E86" s="481">
        <v>5.01</v>
      </c>
      <c r="F86" s="482">
        <v>60.12</v>
      </c>
      <c r="G86" s="481">
        <f t="shared" si="5"/>
        <v>501.1</v>
      </c>
      <c r="H86" s="466">
        <f t="shared" si="6"/>
        <v>1002.6</v>
      </c>
      <c r="I86" s="468">
        <v>25</v>
      </c>
      <c r="M86" s="493"/>
    </row>
    <row r="87" spans="1:13">
      <c r="A87" s="480" t="s">
        <v>430</v>
      </c>
      <c r="B87" s="483">
        <v>38990</v>
      </c>
      <c r="C87" s="464">
        <v>10974.77</v>
      </c>
      <c r="D87" s="481">
        <v>1988.98</v>
      </c>
      <c r="E87" s="481">
        <v>22.86</v>
      </c>
      <c r="F87" s="482">
        <v>274.32</v>
      </c>
      <c r="G87" s="481">
        <f t="shared" si="5"/>
        <v>2263.3000000000002</v>
      </c>
      <c r="H87" s="466">
        <f t="shared" si="6"/>
        <v>8711.4700000000012</v>
      </c>
      <c r="I87" s="468">
        <v>40</v>
      </c>
      <c r="M87" s="493"/>
    </row>
    <row r="88" spans="1:13">
      <c r="A88" s="480" t="s">
        <v>431</v>
      </c>
      <c r="B88" s="483">
        <v>38990</v>
      </c>
      <c r="C88" s="464">
        <v>47996.95</v>
      </c>
      <c r="D88" s="481">
        <v>8699.27</v>
      </c>
      <c r="E88" s="481">
        <v>99.99</v>
      </c>
      <c r="F88" s="482">
        <v>1199.8799999999999</v>
      </c>
      <c r="G88" s="481">
        <f t="shared" si="5"/>
        <v>9899.15</v>
      </c>
      <c r="H88" s="466">
        <f t="shared" si="6"/>
        <v>38097.799999999996</v>
      </c>
      <c r="I88" s="468">
        <v>40</v>
      </c>
      <c r="M88" s="493"/>
    </row>
    <row r="89" spans="1:13">
      <c r="A89" s="480" t="s">
        <v>432</v>
      </c>
      <c r="B89" s="483">
        <v>38990</v>
      </c>
      <c r="C89" s="464">
        <v>2213.27</v>
      </c>
      <c r="D89" s="481">
        <v>802.22</v>
      </c>
      <c r="E89" s="481">
        <v>9.2200000000000006</v>
      </c>
      <c r="F89" s="482">
        <v>110.64000000000001</v>
      </c>
      <c r="G89" s="481">
        <f t="shared" si="5"/>
        <v>912.86</v>
      </c>
      <c r="H89" s="466">
        <f t="shared" si="6"/>
        <v>1300.4099999999999</v>
      </c>
      <c r="I89" s="468">
        <v>20</v>
      </c>
      <c r="M89" s="493"/>
    </row>
    <row r="90" spans="1:13">
      <c r="A90" s="480" t="s">
        <v>410</v>
      </c>
      <c r="B90" s="483">
        <v>38990</v>
      </c>
      <c r="C90" s="464">
        <v>15384.46</v>
      </c>
      <c r="D90" s="481">
        <v>5576.78</v>
      </c>
      <c r="E90" s="481">
        <v>64.099999999999994</v>
      </c>
      <c r="F90" s="482">
        <v>769.19999999999993</v>
      </c>
      <c r="G90" s="481">
        <f t="shared" si="5"/>
        <v>6345.98</v>
      </c>
      <c r="H90" s="466">
        <f t="shared" si="6"/>
        <v>9038.48</v>
      </c>
      <c r="I90" s="468">
        <v>20</v>
      </c>
      <c r="M90" s="493"/>
    </row>
    <row r="91" spans="1:13">
      <c r="A91" s="480" t="s">
        <v>433</v>
      </c>
      <c r="B91" s="483">
        <v>39021</v>
      </c>
      <c r="C91" s="464">
        <v>3346.55</v>
      </c>
      <c r="D91" s="481">
        <v>1198.99</v>
      </c>
      <c r="E91" s="481">
        <v>13.94</v>
      </c>
      <c r="F91" s="482">
        <v>167.28</v>
      </c>
      <c r="G91" s="481">
        <f t="shared" si="5"/>
        <v>1366.27</v>
      </c>
      <c r="H91" s="466">
        <f t="shared" si="6"/>
        <v>1980.2800000000002</v>
      </c>
      <c r="I91" s="468">
        <v>20</v>
      </c>
      <c r="M91" s="493"/>
    </row>
    <row r="92" spans="1:13">
      <c r="A92" s="480" t="s">
        <v>434</v>
      </c>
      <c r="B92" s="483">
        <v>39021</v>
      </c>
      <c r="C92" s="464">
        <v>97115.88</v>
      </c>
      <c r="D92" s="481">
        <v>17399.7</v>
      </c>
      <c r="E92" s="481">
        <v>202.32</v>
      </c>
      <c r="F92" s="482">
        <v>2427.84</v>
      </c>
      <c r="G92" s="481">
        <f t="shared" si="5"/>
        <v>19827.54</v>
      </c>
      <c r="H92" s="466">
        <f t="shared" si="6"/>
        <v>77288.34</v>
      </c>
      <c r="I92" s="468">
        <v>40</v>
      </c>
      <c r="M92" s="493"/>
    </row>
    <row r="93" spans="1:13">
      <c r="A93" s="480" t="s">
        <v>435</v>
      </c>
      <c r="B93" s="483">
        <v>39021</v>
      </c>
      <c r="C93" s="464">
        <v>53371.91</v>
      </c>
      <c r="D93" s="481">
        <v>9562.4000000000015</v>
      </c>
      <c r="E93" s="481">
        <v>111.19</v>
      </c>
      <c r="F93" s="482">
        <v>1334.28</v>
      </c>
      <c r="G93" s="481">
        <f t="shared" si="5"/>
        <v>10896.680000000002</v>
      </c>
      <c r="H93" s="466">
        <f t="shared" si="6"/>
        <v>42475.23</v>
      </c>
      <c r="I93" s="468">
        <v>40</v>
      </c>
      <c r="M93" s="493"/>
    </row>
    <row r="94" spans="1:13">
      <c r="A94" s="480" t="s">
        <v>426</v>
      </c>
      <c r="B94" s="483">
        <v>39082</v>
      </c>
      <c r="C94" s="464">
        <v>9664.81</v>
      </c>
      <c r="D94" s="481">
        <v>3382.6400000000003</v>
      </c>
      <c r="E94" s="481">
        <v>32.22</v>
      </c>
      <c r="F94" s="482">
        <v>483.24</v>
      </c>
      <c r="G94" s="481">
        <f t="shared" si="5"/>
        <v>3865.88</v>
      </c>
      <c r="H94" s="466">
        <f t="shared" si="6"/>
        <v>5798.9299999999994</v>
      </c>
      <c r="I94" s="468">
        <v>25</v>
      </c>
      <c r="M94" s="493"/>
    </row>
    <row r="95" spans="1:13">
      <c r="A95" s="480" t="s">
        <v>21</v>
      </c>
      <c r="B95" s="483">
        <v>39447</v>
      </c>
      <c r="C95" s="464">
        <v>34062.629999999997</v>
      </c>
      <c r="D95" s="481">
        <v>5109.2900000000009</v>
      </c>
      <c r="E95" s="481"/>
      <c r="F95" s="482">
        <v>851.52</v>
      </c>
      <c r="G95" s="481">
        <f t="shared" si="5"/>
        <v>5960.8100000000013</v>
      </c>
      <c r="H95" s="466">
        <f t="shared" si="6"/>
        <v>28101.819999999996</v>
      </c>
      <c r="I95" s="468">
        <v>40</v>
      </c>
      <c r="M95" s="493"/>
    </row>
    <row r="96" spans="1:13">
      <c r="A96" s="480" t="s">
        <v>22</v>
      </c>
      <c r="B96" s="483">
        <v>39447</v>
      </c>
      <c r="C96" s="464">
        <v>12467.19</v>
      </c>
      <c r="D96" s="481">
        <v>1869.92</v>
      </c>
      <c r="E96" s="481"/>
      <c r="F96" s="482">
        <v>311.64</v>
      </c>
      <c r="G96" s="481">
        <f t="shared" ref="G96:G127" si="7">+D96+F96</f>
        <v>2181.56</v>
      </c>
      <c r="H96" s="466">
        <f t="shared" ref="H96:H127" si="8">+C96-G96</f>
        <v>10285.630000000001</v>
      </c>
      <c r="I96" s="468">
        <v>40</v>
      </c>
      <c r="M96" s="493"/>
    </row>
    <row r="97" spans="1:13">
      <c r="A97" s="480" t="s">
        <v>23</v>
      </c>
      <c r="B97" s="483">
        <v>39447</v>
      </c>
      <c r="C97" s="464">
        <v>45380.18</v>
      </c>
      <c r="D97" s="481">
        <v>6806.92</v>
      </c>
      <c r="E97" s="481"/>
      <c r="F97" s="482">
        <v>1134.48</v>
      </c>
      <c r="G97" s="481">
        <f t="shared" si="7"/>
        <v>7941.4</v>
      </c>
      <c r="H97" s="466">
        <f t="shared" si="8"/>
        <v>37438.78</v>
      </c>
      <c r="I97" s="468">
        <v>40</v>
      </c>
      <c r="M97" s="493"/>
    </row>
    <row r="98" spans="1:13">
      <c r="A98" s="480" t="s">
        <v>24</v>
      </c>
      <c r="B98" s="483">
        <v>39447</v>
      </c>
      <c r="C98" s="464">
        <v>11124.48</v>
      </c>
      <c r="D98" s="481">
        <v>1668.8600000000001</v>
      </c>
      <c r="E98" s="481"/>
      <c r="F98" s="482">
        <v>278.15999999999997</v>
      </c>
      <c r="G98" s="481">
        <f t="shared" si="7"/>
        <v>1947.02</v>
      </c>
      <c r="H98" s="466">
        <f t="shared" si="8"/>
        <v>9177.4599999999991</v>
      </c>
      <c r="I98" s="468">
        <v>40</v>
      </c>
      <c r="M98" s="493"/>
    </row>
    <row r="99" spans="1:13">
      <c r="A99" s="480" t="s">
        <v>25</v>
      </c>
      <c r="B99" s="483">
        <v>39447</v>
      </c>
      <c r="C99" s="464">
        <v>3152.63</v>
      </c>
      <c r="D99" s="481">
        <v>473</v>
      </c>
      <c r="E99" s="481"/>
      <c r="F99" s="482">
        <v>78.84</v>
      </c>
      <c r="G99" s="481">
        <f t="shared" si="7"/>
        <v>551.84</v>
      </c>
      <c r="H99" s="466">
        <f t="shared" si="8"/>
        <v>2600.79</v>
      </c>
      <c r="I99" s="468">
        <v>40</v>
      </c>
      <c r="M99" s="493"/>
    </row>
    <row r="100" spans="1:13">
      <c r="A100" s="480" t="s">
        <v>26</v>
      </c>
      <c r="B100" s="483">
        <v>39447</v>
      </c>
      <c r="C100" s="464">
        <v>11835.58</v>
      </c>
      <c r="D100" s="481">
        <v>1775.46</v>
      </c>
      <c r="E100" s="481"/>
      <c r="F100" s="482">
        <v>295.92</v>
      </c>
      <c r="G100" s="481">
        <f t="shared" si="7"/>
        <v>2071.38</v>
      </c>
      <c r="H100" s="466">
        <f t="shared" si="8"/>
        <v>9764.2000000000007</v>
      </c>
      <c r="I100" s="468">
        <v>40</v>
      </c>
      <c r="M100" s="493"/>
    </row>
    <row r="101" spans="1:13">
      <c r="A101" s="480" t="s">
        <v>27</v>
      </c>
      <c r="B101" s="483">
        <v>39447</v>
      </c>
      <c r="C101" s="464">
        <v>1520.96</v>
      </c>
      <c r="D101" s="481">
        <v>228.2</v>
      </c>
      <c r="E101" s="481"/>
      <c r="F101" s="482">
        <v>38.04</v>
      </c>
      <c r="G101" s="481">
        <f t="shared" si="7"/>
        <v>266.24</v>
      </c>
      <c r="H101" s="466">
        <f t="shared" si="8"/>
        <v>1254.72</v>
      </c>
      <c r="I101" s="468">
        <v>40</v>
      </c>
      <c r="M101" s="493"/>
    </row>
    <row r="102" spans="1:13">
      <c r="A102" s="480" t="s">
        <v>28</v>
      </c>
      <c r="B102" s="483">
        <v>39447</v>
      </c>
      <c r="C102" s="464">
        <v>9128.11</v>
      </c>
      <c r="D102" s="481">
        <v>1369.36</v>
      </c>
      <c r="E102" s="481"/>
      <c r="F102" s="482">
        <v>228.24</v>
      </c>
      <c r="G102" s="481">
        <f t="shared" si="7"/>
        <v>1597.6</v>
      </c>
      <c r="H102" s="466">
        <f t="shared" si="8"/>
        <v>7530.51</v>
      </c>
      <c r="I102" s="468">
        <v>40</v>
      </c>
      <c r="M102" s="493"/>
    </row>
    <row r="103" spans="1:13">
      <c r="A103" s="480" t="s">
        <v>29</v>
      </c>
      <c r="B103" s="483">
        <v>39447</v>
      </c>
      <c r="C103" s="464">
        <v>24686.09</v>
      </c>
      <c r="D103" s="481">
        <v>3702.94</v>
      </c>
      <c r="E103" s="481"/>
      <c r="F103" s="482">
        <v>617.16</v>
      </c>
      <c r="G103" s="481">
        <f t="shared" si="7"/>
        <v>4320.1000000000004</v>
      </c>
      <c r="H103" s="466">
        <f t="shared" si="8"/>
        <v>20365.989999999998</v>
      </c>
      <c r="I103" s="468">
        <v>40</v>
      </c>
      <c r="M103" s="493"/>
    </row>
    <row r="104" spans="1:13">
      <c r="A104" s="480" t="s">
        <v>30</v>
      </c>
      <c r="B104" s="483">
        <v>39447</v>
      </c>
      <c r="C104" s="464">
        <v>47887.18</v>
      </c>
      <c r="D104" s="481">
        <v>7182.84</v>
      </c>
      <c r="E104" s="481"/>
      <c r="F104" s="482">
        <v>1197.1200000000001</v>
      </c>
      <c r="G104" s="481">
        <f t="shared" si="7"/>
        <v>8379.9600000000009</v>
      </c>
      <c r="H104" s="466">
        <f t="shared" si="8"/>
        <v>39507.22</v>
      </c>
      <c r="I104" s="468">
        <v>40</v>
      </c>
      <c r="M104" s="493"/>
    </row>
    <row r="105" spans="1:13">
      <c r="A105" s="480" t="s">
        <v>31</v>
      </c>
      <c r="B105" s="483">
        <v>39447</v>
      </c>
      <c r="C105" s="464">
        <v>18018.04</v>
      </c>
      <c r="D105" s="481">
        <v>2702.82</v>
      </c>
      <c r="E105" s="481"/>
      <c r="F105" s="482">
        <v>450.48</v>
      </c>
      <c r="G105" s="481">
        <f t="shared" si="7"/>
        <v>3153.3</v>
      </c>
      <c r="H105" s="466">
        <f t="shared" si="8"/>
        <v>14864.740000000002</v>
      </c>
      <c r="I105" s="468">
        <v>40</v>
      </c>
      <c r="M105" s="493"/>
    </row>
    <row r="106" spans="1:13">
      <c r="A106" s="480" t="s">
        <v>32</v>
      </c>
      <c r="B106" s="483">
        <v>39447</v>
      </c>
      <c r="C106" s="464">
        <v>39067.25</v>
      </c>
      <c r="D106" s="481">
        <v>5860.08</v>
      </c>
      <c r="E106" s="481"/>
      <c r="F106" s="482">
        <v>976.68000000000006</v>
      </c>
      <c r="G106" s="481">
        <f t="shared" si="7"/>
        <v>6836.76</v>
      </c>
      <c r="H106" s="466">
        <f t="shared" si="8"/>
        <v>32230.489999999998</v>
      </c>
      <c r="I106" s="468">
        <v>40</v>
      </c>
      <c r="M106" s="493"/>
    </row>
    <row r="107" spans="1:13">
      <c r="A107" s="480" t="s">
        <v>794</v>
      </c>
      <c r="B107" s="483">
        <v>39721</v>
      </c>
      <c r="C107" s="464">
        <v>5779.43</v>
      </c>
      <c r="D107" s="481">
        <v>758.75</v>
      </c>
      <c r="E107" s="481"/>
      <c r="F107" s="482">
        <v>144.47999999999999</v>
      </c>
      <c r="G107" s="481">
        <f t="shared" si="7"/>
        <v>903.23</v>
      </c>
      <c r="H107" s="466">
        <f t="shared" si="8"/>
        <v>4876.2000000000007</v>
      </c>
      <c r="I107" s="468">
        <v>40</v>
      </c>
      <c r="M107" s="493"/>
    </row>
    <row r="108" spans="1:13">
      <c r="A108" s="480" t="s">
        <v>795</v>
      </c>
      <c r="B108" s="483">
        <v>39751</v>
      </c>
      <c r="C108" s="464">
        <v>5534.64</v>
      </c>
      <c r="D108" s="481">
        <v>715.1</v>
      </c>
      <c r="E108" s="481"/>
      <c r="F108" s="482">
        <v>138.35999999999999</v>
      </c>
      <c r="G108" s="481">
        <f t="shared" si="7"/>
        <v>853.46</v>
      </c>
      <c r="H108" s="466">
        <f t="shared" si="8"/>
        <v>4681.18</v>
      </c>
      <c r="I108" s="468">
        <v>40</v>
      </c>
      <c r="M108" s="493"/>
    </row>
    <row r="109" spans="1:13">
      <c r="A109" s="480" t="s">
        <v>796</v>
      </c>
      <c r="B109" s="483">
        <v>39813</v>
      </c>
      <c r="C109" s="464">
        <v>350239.56</v>
      </c>
      <c r="D109" s="481">
        <v>43780.15</v>
      </c>
      <c r="E109" s="481"/>
      <c r="F109" s="482">
        <v>8756.0399999999991</v>
      </c>
      <c r="G109" s="481">
        <f t="shared" si="7"/>
        <v>52536.19</v>
      </c>
      <c r="H109" s="466">
        <f t="shared" si="8"/>
        <v>297703.37</v>
      </c>
      <c r="I109" s="468">
        <v>40</v>
      </c>
      <c r="M109" s="493"/>
    </row>
    <row r="110" spans="1:13">
      <c r="A110" s="480" t="s">
        <v>797</v>
      </c>
      <c r="B110" s="483">
        <v>39813</v>
      </c>
      <c r="C110" s="464">
        <v>15475.44</v>
      </c>
      <c r="D110" s="481">
        <v>1934.4099999999999</v>
      </c>
      <c r="E110" s="481"/>
      <c r="F110" s="482">
        <v>386.88</v>
      </c>
      <c r="G110" s="481">
        <f t="shared" si="7"/>
        <v>2321.29</v>
      </c>
      <c r="H110" s="466">
        <f t="shared" si="8"/>
        <v>13154.150000000001</v>
      </c>
      <c r="I110" s="468">
        <v>40</v>
      </c>
      <c r="M110" s="493"/>
    </row>
    <row r="111" spans="1:13">
      <c r="A111" s="480" t="s">
        <v>381</v>
      </c>
      <c r="B111" s="483">
        <v>39813</v>
      </c>
      <c r="C111" s="464">
        <v>15549.15</v>
      </c>
      <c r="D111" s="481">
        <v>1943.45</v>
      </c>
      <c r="E111" s="481"/>
      <c r="F111" s="482">
        <v>388.68</v>
      </c>
      <c r="G111" s="481">
        <f t="shared" si="7"/>
        <v>2332.13</v>
      </c>
      <c r="H111" s="466">
        <f t="shared" si="8"/>
        <v>13217.02</v>
      </c>
      <c r="I111" s="468">
        <v>40</v>
      </c>
      <c r="M111" s="493"/>
    </row>
    <row r="112" spans="1:13">
      <c r="A112" s="480" t="s">
        <v>798</v>
      </c>
      <c r="B112" s="483">
        <v>39844</v>
      </c>
      <c r="C112" s="464">
        <v>5460.26</v>
      </c>
      <c r="D112" s="481">
        <v>669.28</v>
      </c>
      <c r="E112" s="481"/>
      <c r="F112" s="482">
        <v>136.56</v>
      </c>
      <c r="G112" s="481">
        <f t="shared" si="7"/>
        <v>805.83999999999992</v>
      </c>
      <c r="H112" s="466">
        <f t="shared" si="8"/>
        <v>4654.42</v>
      </c>
      <c r="I112" s="468">
        <v>40</v>
      </c>
      <c r="M112" s="493"/>
    </row>
    <row r="113" spans="1:13">
      <c r="A113" s="480" t="s">
        <v>799</v>
      </c>
      <c r="B113" s="483">
        <v>39904</v>
      </c>
      <c r="C113" s="464">
        <v>4907.3500000000004</v>
      </c>
      <c r="D113" s="481">
        <v>584.29</v>
      </c>
      <c r="E113" s="481"/>
      <c r="F113" s="482">
        <v>122.64000000000001</v>
      </c>
      <c r="G113" s="481">
        <f t="shared" si="7"/>
        <v>706.93</v>
      </c>
      <c r="H113" s="466">
        <f t="shared" si="8"/>
        <v>4200.42</v>
      </c>
      <c r="I113" s="468">
        <v>40</v>
      </c>
      <c r="M113" s="493"/>
    </row>
    <row r="114" spans="1:13">
      <c r="A114" s="480" t="s">
        <v>800</v>
      </c>
      <c r="B114" s="483">
        <v>39934</v>
      </c>
      <c r="C114" s="464">
        <v>4563.01</v>
      </c>
      <c r="D114" s="481">
        <v>530.77</v>
      </c>
      <c r="E114" s="481"/>
      <c r="F114" s="482">
        <v>114.12</v>
      </c>
      <c r="G114" s="481">
        <f t="shared" si="7"/>
        <v>644.89</v>
      </c>
      <c r="H114" s="466">
        <f t="shared" si="8"/>
        <v>3918.1200000000003</v>
      </c>
      <c r="I114" s="468">
        <v>40</v>
      </c>
      <c r="M114" s="493"/>
    </row>
    <row r="115" spans="1:13">
      <c r="A115" s="480" t="s">
        <v>426</v>
      </c>
      <c r="B115" s="483">
        <v>39995</v>
      </c>
      <c r="C115" s="464">
        <v>819.42</v>
      </c>
      <c r="D115" s="481">
        <v>92.339999999999989</v>
      </c>
      <c r="E115" s="481"/>
      <c r="F115" s="482">
        <v>20.52</v>
      </c>
      <c r="G115" s="481">
        <f t="shared" si="7"/>
        <v>112.85999999999999</v>
      </c>
      <c r="H115" s="466">
        <f t="shared" si="8"/>
        <v>706.56</v>
      </c>
      <c r="I115" s="468">
        <v>40</v>
      </c>
      <c r="M115" s="493"/>
    </row>
    <row r="116" spans="1:13">
      <c r="A116" s="480" t="s">
        <v>801</v>
      </c>
      <c r="B116" s="483">
        <v>40057</v>
      </c>
      <c r="C116" s="464">
        <v>5824.69</v>
      </c>
      <c r="D116" s="481">
        <v>633.04999999999995</v>
      </c>
      <c r="E116" s="481"/>
      <c r="F116" s="482">
        <v>145.56</v>
      </c>
      <c r="G116" s="481">
        <f t="shared" si="7"/>
        <v>778.6099999999999</v>
      </c>
      <c r="H116" s="466">
        <f t="shared" si="8"/>
        <v>5046.08</v>
      </c>
      <c r="I116" s="468">
        <v>40</v>
      </c>
      <c r="M116" s="493"/>
    </row>
    <row r="117" spans="1:13">
      <c r="A117" s="480" t="s">
        <v>802</v>
      </c>
      <c r="B117" s="483">
        <v>40087</v>
      </c>
      <c r="C117" s="464">
        <v>645</v>
      </c>
      <c r="D117" s="481">
        <v>68.34</v>
      </c>
      <c r="E117" s="481"/>
      <c r="F117" s="482">
        <v>16.080000000000002</v>
      </c>
      <c r="G117" s="481">
        <f t="shared" si="7"/>
        <v>84.42</v>
      </c>
      <c r="H117" s="466">
        <f t="shared" si="8"/>
        <v>560.58000000000004</v>
      </c>
      <c r="I117" s="468">
        <v>40</v>
      </c>
      <c r="K117" s="493"/>
      <c r="M117" s="493"/>
    </row>
    <row r="118" spans="1:13">
      <c r="A118" s="480" t="s">
        <v>803</v>
      </c>
      <c r="B118" s="483">
        <v>40178</v>
      </c>
      <c r="C118" s="464">
        <v>203610.86</v>
      </c>
      <c r="D118" s="481">
        <v>20361.12</v>
      </c>
      <c r="E118" s="481"/>
      <c r="F118" s="482">
        <v>5090.28</v>
      </c>
      <c r="G118" s="481">
        <f t="shared" si="7"/>
        <v>25451.399999999998</v>
      </c>
      <c r="H118" s="466">
        <f t="shared" si="8"/>
        <v>178159.46</v>
      </c>
      <c r="I118" s="468">
        <v>40</v>
      </c>
      <c r="M118" s="493"/>
    </row>
    <row r="119" spans="1:13">
      <c r="A119" s="480" t="s">
        <v>804</v>
      </c>
      <c r="B119" s="483">
        <v>40178</v>
      </c>
      <c r="C119" s="464">
        <v>11200.439999999999</v>
      </c>
      <c r="D119" s="481">
        <v>1119.8399999999999</v>
      </c>
      <c r="E119" s="481"/>
      <c r="F119" s="482">
        <v>279.95999999999998</v>
      </c>
      <c r="G119" s="481">
        <f t="shared" si="7"/>
        <v>1399.8</v>
      </c>
      <c r="H119" s="466">
        <f t="shared" si="8"/>
        <v>9800.64</v>
      </c>
      <c r="I119" s="468">
        <v>40</v>
      </c>
      <c r="M119" s="493"/>
    </row>
    <row r="120" spans="1:13">
      <c r="A120" s="480" t="s">
        <v>805</v>
      </c>
      <c r="B120" s="483">
        <v>40178</v>
      </c>
      <c r="C120" s="464">
        <v>136692.76</v>
      </c>
      <c r="D120" s="481">
        <v>13669.439999999999</v>
      </c>
      <c r="E120" s="481"/>
      <c r="F120" s="482">
        <v>3417.3599999999997</v>
      </c>
      <c r="G120" s="481">
        <f t="shared" si="7"/>
        <v>17086.8</v>
      </c>
      <c r="H120" s="466">
        <f t="shared" si="8"/>
        <v>119605.96</v>
      </c>
      <c r="I120" s="468">
        <v>40</v>
      </c>
      <c r="M120" s="493"/>
    </row>
    <row r="121" spans="1:13">
      <c r="A121" s="480" t="s">
        <v>806</v>
      </c>
      <c r="B121" s="483">
        <v>40178</v>
      </c>
      <c r="C121" s="464">
        <v>32237.09</v>
      </c>
      <c r="D121" s="481">
        <v>3223.6800000000003</v>
      </c>
      <c r="E121" s="481"/>
      <c r="F121" s="482">
        <v>805.92</v>
      </c>
      <c r="G121" s="481">
        <f t="shared" si="7"/>
        <v>4029.6000000000004</v>
      </c>
      <c r="H121" s="466">
        <f t="shared" si="8"/>
        <v>28207.489999999998</v>
      </c>
      <c r="I121" s="468">
        <v>40</v>
      </c>
      <c r="M121" s="493"/>
    </row>
    <row r="122" spans="1:13">
      <c r="A122" s="480" t="s">
        <v>32</v>
      </c>
      <c r="B122" s="483">
        <v>40178</v>
      </c>
      <c r="C122" s="464">
        <v>5773.68</v>
      </c>
      <c r="D122" s="481">
        <v>577.43999999999994</v>
      </c>
      <c r="E122" s="481"/>
      <c r="F122" s="482">
        <v>144.35999999999999</v>
      </c>
      <c r="G122" s="481">
        <f t="shared" si="7"/>
        <v>721.8</v>
      </c>
      <c r="H122" s="466">
        <f t="shared" si="8"/>
        <v>5051.88</v>
      </c>
      <c r="I122" s="468">
        <v>40</v>
      </c>
      <c r="M122" s="493"/>
    </row>
    <row r="123" spans="1:13">
      <c r="A123" s="480" t="s">
        <v>807</v>
      </c>
      <c r="B123" s="483">
        <v>40178</v>
      </c>
      <c r="C123" s="464">
        <v>1281.02</v>
      </c>
      <c r="D123" s="481">
        <v>128.16</v>
      </c>
      <c r="E123" s="481"/>
      <c r="F123" s="482">
        <v>32.04</v>
      </c>
      <c r="G123" s="481">
        <f t="shared" si="7"/>
        <v>160.19999999999999</v>
      </c>
      <c r="H123" s="466">
        <f t="shared" si="8"/>
        <v>1120.82</v>
      </c>
      <c r="I123" s="468">
        <v>40</v>
      </c>
      <c r="M123" s="493"/>
    </row>
    <row r="124" spans="1:13">
      <c r="A124" s="480" t="s">
        <v>367</v>
      </c>
      <c r="B124" s="483">
        <v>40452</v>
      </c>
      <c r="C124" s="464">
        <v>4391.78</v>
      </c>
      <c r="D124" s="481">
        <v>356.85</v>
      </c>
      <c r="E124" s="481"/>
      <c r="F124" s="482">
        <v>109.80000000000001</v>
      </c>
      <c r="G124" s="481">
        <f t="shared" si="7"/>
        <v>466.65000000000003</v>
      </c>
      <c r="H124" s="466">
        <f t="shared" si="8"/>
        <v>3925.1299999999997</v>
      </c>
      <c r="I124" s="468">
        <v>40</v>
      </c>
      <c r="M124" s="493"/>
    </row>
    <row r="125" spans="1:13">
      <c r="A125" s="480" t="s">
        <v>805</v>
      </c>
      <c r="B125" s="483">
        <v>40512</v>
      </c>
      <c r="C125" s="464">
        <v>81959.040000000008</v>
      </c>
      <c r="D125" s="481">
        <v>6317.75</v>
      </c>
      <c r="E125" s="481"/>
      <c r="F125" s="482">
        <v>2049</v>
      </c>
      <c r="G125" s="481">
        <f t="shared" si="7"/>
        <v>8366.75</v>
      </c>
      <c r="H125" s="466">
        <f t="shared" si="8"/>
        <v>73592.290000000008</v>
      </c>
      <c r="I125" s="468">
        <v>40</v>
      </c>
      <c r="M125" s="493"/>
    </row>
    <row r="126" spans="1:13">
      <c r="A126" s="480" t="s">
        <v>845</v>
      </c>
      <c r="B126" s="483">
        <v>40512</v>
      </c>
      <c r="C126" s="464">
        <v>13797.67</v>
      </c>
      <c r="D126" s="481">
        <v>1063.75</v>
      </c>
      <c r="E126" s="481"/>
      <c r="F126" s="482">
        <v>345</v>
      </c>
      <c r="G126" s="481">
        <f t="shared" si="7"/>
        <v>1408.75</v>
      </c>
      <c r="H126" s="466">
        <f t="shared" si="8"/>
        <v>12388.92</v>
      </c>
      <c r="I126" s="468">
        <v>40</v>
      </c>
      <c r="M126" s="493"/>
    </row>
    <row r="127" spans="1:13">
      <c r="A127" s="480" t="s">
        <v>846</v>
      </c>
      <c r="B127" s="483">
        <v>40543</v>
      </c>
      <c r="C127" s="464">
        <v>139426.29</v>
      </c>
      <c r="D127" s="481">
        <v>10456.92</v>
      </c>
      <c r="E127" s="481"/>
      <c r="F127" s="482">
        <v>3485.6400000000003</v>
      </c>
      <c r="G127" s="481">
        <f t="shared" si="7"/>
        <v>13942.560000000001</v>
      </c>
      <c r="H127" s="466">
        <f t="shared" si="8"/>
        <v>125483.73000000001</v>
      </c>
      <c r="I127" s="468">
        <v>40</v>
      </c>
      <c r="M127" s="493"/>
    </row>
    <row r="128" spans="1:13">
      <c r="A128" s="480" t="s">
        <v>847</v>
      </c>
      <c r="B128" s="483">
        <v>40543</v>
      </c>
      <c r="C128" s="464">
        <v>20711.940000000002</v>
      </c>
      <c r="D128" s="481">
        <v>1553.3999999999999</v>
      </c>
      <c r="E128" s="481"/>
      <c r="F128" s="482">
        <v>517.79999999999995</v>
      </c>
      <c r="G128" s="481">
        <f t="shared" ref="G128:G147" si="9">+D128+F128</f>
        <v>2071.1999999999998</v>
      </c>
      <c r="H128" s="466">
        <f t="shared" ref="H128:H147" si="10">+C128-G128</f>
        <v>18640.740000000002</v>
      </c>
      <c r="I128" s="468">
        <v>40</v>
      </c>
      <c r="M128" s="493"/>
    </row>
    <row r="129" spans="1:13">
      <c r="A129" s="480" t="s">
        <v>848</v>
      </c>
      <c r="B129" s="483">
        <v>40543</v>
      </c>
      <c r="C129" s="464">
        <v>2671.4</v>
      </c>
      <c r="D129" s="481">
        <v>200.52</v>
      </c>
      <c r="E129" s="481"/>
      <c r="F129" s="482">
        <v>66.84</v>
      </c>
      <c r="G129" s="481">
        <f t="shared" si="9"/>
        <v>267.36</v>
      </c>
      <c r="H129" s="466">
        <f t="shared" si="10"/>
        <v>2404.04</v>
      </c>
      <c r="I129" s="468">
        <v>40</v>
      </c>
      <c r="K129" s="493"/>
      <c r="L129" s="493"/>
      <c r="M129" s="493"/>
    </row>
    <row r="130" spans="1:13">
      <c r="A130" s="480" t="s">
        <v>849</v>
      </c>
      <c r="B130" s="483">
        <v>40543</v>
      </c>
      <c r="C130" s="464">
        <v>18082.62</v>
      </c>
      <c r="D130" s="481">
        <v>1356.1200000000001</v>
      </c>
      <c r="E130" s="481"/>
      <c r="F130" s="482">
        <v>452.04</v>
      </c>
      <c r="G130" s="481">
        <f t="shared" si="9"/>
        <v>1808.16</v>
      </c>
      <c r="H130" s="466">
        <f t="shared" si="10"/>
        <v>16274.46</v>
      </c>
      <c r="I130" s="468">
        <v>40</v>
      </c>
      <c r="K130" s="493"/>
      <c r="L130" s="493"/>
      <c r="M130" s="493"/>
    </row>
    <row r="131" spans="1:13">
      <c r="A131" s="480" t="s">
        <v>850</v>
      </c>
      <c r="B131" s="483">
        <v>40543</v>
      </c>
      <c r="C131" s="464">
        <v>8082.9599999999991</v>
      </c>
      <c r="D131" s="481">
        <v>606.24</v>
      </c>
      <c r="E131" s="481"/>
      <c r="F131" s="482">
        <v>202.07999999999998</v>
      </c>
      <c r="G131" s="481">
        <f t="shared" si="9"/>
        <v>808.31999999999994</v>
      </c>
      <c r="H131" s="466">
        <f t="shared" si="10"/>
        <v>7274.6399999999994</v>
      </c>
      <c r="I131" s="468">
        <v>40</v>
      </c>
      <c r="K131" s="493"/>
      <c r="L131" s="493"/>
      <c r="M131" s="493"/>
    </row>
    <row r="132" spans="1:13">
      <c r="A132" s="480" t="s">
        <v>803</v>
      </c>
      <c r="B132" s="483">
        <v>40543</v>
      </c>
      <c r="C132" s="464">
        <v>37817.440000000002</v>
      </c>
      <c r="D132" s="481">
        <v>2836.44</v>
      </c>
      <c r="E132" s="481"/>
      <c r="F132" s="482">
        <v>945.48</v>
      </c>
      <c r="G132" s="481">
        <f t="shared" si="9"/>
        <v>3781.92</v>
      </c>
      <c r="H132" s="466">
        <f t="shared" si="10"/>
        <v>34035.520000000004</v>
      </c>
      <c r="I132" s="468">
        <v>40</v>
      </c>
      <c r="K132" s="493"/>
      <c r="L132" s="493"/>
      <c r="M132" s="493"/>
    </row>
    <row r="133" spans="1:13">
      <c r="A133" s="480" t="s">
        <v>803</v>
      </c>
      <c r="B133" s="483">
        <v>40908</v>
      </c>
      <c r="C133" s="464">
        <v>53765.69</v>
      </c>
      <c r="D133" s="481">
        <v>2688.24</v>
      </c>
      <c r="E133" s="481"/>
      <c r="F133" s="482">
        <v>1344.1200000000001</v>
      </c>
      <c r="G133" s="481">
        <f t="shared" si="9"/>
        <v>4032.3599999999997</v>
      </c>
      <c r="H133" s="466">
        <f t="shared" si="10"/>
        <v>49733.33</v>
      </c>
      <c r="I133" s="468">
        <v>40</v>
      </c>
      <c r="K133" s="493"/>
      <c r="L133" s="493"/>
      <c r="M133" s="493"/>
    </row>
    <row r="134" spans="1:13">
      <c r="A134" s="480" t="s">
        <v>909</v>
      </c>
      <c r="B134" s="483">
        <v>40908</v>
      </c>
      <c r="C134" s="464">
        <v>34014.31</v>
      </c>
      <c r="D134" s="481">
        <v>1700.6399999999999</v>
      </c>
      <c r="E134" s="481"/>
      <c r="F134" s="482">
        <v>850.31999999999994</v>
      </c>
      <c r="G134" s="481">
        <f t="shared" si="9"/>
        <v>2550.96</v>
      </c>
      <c r="H134" s="466">
        <f t="shared" si="10"/>
        <v>31463.35</v>
      </c>
      <c r="I134" s="468">
        <v>40</v>
      </c>
      <c r="K134" s="493"/>
      <c r="L134" s="493"/>
      <c r="M134" s="493"/>
    </row>
    <row r="135" spans="1:13">
      <c r="A135" s="480" t="s">
        <v>910</v>
      </c>
      <c r="B135" s="483">
        <v>40908</v>
      </c>
      <c r="C135" s="464">
        <v>98087.85</v>
      </c>
      <c r="D135" s="481">
        <v>4904.3999999999996</v>
      </c>
      <c r="E135" s="481"/>
      <c r="F135" s="482">
        <v>2452.1999999999998</v>
      </c>
      <c r="G135" s="481">
        <f t="shared" si="9"/>
        <v>7356.5999999999995</v>
      </c>
      <c r="H135" s="466">
        <f t="shared" si="10"/>
        <v>90731.25</v>
      </c>
      <c r="I135" s="468">
        <v>40</v>
      </c>
      <c r="K135" s="493"/>
      <c r="L135" s="493"/>
      <c r="M135" s="493"/>
    </row>
    <row r="136" spans="1:13">
      <c r="A136" s="480" t="s">
        <v>911</v>
      </c>
      <c r="B136" s="483">
        <v>40908</v>
      </c>
      <c r="C136" s="464">
        <v>7492.33</v>
      </c>
      <c r="D136" s="481">
        <v>374.64</v>
      </c>
      <c r="E136" s="481"/>
      <c r="F136" s="482">
        <v>187.32</v>
      </c>
      <c r="G136" s="481">
        <f t="shared" si="9"/>
        <v>561.96</v>
      </c>
      <c r="H136" s="466">
        <f t="shared" si="10"/>
        <v>6930.37</v>
      </c>
      <c r="I136" s="468">
        <v>40</v>
      </c>
      <c r="K136" s="493"/>
      <c r="L136" s="493"/>
      <c r="M136" s="493"/>
    </row>
    <row r="137" spans="1:13">
      <c r="A137" s="480" t="s">
        <v>846</v>
      </c>
      <c r="B137" s="483">
        <v>40908</v>
      </c>
      <c r="C137" s="464">
        <v>6661.31</v>
      </c>
      <c r="D137" s="481">
        <v>333.12</v>
      </c>
      <c r="E137" s="481"/>
      <c r="F137" s="482">
        <v>166.56</v>
      </c>
      <c r="G137" s="481">
        <f t="shared" si="9"/>
        <v>499.68</v>
      </c>
      <c r="H137" s="466">
        <f t="shared" si="10"/>
        <v>6161.63</v>
      </c>
      <c r="I137" s="468">
        <v>40</v>
      </c>
      <c r="K137" s="493"/>
      <c r="L137" s="493"/>
      <c r="M137" s="493"/>
    </row>
    <row r="138" spans="1:13">
      <c r="A138" s="480" t="s">
        <v>912</v>
      </c>
      <c r="B138" s="483">
        <v>40908</v>
      </c>
      <c r="C138" s="464">
        <v>54865.53</v>
      </c>
      <c r="D138" s="481">
        <v>2743.2</v>
      </c>
      <c r="E138" s="481"/>
      <c r="F138" s="482">
        <v>1371.6</v>
      </c>
      <c r="G138" s="481">
        <f t="shared" si="9"/>
        <v>4114.7999999999993</v>
      </c>
      <c r="H138" s="466">
        <f t="shared" si="10"/>
        <v>50750.729999999996</v>
      </c>
      <c r="I138" s="468">
        <v>40</v>
      </c>
      <c r="K138" s="493"/>
      <c r="L138" s="493"/>
      <c r="M138" s="493"/>
    </row>
    <row r="139" spans="1:13">
      <c r="A139" s="480" t="s">
        <v>922</v>
      </c>
      <c r="B139" s="483">
        <v>41274</v>
      </c>
      <c r="C139" s="464">
        <v>742.78</v>
      </c>
      <c r="D139" s="497">
        <v>18.600000000000001</v>
      </c>
      <c r="E139" s="481"/>
      <c r="F139" s="482">
        <v>18.600000000000001</v>
      </c>
      <c r="G139" s="481">
        <f t="shared" si="9"/>
        <v>37.200000000000003</v>
      </c>
      <c r="H139" s="466">
        <f t="shared" si="10"/>
        <v>705.57999999999993</v>
      </c>
      <c r="I139" s="468">
        <v>40</v>
      </c>
      <c r="K139" s="493"/>
      <c r="L139" s="493"/>
      <c r="M139" s="493"/>
    </row>
    <row r="140" spans="1:13">
      <c r="A140" s="480" t="s">
        <v>923</v>
      </c>
      <c r="B140" s="483">
        <v>41274</v>
      </c>
      <c r="C140" s="464">
        <v>70080.259999999995</v>
      </c>
      <c r="D140" s="497">
        <v>1752</v>
      </c>
      <c r="E140" s="481"/>
      <c r="F140" s="482">
        <v>1752</v>
      </c>
      <c r="G140" s="481">
        <f t="shared" si="9"/>
        <v>3504</v>
      </c>
      <c r="H140" s="466">
        <f t="shared" si="10"/>
        <v>66576.259999999995</v>
      </c>
      <c r="I140" s="468">
        <v>40</v>
      </c>
      <c r="K140" s="493"/>
      <c r="L140" s="493"/>
      <c r="M140" s="493"/>
    </row>
    <row r="141" spans="1:13">
      <c r="A141" s="480" t="s">
        <v>923</v>
      </c>
      <c r="B141" s="483">
        <v>41639</v>
      </c>
      <c r="C141" s="498">
        <v>13682.95</v>
      </c>
      <c r="D141" s="492">
        <v>0</v>
      </c>
      <c r="E141" s="499"/>
      <c r="F141" s="500">
        <v>342.12</v>
      </c>
      <c r="G141" s="499">
        <f t="shared" si="9"/>
        <v>342.12</v>
      </c>
      <c r="H141" s="501">
        <f t="shared" si="10"/>
        <v>13340.83</v>
      </c>
      <c r="I141" s="468">
        <v>40</v>
      </c>
      <c r="K141" s="493"/>
      <c r="L141" s="493"/>
      <c r="M141" s="493"/>
    </row>
    <row r="142" spans="1:13">
      <c r="A142" s="480" t="s">
        <v>989</v>
      </c>
      <c r="B142" s="483">
        <v>41639</v>
      </c>
      <c r="C142" s="498">
        <v>29915.02</v>
      </c>
      <c r="D142" s="492">
        <v>0</v>
      </c>
      <c r="E142" s="499"/>
      <c r="F142" s="500">
        <v>747.84</v>
      </c>
      <c r="G142" s="499">
        <f t="shared" si="9"/>
        <v>747.84</v>
      </c>
      <c r="H142" s="501">
        <f t="shared" si="10"/>
        <v>29167.18</v>
      </c>
      <c r="I142" s="468">
        <v>40</v>
      </c>
      <c r="K142" s="493"/>
      <c r="L142" s="493"/>
      <c r="M142" s="493"/>
    </row>
    <row r="143" spans="1:13">
      <c r="A143" s="480" t="s">
        <v>990</v>
      </c>
      <c r="B143" s="483">
        <v>41639</v>
      </c>
      <c r="C143" s="498">
        <v>5420.0800000000008</v>
      </c>
      <c r="D143" s="492">
        <v>0</v>
      </c>
      <c r="E143" s="499"/>
      <c r="F143" s="500">
        <v>135.47999999999999</v>
      </c>
      <c r="G143" s="499">
        <f t="shared" si="9"/>
        <v>135.47999999999999</v>
      </c>
      <c r="H143" s="501">
        <f t="shared" si="10"/>
        <v>5284.6000000000013</v>
      </c>
      <c r="I143" s="468">
        <v>40</v>
      </c>
      <c r="K143" s="493"/>
      <c r="L143" s="493"/>
      <c r="M143" s="493"/>
    </row>
    <row r="144" spans="1:13">
      <c r="A144" s="480" t="s">
        <v>367</v>
      </c>
      <c r="B144" s="483">
        <v>41639</v>
      </c>
      <c r="C144" s="498">
        <v>983.3</v>
      </c>
      <c r="D144" s="492">
        <v>0</v>
      </c>
      <c r="E144" s="499"/>
      <c r="F144" s="500">
        <v>24.599999999999998</v>
      </c>
      <c r="G144" s="499">
        <f t="shared" si="9"/>
        <v>24.599999999999998</v>
      </c>
      <c r="H144" s="501">
        <f t="shared" si="10"/>
        <v>958.69999999999993</v>
      </c>
      <c r="I144" s="468">
        <v>40</v>
      </c>
      <c r="K144" s="493"/>
      <c r="L144" s="493"/>
      <c r="M144" s="493"/>
    </row>
    <row r="145" spans="1:25">
      <c r="A145" s="480" t="s">
        <v>991</v>
      </c>
      <c r="B145" s="483">
        <v>41639</v>
      </c>
      <c r="C145" s="498">
        <v>770381.64999999991</v>
      </c>
      <c r="D145" s="497">
        <v>0</v>
      </c>
      <c r="E145" s="499"/>
      <c r="F145" s="500">
        <v>19259.52</v>
      </c>
      <c r="G145" s="499">
        <f t="shared" ref="G145:G146" si="11">+D145+F145</f>
        <v>19259.52</v>
      </c>
      <c r="H145" s="501">
        <f t="shared" ref="H145:H146" si="12">+C145-G145</f>
        <v>751122.12999999989</v>
      </c>
      <c r="I145" s="468">
        <v>40</v>
      </c>
      <c r="K145" s="493"/>
      <c r="L145" s="493"/>
      <c r="M145" s="493"/>
    </row>
    <row r="146" spans="1:25">
      <c r="A146" s="480" t="s">
        <v>1028</v>
      </c>
      <c r="B146" s="483">
        <v>42004</v>
      </c>
      <c r="C146" s="498">
        <v>236764.65</v>
      </c>
      <c r="D146" s="497">
        <v>0</v>
      </c>
      <c r="E146" s="499"/>
      <c r="F146" s="500">
        <v>0</v>
      </c>
      <c r="G146" s="499">
        <f t="shared" si="11"/>
        <v>0</v>
      </c>
      <c r="H146" s="501">
        <f t="shared" si="12"/>
        <v>236764.65</v>
      </c>
      <c r="I146" s="468">
        <v>40</v>
      </c>
      <c r="K146" s="493"/>
      <c r="L146" s="493"/>
      <c r="M146" s="493"/>
    </row>
    <row r="147" spans="1:25">
      <c r="A147" s="480" t="s">
        <v>1029</v>
      </c>
      <c r="B147" s="483">
        <v>42004</v>
      </c>
      <c r="C147" s="498">
        <v>10340.099999999999</v>
      </c>
      <c r="D147" s="497">
        <v>0</v>
      </c>
      <c r="E147" s="499"/>
      <c r="F147" s="500">
        <v>0</v>
      </c>
      <c r="G147" s="499">
        <f t="shared" si="9"/>
        <v>0</v>
      </c>
      <c r="H147" s="501">
        <f t="shared" si="10"/>
        <v>10340.099999999999</v>
      </c>
      <c r="I147" s="468">
        <v>40</v>
      </c>
      <c r="K147" s="493"/>
      <c r="L147" s="493"/>
      <c r="M147" s="493"/>
    </row>
    <row r="148" spans="1:25" ht="13.5" thickBot="1">
      <c r="A148" s="502" t="s">
        <v>437</v>
      </c>
      <c r="B148" s="483"/>
      <c r="C148" s="503">
        <f>SUM(C32:C147)</f>
        <v>5486615.0799999982</v>
      </c>
      <c r="D148" s="503">
        <f>SUM(D32:D147)</f>
        <v>1211123.2000000004</v>
      </c>
      <c r="E148" s="503">
        <v>7824.8687494594942</v>
      </c>
      <c r="F148" s="503">
        <f>SUM(F32:F147)</f>
        <v>150235.62999999995</v>
      </c>
      <c r="G148" s="503">
        <f>SUM(G32:G147)</f>
        <v>1361358.8300000003</v>
      </c>
      <c r="H148" s="503">
        <f>SUM(H32:H147)</f>
        <v>4125256.25</v>
      </c>
      <c r="I148" s="468"/>
      <c r="K148" s="493"/>
      <c r="L148" s="493"/>
      <c r="M148" s="493"/>
    </row>
    <row r="149" spans="1:25" ht="13.5" thickTop="1">
      <c r="A149" s="480"/>
      <c r="B149" s="483"/>
      <c r="C149" s="464"/>
      <c r="D149" s="465"/>
      <c r="E149" s="481"/>
      <c r="F149" s="482"/>
      <c r="G149" s="481"/>
      <c r="H149" s="466"/>
      <c r="I149" s="468"/>
      <c r="K149" s="493"/>
      <c r="L149" s="493"/>
      <c r="M149" s="493"/>
    </row>
    <row r="150" spans="1:25">
      <c r="A150" s="490" t="s">
        <v>438</v>
      </c>
      <c r="B150" s="483"/>
      <c r="C150" s="464"/>
      <c r="D150" s="465"/>
      <c r="E150" s="481"/>
      <c r="F150" s="482"/>
      <c r="G150" s="481"/>
      <c r="H150" s="466"/>
      <c r="I150" s="468"/>
      <c r="K150" s="493"/>
      <c r="L150" s="493"/>
      <c r="M150" s="493"/>
    </row>
    <row r="151" spans="1:25">
      <c r="A151" s="480"/>
      <c r="B151" s="483"/>
      <c r="C151" s="464"/>
      <c r="D151" s="465"/>
      <c r="E151" s="481"/>
      <c r="F151" s="482"/>
      <c r="G151" s="481"/>
      <c r="H151" s="466"/>
      <c r="I151" s="468"/>
      <c r="K151" s="493"/>
      <c r="L151" s="493"/>
      <c r="M151" s="493"/>
    </row>
    <row r="152" spans="1:25">
      <c r="A152" s="480" t="s">
        <v>439</v>
      </c>
      <c r="B152" s="483" t="s">
        <v>344</v>
      </c>
      <c r="C152" s="464">
        <v>834207.72</v>
      </c>
      <c r="D152" s="465">
        <v>834207.72</v>
      </c>
      <c r="E152" s="481">
        <v>0</v>
      </c>
      <c r="F152" s="482">
        <v>0</v>
      </c>
      <c r="G152" s="481">
        <f t="shared" ref="G152:G175" si="13">+D152+F152</f>
        <v>834207.72</v>
      </c>
      <c r="H152" s="504">
        <f t="shared" ref="H152:H177" si="14">+C152-G152</f>
        <v>0</v>
      </c>
      <c r="I152" s="468">
        <v>15</v>
      </c>
      <c r="K152" s="493"/>
      <c r="L152" s="493"/>
      <c r="M152" s="493"/>
    </row>
    <row r="153" spans="1:25">
      <c r="A153" s="480" t="s">
        <v>440</v>
      </c>
      <c r="B153" s="483" t="s">
        <v>366</v>
      </c>
      <c r="C153" s="464">
        <v>8000</v>
      </c>
      <c r="D153" s="465">
        <v>8000</v>
      </c>
      <c r="E153" s="481">
        <v>0</v>
      </c>
      <c r="F153" s="482">
        <v>0</v>
      </c>
      <c r="G153" s="481">
        <f t="shared" si="13"/>
        <v>8000</v>
      </c>
      <c r="H153" s="504">
        <f t="shared" si="14"/>
        <v>0</v>
      </c>
      <c r="I153" s="468">
        <v>15</v>
      </c>
      <c r="K153" s="493"/>
      <c r="L153" s="493"/>
      <c r="M153" s="493"/>
    </row>
    <row r="154" spans="1:25">
      <c r="A154" s="480" t="s">
        <v>440</v>
      </c>
      <c r="B154" s="483" t="s">
        <v>368</v>
      </c>
      <c r="C154" s="464">
        <v>692.49</v>
      </c>
      <c r="D154" s="465">
        <v>692.49</v>
      </c>
      <c r="E154" s="481">
        <v>0</v>
      </c>
      <c r="F154" s="482">
        <v>0</v>
      </c>
      <c r="G154" s="481">
        <f t="shared" si="13"/>
        <v>692.49</v>
      </c>
      <c r="H154" s="504">
        <f t="shared" si="14"/>
        <v>0</v>
      </c>
      <c r="I154" s="468">
        <v>15</v>
      </c>
      <c r="L154" s="493"/>
    </row>
    <row r="155" spans="1:25">
      <c r="A155" s="480" t="s">
        <v>440</v>
      </c>
      <c r="B155" s="483" t="s">
        <v>370</v>
      </c>
      <c r="C155" s="464">
        <v>653.95000000000005</v>
      </c>
      <c r="D155" s="465">
        <v>653.95000000000005</v>
      </c>
      <c r="E155" s="481">
        <v>0</v>
      </c>
      <c r="F155" s="482">
        <v>0</v>
      </c>
      <c r="G155" s="481">
        <f t="shared" si="13"/>
        <v>653.95000000000005</v>
      </c>
      <c r="H155" s="504">
        <f t="shared" si="14"/>
        <v>0</v>
      </c>
      <c r="I155" s="468">
        <v>15</v>
      </c>
      <c r="L155" s="493"/>
    </row>
    <row r="156" spans="1:25">
      <c r="A156" s="480" t="s">
        <v>440</v>
      </c>
      <c r="B156" s="483" t="s">
        <v>349</v>
      </c>
      <c r="C156" s="464">
        <v>173058.84</v>
      </c>
      <c r="D156" s="465">
        <v>173058.84</v>
      </c>
      <c r="E156" s="481">
        <v>0</v>
      </c>
      <c r="F156" s="482">
        <v>0</v>
      </c>
      <c r="G156" s="481">
        <f t="shared" si="13"/>
        <v>173058.84</v>
      </c>
      <c r="H156" s="504">
        <f t="shared" si="14"/>
        <v>0</v>
      </c>
      <c r="I156" s="468">
        <v>15</v>
      </c>
      <c r="L156" s="493"/>
    </row>
    <row r="157" spans="1:25">
      <c r="A157" s="480" t="s">
        <v>441</v>
      </c>
      <c r="B157" s="483" t="s">
        <v>442</v>
      </c>
      <c r="C157" s="464">
        <v>39514</v>
      </c>
      <c r="D157" s="465">
        <v>34772.155714285713</v>
      </c>
      <c r="E157" s="481">
        <v>131.71333333333334</v>
      </c>
      <c r="F157" s="482">
        <v>1580.52</v>
      </c>
      <c r="G157" s="481">
        <f t="shared" si="13"/>
        <v>36352.67571428571</v>
      </c>
      <c r="H157" s="504">
        <f t="shared" si="14"/>
        <v>3161.3242857142905</v>
      </c>
      <c r="I157" s="468">
        <v>26.25</v>
      </c>
      <c r="L157" s="493"/>
    </row>
    <row r="158" spans="1:25">
      <c r="A158" s="480" t="s">
        <v>443</v>
      </c>
      <c r="B158" s="483" t="s">
        <v>444</v>
      </c>
      <c r="C158" s="464">
        <v>667576.84</v>
      </c>
      <c r="D158" s="465">
        <v>432070.57</v>
      </c>
      <c r="E158" s="481">
        <v>1854.3801111111109</v>
      </c>
      <c r="F158" s="482">
        <v>22252.560000000001</v>
      </c>
      <c r="G158" s="481">
        <f t="shared" si="13"/>
        <v>454323.13</v>
      </c>
      <c r="H158" s="504">
        <f t="shared" si="14"/>
        <v>213253.70999999996</v>
      </c>
      <c r="I158" s="468">
        <v>30</v>
      </c>
      <c r="L158" s="493"/>
    </row>
    <row r="159" spans="1:25" s="494" customFormat="1">
      <c r="A159" s="480" t="s">
        <v>445</v>
      </c>
      <c r="B159" s="483" t="s">
        <v>444</v>
      </c>
      <c r="C159" s="464">
        <v>10935.63</v>
      </c>
      <c r="D159" s="465">
        <v>7077.9300000000012</v>
      </c>
      <c r="E159" s="481">
        <v>30.376749999999998</v>
      </c>
      <c r="F159" s="482">
        <v>364.56</v>
      </c>
      <c r="G159" s="481">
        <f t="shared" si="13"/>
        <v>7442.4900000000016</v>
      </c>
      <c r="H159" s="504">
        <f t="shared" si="14"/>
        <v>3493.1399999999976</v>
      </c>
      <c r="I159" s="468">
        <v>30</v>
      </c>
      <c r="J159" s="249"/>
      <c r="K159" s="249"/>
      <c r="L159" s="493"/>
      <c r="M159" s="249"/>
      <c r="N159" s="249"/>
      <c r="O159" s="249"/>
      <c r="P159" s="249"/>
      <c r="Q159" s="249"/>
      <c r="R159" s="249"/>
      <c r="S159" s="249"/>
      <c r="T159" s="249"/>
      <c r="U159" s="249"/>
      <c r="V159" s="249"/>
      <c r="W159" s="249"/>
      <c r="X159" s="249"/>
      <c r="Y159" s="249"/>
    </row>
    <row r="160" spans="1:25" s="494" customFormat="1">
      <c r="A160" s="480" t="s">
        <v>439</v>
      </c>
      <c r="B160" s="483" t="s">
        <v>446</v>
      </c>
      <c r="C160" s="464">
        <v>25000</v>
      </c>
      <c r="D160" s="465">
        <v>14374.78</v>
      </c>
      <c r="E160" s="481">
        <v>69.444444444444443</v>
      </c>
      <c r="F160" s="482">
        <v>833.28</v>
      </c>
      <c r="G160" s="481">
        <f t="shared" si="13"/>
        <v>15208.060000000001</v>
      </c>
      <c r="H160" s="504">
        <f t="shared" si="14"/>
        <v>9791.9399999999987</v>
      </c>
      <c r="I160" s="468">
        <v>30</v>
      </c>
      <c r="J160" s="249"/>
      <c r="K160" s="249"/>
      <c r="L160" s="493"/>
      <c r="M160" s="249"/>
      <c r="N160" s="249"/>
      <c r="O160" s="249"/>
      <c r="P160" s="249"/>
      <c r="Q160" s="249"/>
      <c r="R160" s="249"/>
      <c r="S160" s="249"/>
      <c r="T160" s="249"/>
      <c r="U160" s="249"/>
      <c r="V160" s="249"/>
      <c r="W160" s="249"/>
      <c r="X160" s="249"/>
      <c r="Y160" s="249"/>
    </row>
    <row r="161" spans="1:25" s="494" customFormat="1">
      <c r="A161" s="480" t="s">
        <v>445</v>
      </c>
      <c r="B161" s="483" t="s">
        <v>447</v>
      </c>
      <c r="C161" s="464">
        <v>24155.84</v>
      </c>
      <c r="D161" s="465">
        <v>13487.03</v>
      </c>
      <c r="E161" s="481">
        <v>67.099555555555554</v>
      </c>
      <c r="F161" s="482">
        <v>805.19999999999993</v>
      </c>
      <c r="G161" s="481">
        <f t="shared" si="13"/>
        <v>14292.230000000001</v>
      </c>
      <c r="H161" s="504">
        <f t="shared" si="14"/>
        <v>9863.6099999999988</v>
      </c>
      <c r="I161" s="468">
        <v>30</v>
      </c>
      <c r="J161" s="249"/>
      <c r="K161" s="249"/>
      <c r="L161" s="493"/>
      <c r="M161" s="249"/>
      <c r="N161" s="249"/>
      <c r="O161" s="249"/>
      <c r="P161" s="249"/>
      <c r="Q161" s="249"/>
      <c r="R161" s="249"/>
      <c r="S161" s="249"/>
      <c r="T161" s="249"/>
      <c r="U161" s="249"/>
      <c r="V161" s="249"/>
      <c r="W161" s="249"/>
      <c r="X161" s="249"/>
      <c r="Y161" s="249"/>
    </row>
    <row r="162" spans="1:25" s="494" customFormat="1">
      <c r="A162" s="480" t="s">
        <v>448</v>
      </c>
      <c r="B162" s="483" t="s">
        <v>449</v>
      </c>
      <c r="C162" s="464">
        <v>13346.82</v>
      </c>
      <c r="D162" s="465">
        <v>7155.17</v>
      </c>
      <c r="E162" s="481">
        <v>37.0745</v>
      </c>
      <c r="F162" s="482">
        <v>444.84000000000003</v>
      </c>
      <c r="G162" s="481">
        <f t="shared" si="13"/>
        <v>7600.01</v>
      </c>
      <c r="H162" s="504">
        <f t="shared" si="14"/>
        <v>5746.8099999999995</v>
      </c>
      <c r="I162" s="468">
        <v>30</v>
      </c>
      <c r="J162" s="249"/>
      <c r="K162" s="249"/>
      <c r="L162" s="493"/>
      <c r="M162" s="249"/>
      <c r="N162" s="249"/>
      <c r="O162" s="249"/>
      <c r="P162" s="249"/>
      <c r="Q162" s="249"/>
      <c r="R162" s="249"/>
      <c r="S162" s="249"/>
      <c r="T162" s="249"/>
      <c r="U162" s="249"/>
      <c r="V162" s="249"/>
      <c r="W162" s="249"/>
      <c r="X162" s="249"/>
      <c r="Y162" s="249"/>
    </row>
    <row r="163" spans="1:25">
      <c r="A163" s="480" t="s">
        <v>450</v>
      </c>
      <c r="B163" s="483" t="s">
        <v>451</v>
      </c>
      <c r="C163" s="464">
        <v>1077267.07</v>
      </c>
      <c r="D163" s="465">
        <v>514694.33999999997</v>
      </c>
      <c r="E163" s="481">
        <v>2992.4085277777781</v>
      </c>
      <c r="F163" s="482">
        <v>35908.92</v>
      </c>
      <c r="G163" s="481">
        <f t="shared" si="13"/>
        <v>550603.26</v>
      </c>
      <c r="H163" s="504">
        <f t="shared" si="14"/>
        <v>526663.81000000006</v>
      </c>
      <c r="I163" s="468">
        <v>30</v>
      </c>
      <c r="L163" s="493"/>
    </row>
    <row r="164" spans="1:25">
      <c r="A164" s="480" t="s">
        <v>445</v>
      </c>
      <c r="B164" s="483" t="s">
        <v>394</v>
      </c>
      <c r="C164" s="464">
        <v>17993.150000000001</v>
      </c>
      <c r="D164" s="465">
        <v>8396.76</v>
      </c>
      <c r="E164" s="481">
        <v>49.980972222222228</v>
      </c>
      <c r="F164" s="482">
        <v>599.76</v>
      </c>
      <c r="G164" s="481">
        <f t="shared" si="13"/>
        <v>8996.52</v>
      </c>
      <c r="H164" s="504">
        <f t="shared" si="14"/>
        <v>8996.630000000001</v>
      </c>
      <c r="I164" s="468">
        <v>30</v>
      </c>
      <c r="L164" s="493"/>
    </row>
    <row r="165" spans="1:25">
      <c r="A165" s="480" t="s">
        <v>452</v>
      </c>
      <c r="B165" s="483" t="s">
        <v>453</v>
      </c>
      <c r="C165" s="464">
        <v>17167</v>
      </c>
      <c r="D165" s="465">
        <v>7820.7099999999991</v>
      </c>
      <c r="E165" s="481">
        <v>47.68611111111111</v>
      </c>
      <c r="F165" s="482">
        <v>572.28</v>
      </c>
      <c r="G165" s="481">
        <f t="shared" si="13"/>
        <v>8392.99</v>
      </c>
      <c r="H165" s="504">
        <f t="shared" si="14"/>
        <v>8774.01</v>
      </c>
      <c r="I165" s="468">
        <v>30</v>
      </c>
      <c r="L165" s="493"/>
    </row>
    <row r="166" spans="1:25">
      <c r="A166" s="480" t="s">
        <v>445</v>
      </c>
      <c r="B166" s="483" t="s">
        <v>454</v>
      </c>
      <c r="C166" s="464">
        <v>12621.46</v>
      </c>
      <c r="D166" s="465">
        <v>5574.5000000000009</v>
      </c>
      <c r="E166" s="481">
        <v>35.05961111111111</v>
      </c>
      <c r="F166" s="482">
        <v>420.72</v>
      </c>
      <c r="G166" s="481">
        <f t="shared" si="13"/>
        <v>5995.2200000000012</v>
      </c>
      <c r="H166" s="504">
        <f t="shared" si="14"/>
        <v>6626.239999999998</v>
      </c>
      <c r="I166" s="468">
        <v>30</v>
      </c>
      <c r="L166" s="493"/>
    </row>
    <row r="167" spans="1:25">
      <c r="A167" s="480" t="s">
        <v>455</v>
      </c>
      <c r="B167" s="483" t="s">
        <v>360</v>
      </c>
      <c r="C167" s="464">
        <v>4456346</v>
      </c>
      <c r="D167" s="465">
        <v>1708266.02</v>
      </c>
      <c r="E167" s="481">
        <v>12378.738888888889</v>
      </c>
      <c r="F167" s="482">
        <v>148544.88</v>
      </c>
      <c r="G167" s="481">
        <f t="shared" si="13"/>
        <v>1856810.9</v>
      </c>
      <c r="H167" s="504">
        <f t="shared" si="14"/>
        <v>2599535.1</v>
      </c>
      <c r="I167" s="468">
        <v>30</v>
      </c>
      <c r="L167" s="493"/>
    </row>
    <row r="168" spans="1:25">
      <c r="A168" s="480" t="s">
        <v>455</v>
      </c>
      <c r="B168" s="483" t="s">
        <v>401</v>
      </c>
      <c r="C168" s="464">
        <v>45486.47</v>
      </c>
      <c r="D168" s="465">
        <v>15920.2</v>
      </c>
      <c r="E168" s="481">
        <v>126.35130555555556</v>
      </c>
      <c r="F168" s="482">
        <v>1516.1999999999998</v>
      </c>
      <c r="G168" s="481">
        <f t="shared" si="13"/>
        <v>17436.400000000001</v>
      </c>
      <c r="H168" s="504">
        <f t="shared" si="14"/>
        <v>28050.07</v>
      </c>
      <c r="I168" s="468">
        <v>30</v>
      </c>
      <c r="L168" s="493"/>
    </row>
    <row r="169" spans="1:25">
      <c r="A169" s="480" t="s">
        <v>33</v>
      </c>
      <c r="B169" s="483">
        <v>39447</v>
      </c>
      <c r="C169" s="464">
        <v>543136.67000000004</v>
      </c>
      <c r="D169" s="465">
        <v>130353.01000000001</v>
      </c>
      <c r="E169" s="481">
        <v>1810.4555666666668</v>
      </c>
      <c r="F169" s="482">
        <v>21725.52</v>
      </c>
      <c r="G169" s="481">
        <f t="shared" si="13"/>
        <v>152078.53</v>
      </c>
      <c r="H169" s="504">
        <f t="shared" si="14"/>
        <v>391058.14</v>
      </c>
      <c r="I169" s="468">
        <v>25</v>
      </c>
      <c r="L169" s="493"/>
    </row>
    <row r="170" spans="1:25">
      <c r="A170" s="480" t="s">
        <v>33</v>
      </c>
      <c r="B170" s="483">
        <v>40178</v>
      </c>
      <c r="C170" s="485">
        <v>241051.04</v>
      </c>
      <c r="D170" s="465">
        <v>38568</v>
      </c>
      <c r="E170" s="481"/>
      <c r="F170" s="482">
        <v>9642</v>
      </c>
      <c r="G170" s="481">
        <f t="shared" si="13"/>
        <v>48210</v>
      </c>
      <c r="H170" s="504">
        <f t="shared" si="14"/>
        <v>192841.04</v>
      </c>
      <c r="I170" s="468">
        <v>25</v>
      </c>
      <c r="L170" s="493"/>
    </row>
    <row r="171" spans="1:25">
      <c r="A171" s="480" t="s">
        <v>33</v>
      </c>
      <c r="B171" s="483">
        <v>40543</v>
      </c>
      <c r="C171" s="485">
        <v>97247.22</v>
      </c>
      <c r="D171" s="465">
        <v>11669.76</v>
      </c>
      <c r="E171" s="481"/>
      <c r="F171" s="482">
        <v>3889.92</v>
      </c>
      <c r="G171" s="481">
        <f t="shared" si="13"/>
        <v>15559.68</v>
      </c>
      <c r="H171" s="504">
        <f t="shared" si="14"/>
        <v>81687.540000000008</v>
      </c>
      <c r="I171" s="468">
        <v>25</v>
      </c>
      <c r="L171" s="493"/>
    </row>
    <row r="172" spans="1:25">
      <c r="A172" s="480" t="s">
        <v>33</v>
      </c>
      <c r="B172" s="483">
        <v>40908</v>
      </c>
      <c r="C172" s="485">
        <v>66617.64</v>
      </c>
      <c r="D172" s="465">
        <v>5329.4400000000005</v>
      </c>
      <c r="E172" s="481"/>
      <c r="F172" s="482">
        <v>2664.7200000000003</v>
      </c>
      <c r="G172" s="481">
        <f t="shared" si="13"/>
        <v>7994.1600000000008</v>
      </c>
      <c r="H172" s="504">
        <f t="shared" si="14"/>
        <v>58623.479999999996</v>
      </c>
      <c r="I172" s="468">
        <v>25</v>
      </c>
      <c r="L172" s="493"/>
    </row>
    <row r="173" spans="1:25">
      <c r="A173" s="480" t="s">
        <v>33</v>
      </c>
      <c r="B173" s="483">
        <v>41274</v>
      </c>
      <c r="C173" s="485">
        <v>71716.45</v>
      </c>
      <c r="D173" s="465">
        <v>2868.6</v>
      </c>
      <c r="E173" s="481"/>
      <c r="F173" s="482">
        <v>2868.6000000000004</v>
      </c>
      <c r="G173" s="481">
        <f t="shared" si="13"/>
        <v>5737.2000000000007</v>
      </c>
      <c r="H173" s="504">
        <f t="shared" si="14"/>
        <v>65979.25</v>
      </c>
      <c r="I173" s="468">
        <v>25</v>
      </c>
      <c r="L173" s="493"/>
    </row>
    <row r="174" spans="1:25">
      <c r="A174" s="480" t="s">
        <v>924</v>
      </c>
      <c r="B174" s="483">
        <v>41274</v>
      </c>
      <c r="C174" s="485">
        <v>30983.919999999998</v>
      </c>
      <c r="D174" s="465">
        <v>1239.3599999999999</v>
      </c>
      <c r="E174" s="481"/>
      <c r="F174" s="482">
        <v>1239.3600000000001</v>
      </c>
      <c r="G174" s="481">
        <f t="shared" si="13"/>
        <v>2478.7200000000003</v>
      </c>
      <c r="H174" s="504">
        <f t="shared" si="14"/>
        <v>28505.199999999997</v>
      </c>
      <c r="I174" s="468">
        <v>25</v>
      </c>
      <c r="L174" s="493"/>
    </row>
    <row r="175" spans="1:25">
      <c r="A175" s="480" t="s">
        <v>33</v>
      </c>
      <c r="B175" s="483">
        <v>41639</v>
      </c>
      <c r="C175" s="485">
        <v>84014.56</v>
      </c>
      <c r="D175" s="465">
        <v>0</v>
      </c>
      <c r="E175" s="481"/>
      <c r="F175" s="482">
        <v>3360.6000000000004</v>
      </c>
      <c r="G175" s="481">
        <f t="shared" si="13"/>
        <v>3360.6000000000004</v>
      </c>
      <c r="H175" s="504">
        <f t="shared" si="14"/>
        <v>80653.959999999992</v>
      </c>
      <c r="I175" s="468">
        <v>25</v>
      </c>
      <c r="L175" s="493"/>
    </row>
    <row r="176" spans="1:25">
      <c r="A176" s="480" t="s">
        <v>992</v>
      </c>
      <c r="B176" s="483">
        <v>41639</v>
      </c>
      <c r="C176" s="485">
        <v>2293.75</v>
      </c>
      <c r="D176" s="465">
        <v>0</v>
      </c>
      <c r="E176" s="481"/>
      <c r="F176" s="482">
        <v>458.76</v>
      </c>
      <c r="G176" s="481">
        <f>+D176+F176</f>
        <v>458.76</v>
      </c>
      <c r="H176" s="504">
        <f t="shared" ref="H176" si="15">+C176-G176</f>
        <v>1834.99</v>
      </c>
      <c r="I176" s="468">
        <v>25</v>
      </c>
      <c r="L176" s="493"/>
    </row>
    <row r="177" spans="1:12">
      <c r="A177" s="480" t="s">
        <v>33</v>
      </c>
      <c r="B177" s="483">
        <v>42004</v>
      </c>
      <c r="C177" s="485">
        <v>46650.700000000004</v>
      </c>
      <c r="D177" s="465">
        <v>0</v>
      </c>
      <c r="E177" s="481"/>
      <c r="F177" s="482">
        <v>0</v>
      </c>
      <c r="G177" s="481">
        <f>+D177+F177</f>
        <v>0</v>
      </c>
      <c r="H177" s="504">
        <f t="shared" si="14"/>
        <v>46650.700000000004</v>
      </c>
      <c r="I177" s="468">
        <v>25</v>
      </c>
      <c r="L177" s="493"/>
    </row>
    <row r="178" spans="1:12" ht="13.5" thickBot="1">
      <c r="A178" s="502" t="s">
        <v>456</v>
      </c>
      <c r="B178" s="483"/>
      <c r="C178" s="503">
        <f>SUM(C152:C177)</f>
        <v>8607735.2299999986</v>
      </c>
      <c r="D178" s="503">
        <f>SUM(D152:D177)</f>
        <v>3976251.3357142848</v>
      </c>
      <c r="E178" s="503">
        <v>19630.769677777778</v>
      </c>
      <c r="F178" s="503">
        <f>SUM(F152:F177)</f>
        <v>259693.20000000004</v>
      </c>
      <c r="G178" s="503">
        <f>SUM(G152:G177)</f>
        <v>4235944.5357142854</v>
      </c>
      <c r="H178" s="503">
        <f>SUM(H152:H177)</f>
        <v>4371790.694285715</v>
      </c>
      <c r="I178" s="468"/>
    </row>
    <row r="179" spans="1:12" ht="13.5" thickTop="1">
      <c r="A179" s="502"/>
      <c r="B179" s="483"/>
      <c r="C179" s="485"/>
      <c r="D179" s="485"/>
      <c r="E179" s="485"/>
      <c r="F179" s="485"/>
      <c r="G179" s="485"/>
      <c r="H179" s="485"/>
      <c r="I179" s="468"/>
    </row>
    <row r="180" spans="1:12">
      <c r="A180" s="490" t="s">
        <v>457</v>
      </c>
      <c r="B180" s="483"/>
      <c r="C180" s="464"/>
      <c r="D180" s="465"/>
      <c r="E180" s="481"/>
      <c r="F180" s="482"/>
      <c r="G180" s="481"/>
      <c r="H180" s="466"/>
      <c r="I180" s="468"/>
    </row>
    <row r="181" spans="1:12">
      <c r="A181" s="480" t="s">
        <v>458</v>
      </c>
      <c r="B181" s="483" t="s">
        <v>371</v>
      </c>
      <c r="C181" s="464">
        <v>3600</v>
      </c>
      <c r="D181" s="465">
        <v>3600</v>
      </c>
      <c r="E181" s="481">
        <v>0</v>
      </c>
      <c r="F181" s="482">
        <v>0</v>
      </c>
      <c r="G181" s="481">
        <f t="shared" ref="G181:G186" si="16">+D181+F181</f>
        <v>3600</v>
      </c>
      <c r="H181" s="466">
        <f t="shared" ref="H181:H186" si="17">+C181-G181</f>
        <v>0</v>
      </c>
      <c r="I181" s="468">
        <v>10</v>
      </c>
    </row>
    <row r="182" spans="1:12">
      <c r="A182" s="484" t="s">
        <v>459</v>
      </c>
      <c r="B182" s="505" t="s">
        <v>460</v>
      </c>
      <c r="C182" s="496">
        <v>23500</v>
      </c>
      <c r="D182" s="506">
        <v>23500</v>
      </c>
      <c r="E182" s="507">
        <v>0</v>
      </c>
      <c r="F182" s="508">
        <v>0</v>
      </c>
      <c r="G182" s="507">
        <f t="shared" si="16"/>
        <v>23500</v>
      </c>
      <c r="H182" s="466">
        <f t="shared" si="17"/>
        <v>0</v>
      </c>
      <c r="I182" s="509">
        <v>12000</v>
      </c>
      <c r="K182" s="493"/>
    </row>
    <row r="183" spans="1:12">
      <c r="A183" s="484" t="s">
        <v>461</v>
      </c>
      <c r="B183" s="505" t="s">
        <v>462</v>
      </c>
      <c r="C183" s="496">
        <v>5578</v>
      </c>
      <c r="D183" s="506">
        <v>5578</v>
      </c>
      <c r="E183" s="507">
        <v>0</v>
      </c>
      <c r="F183" s="508">
        <v>0</v>
      </c>
      <c r="G183" s="507">
        <f t="shared" si="16"/>
        <v>5578</v>
      </c>
      <c r="H183" s="466">
        <f t="shared" si="17"/>
        <v>0</v>
      </c>
      <c r="I183" s="509">
        <v>3.1034999999999999</v>
      </c>
      <c r="K183" s="493"/>
    </row>
    <row r="184" spans="1:12">
      <c r="A184" s="484" t="s">
        <v>463</v>
      </c>
      <c r="B184" s="505" t="s">
        <v>358</v>
      </c>
      <c r="C184" s="496">
        <v>4660</v>
      </c>
      <c r="D184" s="506">
        <v>4660</v>
      </c>
      <c r="E184" s="507">
        <v>0</v>
      </c>
      <c r="F184" s="508">
        <v>0</v>
      </c>
      <c r="G184" s="507">
        <f t="shared" si="16"/>
        <v>4660</v>
      </c>
      <c r="H184" s="466">
        <f t="shared" si="17"/>
        <v>0</v>
      </c>
      <c r="I184" s="509">
        <v>1.36364</v>
      </c>
    </row>
    <row r="185" spans="1:12">
      <c r="A185" s="484" t="s">
        <v>463</v>
      </c>
      <c r="B185" s="505" t="s">
        <v>360</v>
      </c>
      <c r="C185" s="510">
        <v>2023.5</v>
      </c>
      <c r="D185" s="506">
        <v>2023.5</v>
      </c>
      <c r="E185" s="507">
        <v>0</v>
      </c>
      <c r="F185" s="508">
        <v>0</v>
      </c>
      <c r="G185" s="507">
        <f t="shared" si="16"/>
        <v>2023.5</v>
      </c>
      <c r="H185" s="466">
        <f t="shared" si="17"/>
        <v>0</v>
      </c>
      <c r="I185" s="509">
        <v>1.9355100000000001</v>
      </c>
    </row>
    <row r="186" spans="1:12">
      <c r="A186" s="484" t="s">
        <v>1030</v>
      </c>
      <c r="B186" s="505">
        <v>42004</v>
      </c>
      <c r="C186" s="510">
        <v>3367.91</v>
      </c>
      <c r="D186" s="506">
        <v>0</v>
      </c>
      <c r="E186" s="507">
        <v>0</v>
      </c>
      <c r="F186" s="508">
        <v>0</v>
      </c>
      <c r="G186" s="507">
        <f t="shared" si="16"/>
        <v>0</v>
      </c>
      <c r="H186" s="466">
        <f t="shared" si="17"/>
        <v>3367.91</v>
      </c>
      <c r="I186" s="509">
        <v>1.9355100000000001</v>
      </c>
    </row>
    <row r="187" spans="1:12" ht="13.5" thickBot="1">
      <c r="A187" s="502" t="s">
        <v>464</v>
      </c>
      <c r="B187" s="483"/>
      <c r="C187" s="503">
        <f>SUM(C181:C186)</f>
        <v>42729.41</v>
      </c>
      <c r="D187" s="503">
        <f t="shared" ref="D187:H187" si="18">SUM(D181:D186)</f>
        <v>39361.5</v>
      </c>
      <c r="E187" s="503">
        <f t="shared" si="18"/>
        <v>0</v>
      </c>
      <c r="F187" s="503">
        <f t="shared" si="18"/>
        <v>0</v>
      </c>
      <c r="G187" s="503">
        <f t="shared" si="18"/>
        <v>39361.5</v>
      </c>
      <c r="H187" s="503">
        <f t="shared" si="18"/>
        <v>3367.91</v>
      </c>
      <c r="I187" s="468"/>
    </row>
    <row r="188" spans="1:12" ht="13.5" thickTop="1">
      <c r="A188" s="480"/>
      <c r="B188" s="483"/>
      <c r="C188" s="511"/>
      <c r="D188" s="512"/>
      <c r="E188" s="513"/>
      <c r="F188" s="514"/>
      <c r="G188" s="513"/>
      <c r="H188" s="513"/>
      <c r="I188" s="468"/>
    </row>
    <row r="189" spans="1:12">
      <c r="A189" s="490" t="s">
        <v>465</v>
      </c>
      <c r="B189" s="483"/>
      <c r="C189" s="464"/>
      <c r="D189" s="465"/>
      <c r="E189" s="481"/>
      <c r="F189" s="482"/>
      <c r="G189" s="481"/>
      <c r="H189" s="466"/>
      <c r="I189" s="468"/>
    </row>
    <row r="190" spans="1:12">
      <c r="A190" s="480" t="s">
        <v>466</v>
      </c>
      <c r="B190" s="483" t="s">
        <v>344</v>
      </c>
      <c r="C190" s="464">
        <v>2793.77</v>
      </c>
      <c r="D190" s="465">
        <v>0</v>
      </c>
      <c r="E190" s="481">
        <v>0</v>
      </c>
      <c r="F190" s="482">
        <v>0</v>
      </c>
      <c r="G190" s="481">
        <v>0</v>
      </c>
      <c r="H190" s="466">
        <v>2793.77</v>
      </c>
      <c r="I190" s="468">
        <v>100000</v>
      </c>
    </row>
    <row r="191" spans="1:12" ht="13.5" thickBot="1">
      <c r="A191" s="502" t="s">
        <v>467</v>
      </c>
      <c r="B191" s="483"/>
      <c r="C191" s="503">
        <v>2793.77</v>
      </c>
      <c r="D191" s="503">
        <v>0</v>
      </c>
      <c r="E191" s="503">
        <v>0</v>
      </c>
      <c r="F191" s="503">
        <v>0</v>
      </c>
      <c r="G191" s="503">
        <v>0</v>
      </c>
      <c r="H191" s="503">
        <v>2793.77</v>
      </c>
      <c r="I191" s="468"/>
    </row>
    <row r="192" spans="1:12" ht="13.5" thickTop="1">
      <c r="A192" s="480"/>
      <c r="B192" s="483"/>
      <c r="C192" s="464"/>
      <c r="D192" s="465"/>
      <c r="E192" s="481"/>
      <c r="F192" s="482"/>
      <c r="G192" s="481"/>
      <c r="H192" s="466"/>
      <c r="I192" s="468"/>
    </row>
    <row r="193" spans="1:25">
      <c r="A193" s="490" t="s">
        <v>468</v>
      </c>
      <c r="B193" s="483"/>
      <c r="C193" s="464"/>
      <c r="D193" s="465"/>
      <c r="E193" s="481"/>
      <c r="F193" s="482"/>
      <c r="G193" s="481"/>
      <c r="H193" s="466"/>
      <c r="I193" s="468"/>
    </row>
    <row r="194" spans="1:25">
      <c r="A194" s="480" t="s">
        <v>373</v>
      </c>
      <c r="B194" s="483" t="s">
        <v>372</v>
      </c>
      <c r="C194" s="464">
        <v>515.35</v>
      </c>
      <c r="D194" s="465">
        <v>515.35</v>
      </c>
      <c r="E194" s="481">
        <v>1.431527777777778</v>
      </c>
      <c r="F194" s="482">
        <v>0</v>
      </c>
      <c r="G194" s="481">
        <f t="shared" ref="G194:G204" si="19">+D194+F194</f>
        <v>515.35</v>
      </c>
      <c r="H194" s="466">
        <f t="shared" ref="H194:H204" si="20">+C194-G194</f>
        <v>0</v>
      </c>
      <c r="I194" s="468">
        <v>30</v>
      </c>
    </row>
    <row r="195" spans="1:25" s="494" customFormat="1">
      <c r="A195" s="480" t="s">
        <v>373</v>
      </c>
      <c r="B195" s="483" t="s">
        <v>374</v>
      </c>
      <c r="C195" s="464">
        <v>1447.48</v>
      </c>
      <c r="D195" s="465">
        <v>1447.48</v>
      </c>
      <c r="E195" s="481">
        <v>4.020777777777778</v>
      </c>
      <c r="F195" s="482">
        <v>0</v>
      </c>
      <c r="G195" s="481">
        <f t="shared" si="19"/>
        <v>1447.48</v>
      </c>
      <c r="H195" s="466">
        <f t="shared" si="20"/>
        <v>0</v>
      </c>
      <c r="I195" s="468">
        <v>30</v>
      </c>
      <c r="J195" s="249"/>
      <c r="K195" s="249"/>
      <c r="L195" s="249"/>
      <c r="M195" s="249"/>
      <c r="N195" s="249"/>
      <c r="O195" s="249"/>
      <c r="P195" s="249"/>
      <c r="Q195" s="249"/>
      <c r="R195" s="249"/>
      <c r="S195" s="249"/>
      <c r="T195" s="249"/>
      <c r="U195" s="249"/>
      <c r="V195" s="249"/>
      <c r="W195" s="249"/>
      <c r="X195" s="249"/>
      <c r="Y195" s="249"/>
    </row>
    <row r="196" spans="1:25">
      <c r="A196" s="480" t="s">
        <v>373</v>
      </c>
      <c r="B196" s="483" t="s">
        <v>358</v>
      </c>
      <c r="C196" s="464">
        <v>7366.15</v>
      </c>
      <c r="D196" s="465">
        <v>4419.5800000000008</v>
      </c>
      <c r="E196" s="481">
        <v>30.692291666666666</v>
      </c>
      <c r="F196" s="482">
        <v>368.28000000000003</v>
      </c>
      <c r="G196" s="481">
        <f t="shared" si="19"/>
        <v>4787.8600000000006</v>
      </c>
      <c r="H196" s="466">
        <f t="shared" si="20"/>
        <v>2578.2899999999991</v>
      </c>
      <c r="I196" s="468">
        <v>20</v>
      </c>
    </row>
    <row r="197" spans="1:25" s="494" customFormat="1">
      <c r="A197" s="480" t="s">
        <v>469</v>
      </c>
      <c r="B197" s="483" t="s">
        <v>401</v>
      </c>
      <c r="C197" s="464">
        <v>14373.67</v>
      </c>
      <c r="D197" s="465">
        <v>5030.93</v>
      </c>
      <c r="E197" s="481">
        <v>39.926861111111108</v>
      </c>
      <c r="F197" s="482">
        <v>479.15999999999997</v>
      </c>
      <c r="G197" s="481">
        <f t="shared" si="19"/>
        <v>5510.09</v>
      </c>
      <c r="H197" s="466">
        <f t="shared" si="20"/>
        <v>8863.58</v>
      </c>
      <c r="I197" s="468">
        <v>30</v>
      </c>
      <c r="J197" s="249"/>
      <c r="K197" s="249"/>
      <c r="L197" s="249"/>
      <c r="M197" s="249"/>
      <c r="N197" s="249"/>
      <c r="O197" s="249"/>
      <c r="P197" s="249"/>
      <c r="Q197" s="249"/>
      <c r="R197" s="249"/>
      <c r="S197" s="249"/>
      <c r="T197" s="249"/>
      <c r="U197" s="249"/>
      <c r="V197" s="249"/>
      <c r="W197" s="249"/>
      <c r="X197" s="249"/>
      <c r="Y197" s="249"/>
    </row>
    <row r="198" spans="1:25">
      <c r="A198" s="480" t="s">
        <v>469</v>
      </c>
      <c r="B198" s="483" t="s">
        <v>470</v>
      </c>
      <c r="C198" s="464">
        <v>49574.7</v>
      </c>
      <c r="D198" s="465">
        <v>14872.53</v>
      </c>
      <c r="E198" s="481">
        <v>137.70749999999998</v>
      </c>
      <c r="F198" s="482">
        <v>1652.52</v>
      </c>
      <c r="G198" s="481">
        <f t="shared" si="19"/>
        <v>16525.05</v>
      </c>
      <c r="H198" s="466">
        <f t="shared" si="20"/>
        <v>33049.649999999994</v>
      </c>
      <c r="I198" s="468">
        <v>30</v>
      </c>
    </row>
    <row r="199" spans="1:25">
      <c r="A199" s="480" t="s">
        <v>469</v>
      </c>
      <c r="B199" s="483" t="s">
        <v>471</v>
      </c>
      <c r="C199" s="464">
        <v>2609.7399999999998</v>
      </c>
      <c r="D199" s="465">
        <v>746.71400000000006</v>
      </c>
      <c r="E199" s="481">
        <v>7.2492777777777775</v>
      </c>
      <c r="F199" s="482">
        <v>87</v>
      </c>
      <c r="G199" s="481">
        <f t="shared" si="19"/>
        <v>833.71400000000006</v>
      </c>
      <c r="H199" s="466">
        <f t="shared" si="20"/>
        <v>1776.0259999999998</v>
      </c>
      <c r="I199" s="468">
        <v>30</v>
      </c>
    </row>
    <row r="200" spans="1:25" s="494" customFormat="1">
      <c r="A200" s="480" t="s">
        <v>469</v>
      </c>
      <c r="B200" s="483">
        <v>39052</v>
      </c>
      <c r="C200" s="464">
        <v>3496.09</v>
      </c>
      <c r="D200" s="465">
        <v>825.4</v>
      </c>
      <c r="E200" s="481">
        <v>9.7100000000000009</v>
      </c>
      <c r="F200" s="482">
        <v>116.52000000000001</v>
      </c>
      <c r="G200" s="481">
        <f t="shared" si="19"/>
        <v>941.92</v>
      </c>
      <c r="H200" s="466">
        <f t="shared" si="20"/>
        <v>2554.17</v>
      </c>
      <c r="I200" s="468">
        <v>30</v>
      </c>
      <c r="J200" s="249"/>
      <c r="K200" s="249"/>
      <c r="L200" s="249"/>
      <c r="M200" s="249"/>
      <c r="N200" s="249"/>
      <c r="O200" s="249"/>
      <c r="P200" s="249"/>
      <c r="Q200" s="249"/>
      <c r="R200" s="249"/>
      <c r="S200" s="249"/>
      <c r="T200" s="249"/>
      <c r="U200" s="249"/>
      <c r="V200" s="249"/>
      <c r="W200" s="249"/>
      <c r="X200" s="249"/>
      <c r="Y200" s="249"/>
    </row>
    <row r="201" spans="1:25" s="494" customFormat="1">
      <c r="A201" s="480" t="s">
        <v>469</v>
      </c>
      <c r="B201" s="483">
        <v>39813</v>
      </c>
      <c r="C201" s="464">
        <v>3164.1800000000003</v>
      </c>
      <c r="D201" s="465">
        <v>527.39</v>
      </c>
      <c r="E201" s="481">
        <v>9.7100000000000009</v>
      </c>
      <c r="F201" s="482">
        <v>105.47999999999999</v>
      </c>
      <c r="G201" s="481">
        <f t="shared" si="19"/>
        <v>632.87</v>
      </c>
      <c r="H201" s="466">
        <f t="shared" si="20"/>
        <v>2531.3100000000004</v>
      </c>
      <c r="I201" s="468">
        <v>30</v>
      </c>
      <c r="J201" s="249"/>
      <c r="K201" s="249"/>
      <c r="L201" s="249"/>
      <c r="M201" s="249"/>
      <c r="N201" s="249"/>
      <c r="O201" s="249"/>
      <c r="P201" s="249"/>
      <c r="Q201" s="249"/>
      <c r="R201" s="249"/>
      <c r="S201" s="249"/>
      <c r="T201" s="249"/>
      <c r="U201" s="249"/>
      <c r="V201" s="249"/>
      <c r="W201" s="249"/>
      <c r="X201" s="249"/>
      <c r="Y201" s="249"/>
    </row>
    <row r="202" spans="1:25">
      <c r="A202" s="480" t="s">
        <v>469</v>
      </c>
      <c r="B202" s="483">
        <v>40178</v>
      </c>
      <c r="C202" s="464">
        <v>12361.27</v>
      </c>
      <c r="D202" s="465">
        <v>1648.3200000000002</v>
      </c>
      <c r="E202" s="481">
        <v>9.7100000000000009</v>
      </c>
      <c r="F202" s="482">
        <v>412.08000000000004</v>
      </c>
      <c r="G202" s="481">
        <f t="shared" si="19"/>
        <v>2060.4</v>
      </c>
      <c r="H202" s="466">
        <f t="shared" si="20"/>
        <v>10300.870000000001</v>
      </c>
      <c r="I202" s="468">
        <v>30</v>
      </c>
    </row>
    <row r="203" spans="1:25">
      <c r="A203" s="480" t="s">
        <v>469</v>
      </c>
      <c r="B203" s="483">
        <v>40543</v>
      </c>
      <c r="C203" s="464">
        <v>628.42999999999995</v>
      </c>
      <c r="D203" s="465">
        <v>63</v>
      </c>
      <c r="E203" s="481">
        <v>9.7100000000000009</v>
      </c>
      <c r="F203" s="482">
        <v>21</v>
      </c>
      <c r="G203" s="481">
        <f t="shared" ref="G203" si="21">+D203+F203</f>
        <v>84</v>
      </c>
      <c r="H203" s="466">
        <f t="shared" ref="H203" si="22">+C203-G203</f>
        <v>544.42999999999995</v>
      </c>
      <c r="I203" s="468">
        <v>30</v>
      </c>
    </row>
    <row r="204" spans="1:25">
      <c r="A204" s="480" t="s">
        <v>469</v>
      </c>
      <c r="B204" s="483">
        <v>42004</v>
      </c>
      <c r="C204" s="464">
        <v>6420.55</v>
      </c>
      <c r="D204" s="465">
        <v>0</v>
      </c>
      <c r="E204" s="481">
        <v>9.7100000000000009</v>
      </c>
      <c r="F204" s="482">
        <v>0</v>
      </c>
      <c r="G204" s="481">
        <f t="shared" si="19"/>
        <v>0</v>
      </c>
      <c r="H204" s="466">
        <f t="shared" si="20"/>
        <v>6420.55</v>
      </c>
      <c r="I204" s="468">
        <v>30</v>
      </c>
    </row>
    <row r="205" spans="1:25" ht="13.5" thickBot="1">
      <c r="A205" s="502" t="s">
        <v>472</v>
      </c>
      <c r="B205" s="483"/>
      <c r="C205" s="503">
        <f>SUM(C194:C204)</f>
        <v>101957.61000000002</v>
      </c>
      <c r="D205" s="503">
        <f>SUM(D194:D204)</f>
        <v>30096.694000000003</v>
      </c>
      <c r="E205" s="503">
        <v>259.86823611111112</v>
      </c>
      <c r="F205" s="503">
        <f>SUM(F194:F204)</f>
        <v>3242.04</v>
      </c>
      <c r="G205" s="503">
        <f>SUM(G194:G204)</f>
        <v>33338.733999999997</v>
      </c>
      <c r="H205" s="503">
        <f>SUM(H194:H204)</f>
        <v>68618.875999999989</v>
      </c>
      <c r="I205" s="468"/>
    </row>
    <row r="206" spans="1:25" ht="13.5" thickTop="1">
      <c r="A206" s="480"/>
      <c r="B206" s="483"/>
      <c r="C206" s="464"/>
      <c r="D206" s="465"/>
      <c r="E206" s="481"/>
      <c r="F206" s="482"/>
      <c r="G206" s="481"/>
      <c r="H206" s="466"/>
      <c r="I206" s="468"/>
    </row>
    <row r="207" spans="1:25">
      <c r="A207" s="490" t="s">
        <v>473</v>
      </c>
      <c r="B207" s="483"/>
      <c r="C207" s="464"/>
      <c r="D207" s="465"/>
      <c r="E207" s="481"/>
      <c r="F207" s="482"/>
      <c r="G207" s="481"/>
      <c r="H207" s="466"/>
      <c r="I207" s="468"/>
    </row>
    <row r="208" spans="1:25">
      <c r="A208" s="480" t="s">
        <v>474</v>
      </c>
      <c r="B208" s="483" t="s">
        <v>349</v>
      </c>
      <c r="C208" s="464">
        <v>2146.84</v>
      </c>
      <c r="D208" s="465">
        <v>2146.84</v>
      </c>
      <c r="E208" s="481">
        <v>0</v>
      </c>
      <c r="F208" s="482">
        <v>0</v>
      </c>
      <c r="G208" s="481">
        <f t="shared" ref="G208:G239" si="23">+D208+F208</f>
        <v>2146.84</v>
      </c>
      <c r="H208" s="466">
        <f t="shared" ref="H208:H239" si="24">+C208-G208</f>
        <v>0</v>
      </c>
      <c r="I208" s="468">
        <v>10</v>
      </c>
      <c r="K208" s="493">
        <v>2146.84</v>
      </c>
      <c r="L208" s="493">
        <f t="shared" ref="L208:L234" si="25">+C208-K208</f>
        <v>0</v>
      </c>
    </row>
    <row r="209" spans="1:12">
      <c r="A209" s="484" t="s">
        <v>475</v>
      </c>
      <c r="B209" s="505" t="s">
        <v>394</v>
      </c>
      <c r="C209" s="496">
        <v>1168.31</v>
      </c>
      <c r="D209" s="506">
        <v>1168.31</v>
      </c>
      <c r="E209" s="481">
        <v>7.4891666666666667</v>
      </c>
      <c r="F209" s="482">
        <v>0</v>
      </c>
      <c r="G209" s="507">
        <f t="shared" si="23"/>
        <v>1168.31</v>
      </c>
      <c r="H209" s="466">
        <f t="shared" si="24"/>
        <v>0</v>
      </c>
      <c r="I209" s="509">
        <v>13</v>
      </c>
      <c r="K209" s="493">
        <v>1168.31</v>
      </c>
      <c r="L209" s="493">
        <f t="shared" si="25"/>
        <v>0</v>
      </c>
    </row>
    <row r="210" spans="1:12">
      <c r="A210" s="480" t="s">
        <v>476</v>
      </c>
      <c r="B210" s="483" t="s">
        <v>357</v>
      </c>
      <c r="C210" s="464">
        <v>2117.23</v>
      </c>
      <c r="D210" s="465">
        <v>2117.23</v>
      </c>
      <c r="E210" s="481">
        <v>0</v>
      </c>
      <c r="F210" s="482">
        <v>0</v>
      </c>
      <c r="G210" s="481">
        <f t="shared" si="23"/>
        <v>2117.23</v>
      </c>
      <c r="H210" s="466">
        <f t="shared" si="24"/>
        <v>0</v>
      </c>
      <c r="I210" s="468">
        <v>5</v>
      </c>
      <c r="K210" s="493">
        <v>2117.23</v>
      </c>
      <c r="L210" s="493">
        <f t="shared" si="25"/>
        <v>0</v>
      </c>
    </row>
    <row r="211" spans="1:12">
      <c r="A211" s="480" t="s">
        <v>477</v>
      </c>
      <c r="B211" s="483" t="s">
        <v>478</v>
      </c>
      <c r="C211" s="464">
        <v>2130</v>
      </c>
      <c r="D211" s="465">
        <v>2130</v>
      </c>
      <c r="E211" s="481">
        <v>17.75</v>
      </c>
      <c r="F211" s="482">
        <v>0</v>
      </c>
      <c r="G211" s="481">
        <f t="shared" si="23"/>
        <v>2130</v>
      </c>
      <c r="H211" s="466">
        <f t="shared" si="24"/>
        <v>0</v>
      </c>
      <c r="I211" s="468">
        <v>10</v>
      </c>
      <c r="K211" s="249">
        <v>2130</v>
      </c>
      <c r="L211" s="493">
        <f t="shared" si="25"/>
        <v>0</v>
      </c>
    </row>
    <row r="212" spans="1:12">
      <c r="A212" s="484" t="s">
        <v>480</v>
      </c>
      <c r="B212" s="505" t="s">
        <v>360</v>
      </c>
      <c r="C212" s="496">
        <v>4466.6099999999997</v>
      </c>
      <c r="D212" s="506">
        <v>4466.6099999999997</v>
      </c>
      <c r="E212" s="481">
        <v>37.22175</v>
      </c>
      <c r="F212" s="482">
        <v>0</v>
      </c>
      <c r="G212" s="507">
        <f t="shared" si="23"/>
        <v>4466.6099999999997</v>
      </c>
      <c r="H212" s="466">
        <f t="shared" si="24"/>
        <v>0</v>
      </c>
      <c r="I212" s="509">
        <v>10</v>
      </c>
      <c r="K212" s="249">
        <v>4466.6099999999997</v>
      </c>
      <c r="L212" s="493">
        <f t="shared" si="25"/>
        <v>0</v>
      </c>
    </row>
    <row r="213" spans="1:12">
      <c r="A213" s="480" t="s">
        <v>481</v>
      </c>
      <c r="B213" s="483" t="s">
        <v>482</v>
      </c>
      <c r="C213" s="464">
        <v>738.49</v>
      </c>
      <c r="D213" s="465">
        <v>738.49</v>
      </c>
      <c r="E213" s="481">
        <v>0</v>
      </c>
      <c r="F213" s="482">
        <v>0</v>
      </c>
      <c r="G213" s="481">
        <f t="shared" si="23"/>
        <v>738.49</v>
      </c>
      <c r="H213" s="466">
        <f t="shared" si="24"/>
        <v>0</v>
      </c>
      <c r="I213" s="468">
        <v>10</v>
      </c>
      <c r="K213" s="249">
        <v>738.49</v>
      </c>
      <c r="L213" s="493">
        <f t="shared" si="25"/>
        <v>0</v>
      </c>
    </row>
    <row r="214" spans="1:12">
      <c r="A214" s="480" t="s">
        <v>483</v>
      </c>
      <c r="B214" s="483" t="s">
        <v>484</v>
      </c>
      <c r="C214" s="464">
        <v>815.73</v>
      </c>
      <c r="D214" s="465">
        <v>815.73</v>
      </c>
      <c r="E214" s="481">
        <v>9.7110714285714295</v>
      </c>
      <c r="F214" s="482">
        <v>0</v>
      </c>
      <c r="G214" s="481">
        <f t="shared" si="23"/>
        <v>815.73</v>
      </c>
      <c r="H214" s="466">
        <f t="shared" si="24"/>
        <v>0</v>
      </c>
      <c r="I214" s="468">
        <v>10</v>
      </c>
      <c r="K214" s="249">
        <v>815.73</v>
      </c>
      <c r="L214" s="493">
        <f t="shared" si="25"/>
        <v>0</v>
      </c>
    </row>
    <row r="215" spans="1:12">
      <c r="A215" s="480" t="s">
        <v>485</v>
      </c>
      <c r="B215" s="483" t="s">
        <v>486</v>
      </c>
      <c r="C215" s="464">
        <v>3515.16</v>
      </c>
      <c r="D215" s="465">
        <v>3515.16</v>
      </c>
      <c r="E215" s="481">
        <v>9.7643333333333331</v>
      </c>
      <c r="F215" s="482">
        <v>0</v>
      </c>
      <c r="G215" s="481">
        <f t="shared" si="23"/>
        <v>3515.16</v>
      </c>
      <c r="H215" s="466">
        <f t="shared" si="24"/>
        <v>0</v>
      </c>
      <c r="I215" s="468">
        <v>7</v>
      </c>
      <c r="K215" s="249">
        <v>3515.16</v>
      </c>
      <c r="L215" s="493">
        <f t="shared" si="25"/>
        <v>0</v>
      </c>
    </row>
    <row r="216" spans="1:12">
      <c r="A216" s="480" t="s">
        <v>487</v>
      </c>
      <c r="B216" s="483" t="s">
        <v>488</v>
      </c>
      <c r="C216" s="464">
        <v>251.56</v>
      </c>
      <c r="D216" s="465">
        <v>251.56</v>
      </c>
      <c r="E216" s="481">
        <v>2.994761904761905</v>
      </c>
      <c r="F216" s="482">
        <v>0</v>
      </c>
      <c r="G216" s="481">
        <f t="shared" si="23"/>
        <v>251.56</v>
      </c>
      <c r="H216" s="466">
        <f t="shared" si="24"/>
        <v>0</v>
      </c>
      <c r="I216" s="468">
        <v>7</v>
      </c>
      <c r="K216" s="249">
        <v>251.56</v>
      </c>
      <c r="L216" s="493">
        <f t="shared" si="25"/>
        <v>0</v>
      </c>
    </row>
    <row r="217" spans="1:12">
      <c r="A217" s="480" t="s">
        <v>489</v>
      </c>
      <c r="B217" s="483" t="s">
        <v>404</v>
      </c>
      <c r="C217" s="464">
        <v>209.01</v>
      </c>
      <c r="D217" s="465">
        <v>209.01</v>
      </c>
      <c r="E217" s="481">
        <v>2.4882142857142857</v>
      </c>
      <c r="F217" s="482">
        <v>0</v>
      </c>
      <c r="G217" s="481">
        <f t="shared" si="23"/>
        <v>209.01</v>
      </c>
      <c r="H217" s="466">
        <f t="shared" si="24"/>
        <v>0</v>
      </c>
      <c r="I217" s="468">
        <v>7</v>
      </c>
      <c r="K217" s="249">
        <v>209.01</v>
      </c>
      <c r="L217" s="493">
        <f t="shared" si="25"/>
        <v>0</v>
      </c>
    </row>
    <row r="218" spans="1:12">
      <c r="A218" s="480" t="s">
        <v>479</v>
      </c>
      <c r="B218" s="483">
        <v>39052</v>
      </c>
      <c r="C218" s="464">
        <v>10891.33</v>
      </c>
      <c r="D218" s="465">
        <v>10891.330000000002</v>
      </c>
      <c r="E218" s="481">
        <v>129.65869047619049</v>
      </c>
      <c r="F218" s="482">
        <v>0</v>
      </c>
      <c r="G218" s="481">
        <f t="shared" si="23"/>
        <v>10891.330000000002</v>
      </c>
      <c r="H218" s="466">
        <f t="shared" si="24"/>
        <v>0</v>
      </c>
      <c r="I218" s="468">
        <v>5</v>
      </c>
      <c r="K218" s="249">
        <v>10891.33</v>
      </c>
      <c r="L218" s="493">
        <f t="shared" si="25"/>
        <v>0</v>
      </c>
    </row>
    <row r="219" spans="1:12">
      <c r="A219" s="480" t="s">
        <v>34</v>
      </c>
      <c r="B219" s="483">
        <v>39447</v>
      </c>
      <c r="C219" s="464">
        <v>2500</v>
      </c>
      <c r="D219" s="465">
        <v>1499.8400000000001</v>
      </c>
      <c r="E219" s="481">
        <v>20.833333333333332</v>
      </c>
      <c r="F219" s="482">
        <v>249.95999999999998</v>
      </c>
      <c r="G219" s="481">
        <f t="shared" si="23"/>
        <v>1749.8000000000002</v>
      </c>
      <c r="H219" s="466">
        <f t="shared" si="24"/>
        <v>750.19999999999982</v>
      </c>
      <c r="I219" s="468">
        <v>5</v>
      </c>
      <c r="K219" s="249">
        <v>2500</v>
      </c>
      <c r="L219" s="493">
        <f t="shared" si="25"/>
        <v>0</v>
      </c>
    </row>
    <row r="220" spans="1:12">
      <c r="A220" s="480" t="s">
        <v>808</v>
      </c>
      <c r="B220" s="483">
        <v>39780</v>
      </c>
      <c r="C220" s="464">
        <v>1074.8900000000001</v>
      </c>
      <c r="D220" s="465">
        <v>1074.8899999999999</v>
      </c>
      <c r="E220" s="481">
        <v>17.914833333333334</v>
      </c>
      <c r="F220" s="482">
        <v>0</v>
      </c>
      <c r="G220" s="481">
        <f t="shared" si="23"/>
        <v>1074.8899999999999</v>
      </c>
      <c r="H220" s="466">
        <f t="shared" si="24"/>
        <v>0</v>
      </c>
      <c r="I220" s="468">
        <v>5</v>
      </c>
      <c r="K220" s="249">
        <v>1074.8900000000001</v>
      </c>
      <c r="L220" s="493">
        <f t="shared" si="25"/>
        <v>0</v>
      </c>
    </row>
    <row r="221" spans="1:12">
      <c r="A221" s="480" t="s">
        <v>809</v>
      </c>
      <c r="B221" s="483">
        <v>39813</v>
      </c>
      <c r="C221" s="464">
        <v>694.93</v>
      </c>
      <c r="D221" s="465">
        <v>694.93000000000006</v>
      </c>
      <c r="E221" s="481">
        <v>11.582166666666666</v>
      </c>
      <c r="F221" s="482">
        <v>0</v>
      </c>
      <c r="G221" s="481">
        <f t="shared" si="23"/>
        <v>694.93000000000006</v>
      </c>
      <c r="H221" s="466">
        <f t="shared" si="24"/>
        <v>0</v>
      </c>
      <c r="I221" s="468">
        <v>5</v>
      </c>
      <c r="K221" s="249">
        <v>694.93</v>
      </c>
      <c r="L221" s="493">
        <f t="shared" si="25"/>
        <v>0</v>
      </c>
    </row>
    <row r="222" spans="1:12">
      <c r="A222" s="480" t="s">
        <v>810</v>
      </c>
      <c r="B222" s="483">
        <v>39813</v>
      </c>
      <c r="C222" s="464">
        <v>5337.5</v>
      </c>
      <c r="D222" s="465">
        <v>5337.5</v>
      </c>
      <c r="E222" s="481">
        <v>88.958333333333329</v>
      </c>
      <c r="F222" s="482">
        <v>0</v>
      </c>
      <c r="G222" s="481">
        <f t="shared" si="23"/>
        <v>5337.5</v>
      </c>
      <c r="H222" s="466">
        <f t="shared" si="24"/>
        <v>0</v>
      </c>
      <c r="I222" s="468">
        <v>5</v>
      </c>
      <c r="K222" s="249">
        <v>5337.5</v>
      </c>
      <c r="L222" s="493">
        <f t="shared" si="25"/>
        <v>0</v>
      </c>
    </row>
    <row r="223" spans="1:12">
      <c r="A223" s="480" t="s">
        <v>811</v>
      </c>
      <c r="B223" s="483">
        <v>39995</v>
      </c>
      <c r="C223" s="464">
        <v>820.04</v>
      </c>
      <c r="D223" s="465">
        <v>738.18</v>
      </c>
      <c r="E223" s="481">
        <v>6.835</v>
      </c>
      <c r="F223" s="482">
        <v>81.86</v>
      </c>
      <c r="G223" s="481">
        <f t="shared" si="23"/>
        <v>820.04</v>
      </c>
      <c r="H223" s="466">
        <f t="shared" si="24"/>
        <v>0</v>
      </c>
      <c r="I223" s="468">
        <v>5</v>
      </c>
      <c r="K223" s="249">
        <v>820.04</v>
      </c>
      <c r="L223" s="493">
        <f t="shared" si="25"/>
        <v>0</v>
      </c>
    </row>
    <row r="224" spans="1:12">
      <c r="A224" s="480" t="s">
        <v>812</v>
      </c>
      <c r="B224" s="483">
        <v>40118</v>
      </c>
      <c r="C224" s="464">
        <v>5594.2</v>
      </c>
      <c r="D224" s="465">
        <v>4662</v>
      </c>
      <c r="E224" s="481">
        <v>15.54</v>
      </c>
      <c r="F224" s="482">
        <v>932.19999999999993</v>
      </c>
      <c r="G224" s="481">
        <f t="shared" si="23"/>
        <v>5594.2</v>
      </c>
      <c r="H224" s="466">
        <f t="shared" si="24"/>
        <v>0</v>
      </c>
      <c r="I224" s="468">
        <v>5</v>
      </c>
      <c r="K224" s="249">
        <v>5594.2</v>
      </c>
      <c r="L224" s="493">
        <f t="shared" si="25"/>
        <v>0</v>
      </c>
    </row>
    <row r="225" spans="1:12">
      <c r="A225" s="480" t="s">
        <v>813</v>
      </c>
      <c r="B225" s="483">
        <v>40118</v>
      </c>
      <c r="C225" s="464">
        <v>5594.2</v>
      </c>
      <c r="D225" s="465">
        <v>4662</v>
      </c>
      <c r="E225" s="481">
        <v>15.54</v>
      </c>
      <c r="F225" s="482">
        <v>932.19999999999993</v>
      </c>
      <c r="G225" s="481">
        <f t="shared" si="23"/>
        <v>5594.2</v>
      </c>
      <c r="H225" s="466">
        <f t="shared" si="24"/>
        <v>0</v>
      </c>
      <c r="I225" s="468">
        <v>5</v>
      </c>
      <c r="K225" s="249">
        <v>5594.2</v>
      </c>
      <c r="L225" s="493">
        <f t="shared" si="25"/>
        <v>0</v>
      </c>
    </row>
    <row r="226" spans="1:12">
      <c r="A226" s="480" t="s">
        <v>814</v>
      </c>
      <c r="B226" s="483">
        <v>40118</v>
      </c>
      <c r="C226" s="464">
        <v>5594.19</v>
      </c>
      <c r="D226" s="465">
        <v>4662</v>
      </c>
      <c r="E226" s="481">
        <v>15.54</v>
      </c>
      <c r="F226" s="482">
        <v>932.18999999999994</v>
      </c>
      <c r="G226" s="481">
        <f t="shared" si="23"/>
        <v>5594.19</v>
      </c>
      <c r="H226" s="466">
        <f t="shared" si="24"/>
        <v>0</v>
      </c>
      <c r="I226" s="468">
        <v>5</v>
      </c>
      <c r="K226" s="249">
        <v>5594.19</v>
      </c>
      <c r="L226" s="493">
        <f t="shared" si="25"/>
        <v>0</v>
      </c>
    </row>
    <row r="227" spans="1:12">
      <c r="A227" s="480" t="s">
        <v>851</v>
      </c>
      <c r="B227" s="483">
        <v>40452</v>
      </c>
      <c r="C227" s="464">
        <v>33182.660000000003</v>
      </c>
      <c r="D227" s="465">
        <v>21568.559999999998</v>
      </c>
      <c r="E227" s="481">
        <v>15.54</v>
      </c>
      <c r="F227" s="482">
        <v>6636.48</v>
      </c>
      <c r="G227" s="481">
        <f t="shared" si="23"/>
        <v>28205.039999999997</v>
      </c>
      <c r="H227" s="466">
        <f t="shared" si="24"/>
        <v>4977.6200000000063</v>
      </c>
      <c r="I227" s="468">
        <v>5</v>
      </c>
      <c r="K227" s="249">
        <v>33182.660000000003</v>
      </c>
      <c r="L227" s="493">
        <f t="shared" si="25"/>
        <v>0</v>
      </c>
    </row>
    <row r="228" spans="1:12">
      <c r="A228" s="480" t="s">
        <v>852</v>
      </c>
      <c r="B228" s="483">
        <v>40512</v>
      </c>
      <c r="C228" s="464">
        <v>12420</v>
      </c>
      <c r="D228" s="465">
        <v>7659</v>
      </c>
      <c r="E228" s="481">
        <v>15.54</v>
      </c>
      <c r="F228" s="482">
        <v>2484</v>
      </c>
      <c r="G228" s="481">
        <f t="shared" si="23"/>
        <v>10143</v>
      </c>
      <c r="H228" s="466">
        <f t="shared" si="24"/>
        <v>2277</v>
      </c>
      <c r="I228" s="468">
        <v>5</v>
      </c>
      <c r="K228" s="249">
        <v>12420</v>
      </c>
      <c r="L228" s="493">
        <f t="shared" si="25"/>
        <v>0</v>
      </c>
    </row>
    <row r="229" spans="1:12">
      <c r="A229" s="480" t="s">
        <v>913</v>
      </c>
      <c r="B229" s="483">
        <v>40574</v>
      </c>
      <c r="C229" s="464">
        <v>1475.31</v>
      </c>
      <c r="D229" s="465">
        <v>860.64999999999986</v>
      </c>
      <c r="E229" s="481">
        <v>15.54</v>
      </c>
      <c r="F229" s="482">
        <v>295.08</v>
      </c>
      <c r="G229" s="481">
        <f t="shared" si="23"/>
        <v>1155.7299999999998</v>
      </c>
      <c r="H229" s="466">
        <f t="shared" si="24"/>
        <v>319.58000000000015</v>
      </c>
      <c r="I229" s="468">
        <v>5</v>
      </c>
      <c r="K229" s="249">
        <v>1475.31</v>
      </c>
      <c r="L229" s="493">
        <f t="shared" si="25"/>
        <v>0</v>
      </c>
    </row>
    <row r="230" spans="1:12">
      <c r="A230" s="480" t="s">
        <v>914</v>
      </c>
      <c r="B230" s="483">
        <v>40816</v>
      </c>
      <c r="C230" s="464">
        <v>6261.6799999999994</v>
      </c>
      <c r="D230" s="465">
        <v>2817.72</v>
      </c>
      <c r="E230" s="481">
        <v>15.54</v>
      </c>
      <c r="F230" s="482">
        <v>1252.32</v>
      </c>
      <c r="G230" s="481">
        <f t="shared" si="23"/>
        <v>4070.04</v>
      </c>
      <c r="H230" s="466">
        <f t="shared" si="24"/>
        <v>2191.6399999999994</v>
      </c>
      <c r="I230" s="468">
        <v>5</v>
      </c>
      <c r="K230" s="249">
        <v>6261.6799999999994</v>
      </c>
      <c r="L230" s="493">
        <f t="shared" si="25"/>
        <v>0</v>
      </c>
    </row>
    <row r="231" spans="1:12">
      <c r="A231" s="480" t="s">
        <v>915</v>
      </c>
      <c r="B231" s="483">
        <v>40786</v>
      </c>
      <c r="C231" s="464">
        <v>1061.7</v>
      </c>
      <c r="D231" s="465">
        <v>495.6</v>
      </c>
      <c r="E231" s="481">
        <v>15.54</v>
      </c>
      <c r="F231" s="482">
        <v>212.39999999999998</v>
      </c>
      <c r="G231" s="481">
        <f t="shared" si="23"/>
        <v>708</v>
      </c>
      <c r="H231" s="466">
        <f t="shared" si="24"/>
        <v>353.70000000000005</v>
      </c>
      <c r="I231" s="468">
        <v>5</v>
      </c>
      <c r="K231" s="249">
        <v>1061.7</v>
      </c>
      <c r="L231" s="493">
        <f t="shared" si="25"/>
        <v>0</v>
      </c>
    </row>
    <row r="232" spans="1:12">
      <c r="A232" s="480" t="s">
        <v>916</v>
      </c>
      <c r="B232" s="483">
        <v>40908</v>
      </c>
      <c r="C232" s="464">
        <v>7250</v>
      </c>
      <c r="D232" s="465">
        <v>2899.92</v>
      </c>
      <c r="E232" s="481">
        <v>15.54</v>
      </c>
      <c r="F232" s="482">
        <v>1449.96</v>
      </c>
      <c r="G232" s="481">
        <f t="shared" si="23"/>
        <v>4349.88</v>
      </c>
      <c r="H232" s="466">
        <f t="shared" si="24"/>
        <v>2900.12</v>
      </c>
      <c r="I232" s="468">
        <v>5</v>
      </c>
      <c r="K232" s="249">
        <v>7250</v>
      </c>
      <c r="L232" s="493">
        <f t="shared" si="25"/>
        <v>0</v>
      </c>
    </row>
    <row r="233" spans="1:12">
      <c r="A233" s="480" t="s">
        <v>925</v>
      </c>
      <c r="B233" s="483">
        <v>40940</v>
      </c>
      <c r="C233" s="464">
        <v>851.64</v>
      </c>
      <c r="D233" s="465">
        <v>326.37</v>
      </c>
      <c r="E233" s="481">
        <v>15.54</v>
      </c>
      <c r="F233" s="482">
        <v>170.28</v>
      </c>
      <c r="G233" s="481">
        <f t="shared" si="23"/>
        <v>496.65</v>
      </c>
      <c r="H233" s="466">
        <f t="shared" si="24"/>
        <v>354.99</v>
      </c>
      <c r="I233" s="468">
        <v>5</v>
      </c>
      <c r="K233" s="249">
        <v>6261.6799999999994</v>
      </c>
      <c r="L233" s="493">
        <f t="shared" si="25"/>
        <v>-5410.0399999999991</v>
      </c>
    </row>
    <row r="234" spans="1:12">
      <c r="A234" s="480" t="s">
        <v>926</v>
      </c>
      <c r="B234" s="483">
        <v>41029</v>
      </c>
      <c r="C234" s="464">
        <v>2750</v>
      </c>
      <c r="D234" s="465">
        <v>916.6</v>
      </c>
      <c r="E234" s="481">
        <v>15.54</v>
      </c>
      <c r="F234" s="482">
        <v>549.96</v>
      </c>
      <c r="G234" s="481">
        <f t="shared" si="23"/>
        <v>1466.56</v>
      </c>
      <c r="H234" s="466">
        <f t="shared" si="24"/>
        <v>1283.44</v>
      </c>
      <c r="I234" s="468">
        <v>5</v>
      </c>
      <c r="K234" s="249">
        <v>1061.7</v>
      </c>
      <c r="L234" s="493">
        <f t="shared" si="25"/>
        <v>1688.3</v>
      </c>
    </row>
    <row r="235" spans="1:12">
      <c r="A235" s="480" t="s">
        <v>927</v>
      </c>
      <c r="B235" s="483">
        <v>41091</v>
      </c>
      <c r="C235" s="464">
        <v>842.19</v>
      </c>
      <c r="D235" s="465">
        <v>252.71999999999997</v>
      </c>
      <c r="E235" s="481">
        <v>15.54</v>
      </c>
      <c r="F235" s="482">
        <v>168.48</v>
      </c>
      <c r="G235" s="481">
        <f t="shared" si="23"/>
        <v>421.19999999999993</v>
      </c>
      <c r="H235" s="466">
        <f t="shared" si="24"/>
        <v>420.99000000000012</v>
      </c>
      <c r="I235" s="468">
        <v>5</v>
      </c>
      <c r="L235" s="493"/>
    </row>
    <row r="236" spans="1:12">
      <c r="A236" s="480" t="s">
        <v>993</v>
      </c>
      <c r="B236" s="483">
        <v>41639</v>
      </c>
      <c r="C236" s="464">
        <v>2458.52</v>
      </c>
      <c r="D236" s="465">
        <v>0</v>
      </c>
      <c r="E236" s="481">
        <v>15.54</v>
      </c>
      <c r="F236" s="482">
        <v>491.76</v>
      </c>
      <c r="G236" s="481">
        <f t="shared" ref="G236:G237" si="26">+D236+F236</f>
        <v>491.76</v>
      </c>
      <c r="H236" s="466">
        <f t="shared" ref="H236:H237" si="27">+C236-G236</f>
        <v>1966.76</v>
      </c>
      <c r="I236" s="468">
        <v>5</v>
      </c>
      <c r="K236" s="249">
        <v>7250</v>
      </c>
      <c r="L236" s="493">
        <f>+C236-K236</f>
        <v>-4791.4799999999996</v>
      </c>
    </row>
    <row r="237" spans="1:12">
      <c r="A237" s="480" t="s">
        <v>1031</v>
      </c>
      <c r="B237" s="483">
        <v>42004</v>
      </c>
      <c r="C237" s="464">
        <v>51954.38</v>
      </c>
      <c r="D237" s="465">
        <v>0</v>
      </c>
      <c r="E237" s="481">
        <v>15.54</v>
      </c>
      <c r="F237" s="482">
        <v>0</v>
      </c>
      <c r="G237" s="481">
        <f t="shared" si="26"/>
        <v>0</v>
      </c>
      <c r="H237" s="466">
        <f t="shared" si="27"/>
        <v>51954.38</v>
      </c>
      <c r="I237" s="468">
        <v>5</v>
      </c>
      <c r="K237" s="249">
        <v>7250</v>
      </c>
      <c r="L237" s="493">
        <f>+C237-K237</f>
        <v>44704.38</v>
      </c>
    </row>
    <row r="238" spans="1:12">
      <c r="A238" s="480" t="s">
        <v>1032</v>
      </c>
      <c r="B238" s="483">
        <v>42004</v>
      </c>
      <c r="C238" s="464">
        <v>7374.37</v>
      </c>
      <c r="D238" s="465">
        <v>0</v>
      </c>
      <c r="E238" s="481">
        <v>15.54</v>
      </c>
      <c r="F238" s="482">
        <v>0</v>
      </c>
      <c r="G238" s="481">
        <f t="shared" ref="G238" si="28">+D238+F238</f>
        <v>0</v>
      </c>
      <c r="H238" s="466">
        <f t="shared" ref="H238" si="29">+C238-G238</f>
        <v>7374.37</v>
      </c>
      <c r="I238" s="468">
        <v>5</v>
      </c>
      <c r="K238" s="249">
        <v>7250</v>
      </c>
      <c r="L238" s="493">
        <f>+C238-K238</f>
        <v>124.36999999999989</v>
      </c>
    </row>
    <row r="239" spans="1:12">
      <c r="A239" s="480" t="s">
        <v>1033</v>
      </c>
      <c r="B239" s="483">
        <v>42004</v>
      </c>
      <c r="C239" s="464">
        <v>2019.94</v>
      </c>
      <c r="D239" s="465">
        <v>0</v>
      </c>
      <c r="E239" s="481">
        <v>15.54</v>
      </c>
      <c r="F239" s="482">
        <v>0</v>
      </c>
      <c r="G239" s="481">
        <f t="shared" si="23"/>
        <v>0</v>
      </c>
      <c r="H239" s="466">
        <f t="shared" si="24"/>
        <v>2019.94</v>
      </c>
      <c r="I239" s="468">
        <v>5</v>
      </c>
      <c r="K239" s="249">
        <v>7250</v>
      </c>
      <c r="L239" s="493">
        <f>+C239-K239</f>
        <v>-5230.0599999999995</v>
      </c>
    </row>
    <row r="240" spans="1:12" ht="13.5" thickBot="1">
      <c r="A240" s="502" t="s">
        <v>490</v>
      </c>
      <c r="B240" s="483"/>
      <c r="C240" s="503">
        <f>SUM(C208:C239)</f>
        <v>185562.61</v>
      </c>
      <c r="D240" s="503">
        <f>SUM(D208:D239)</f>
        <v>89578.75</v>
      </c>
      <c r="E240" s="503">
        <v>891.55021626984114</v>
      </c>
      <c r="F240" s="503">
        <f>SUM(F208:F239)</f>
        <v>16839.129999999997</v>
      </c>
      <c r="G240" s="503">
        <f>SUM(G208:G239)</f>
        <v>106417.87999999998</v>
      </c>
      <c r="H240" s="503">
        <f>SUM(H208:H239)</f>
        <v>79144.73000000001</v>
      </c>
      <c r="I240" s="468"/>
      <c r="L240" s="493"/>
    </row>
    <row r="241" spans="1:12" ht="13.5" thickTop="1">
      <c r="A241" s="480"/>
      <c r="B241" s="483"/>
      <c r="C241" s="464"/>
      <c r="D241" s="465"/>
      <c r="E241" s="481"/>
      <c r="F241" s="482"/>
      <c r="G241" s="481"/>
      <c r="H241" s="466"/>
      <c r="I241" s="468"/>
      <c r="L241" s="493"/>
    </row>
    <row r="242" spans="1:12">
      <c r="A242" s="490" t="s">
        <v>491</v>
      </c>
      <c r="B242" s="483"/>
      <c r="C242" s="464"/>
      <c r="D242" s="465"/>
      <c r="E242" s="481"/>
      <c r="F242" s="482"/>
      <c r="G242" s="481"/>
      <c r="H242" s="466"/>
      <c r="I242" s="468"/>
      <c r="L242" s="493"/>
    </row>
    <row r="243" spans="1:12">
      <c r="A243" s="480" t="s">
        <v>492</v>
      </c>
      <c r="B243" s="483" t="s">
        <v>371</v>
      </c>
      <c r="C243" s="464">
        <v>456.29</v>
      </c>
      <c r="D243" s="465">
        <v>456.29</v>
      </c>
      <c r="E243" s="481">
        <v>0</v>
      </c>
      <c r="F243" s="482">
        <v>0</v>
      </c>
      <c r="G243" s="481">
        <f t="shared" ref="G243:G274" si="30">+D243+F243</f>
        <v>456.29</v>
      </c>
      <c r="H243" s="466">
        <f t="shared" ref="H243:H274" si="31">+C243-G243</f>
        <v>0</v>
      </c>
      <c r="I243" s="468">
        <v>20</v>
      </c>
      <c r="L243" s="493"/>
    </row>
    <row r="244" spans="1:12">
      <c r="A244" s="480" t="s">
        <v>493</v>
      </c>
      <c r="B244" s="483" t="s">
        <v>345</v>
      </c>
      <c r="C244" s="464">
        <v>563.87</v>
      </c>
      <c r="D244" s="465">
        <v>563.87</v>
      </c>
      <c r="E244" s="481">
        <v>0</v>
      </c>
      <c r="F244" s="482">
        <v>0</v>
      </c>
      <c r="G244" s="481">
        <f t="shared" si="30"/>
        <v>563.87</v>
      </c>
      <c r="H244" s="466">
        <f t="shared" si="31"/>
        <v>0</v>
      </c>
      <c r="I244" s="468">
        <v>20</v>
      </c>
      <c r="K244" s="493">
        <v>0</v>
      </c>
      <c r="L244" s="493">
        <f>+H243-K244</f>
        <v>0</v>
      </c>
    </row>
    <row r="245" spans="1:12">
      <c r="A245" s="480" t="s">
        <v>494</v>
      </c>
      <c r="B245" s="483" t="s">
        <v>372</v>
      </c>
      <c r="C245" s="464">
        <v>775</v>
      </c>
      <c r="D245" s="465">
        <v>775</v>
      </c>
      <c r="E245" s="481">
        <v>0</v>
      </c>
      <c r="F245" s="482">
        <v>0</v>
      </c>
      <c r="G245" s="481">
        <f t="shared" si="30"/>
        <v>775</v>
      </c>
      <c r="H245" s="466">
        <f t="shared" si="31"/>
        <v>0</v>
      </c>
      <c r="I245" s="468">
        <v>20</v>
      </c>
      <c r="K245" s="249">
        <v>0</v>
      </c>
      <c r="L245" s="493">
        <f t="shared" ref="L245:L305" si="32">+H244-K245</f>
        <v>0</v>
      </c>
    </row>
    <row r="246" spans="1:12">
      <c r="A246" s="480" t="s">
        <v>493</v>
      </c>
      <c r="B246" s="483" t="s">
        <v>372</v>
      </c>
      <c r="C246" s="464">
        <v>295</v>
      </c>
      <c r="D246" s="465">
        <v>295</v>
      </c>
      <c r="E246" s="481">
        <v>0</v>
      </c>
      <c r="F246" s="482">
        <v>0</v>
      </c>
      <c r="G246" s="481">
        <f t="shared" si="30"/>
        <v>295</v>
      </c>
      <c r="H246" s="466">
        <f t="shared" si="31"/>
        <v>0</v>
      </c>
      <c r="I246" s="468">
        <v>20</v>
      </c>
      <c r="K246" s="249">
        <v>0</v>
      </c>
      <c r="L246" s="493">
        <f t="shared" si="32"/>
        <v>0</v>
      </c>
    </row>
    <row r="247" spans="1:12">
      <c r="A247" s="480" t="s">
        <v>495</v>
      </c>
      <c r="B247" s="483" t="s">
        <v>496</v>
      </c>
      <c r="C247" s="464">
        <v>8324.89</v>
      </c>
      <c r="D247" s="465">
        <v>8324.89</v>
      </c>
      <c r="E247" s="481">
        <v>0</v>
      </c>
      <c r="F247" s="482">
        <v>0</v>
      </c>
      <c r="G247" s="481">
        <f t="shared" si="30"/>
        <v>8324.89</v>
      </c>
      <c r="H247" s="466">
        <f t="shared" si="31"/>
        <v>0</v>
      </c>
      <c r="I247" s="468">
        <v>10</v>
      </c>
      <c r="K247" s="249">
        <v>0</v>
      </c>
      <c r="L247" s="493">
        <f t="shared" si="32"/>
        <v>0</v>
      </c>
    </row>
    <row r="248" spans="1:12">
      <c r="A248" s="480" t="s">
        <v>497</v>
      </c>
      <c r="B248" s="483">
        <v>30682</v>
      </c>
      <c r="C248" s="464">
        <v>500</v>
      </c>
      <c r="D248" s="465">
        <v>500</v>
      </c>
      <c r="E248" s="481">
        <v>0</v>
      </c>
      <c r="F248" s="482">
        <v>0</v>
      </c>
      <c r="G248" s="481">
        <f t="shared" si="30"/>
        <v>500</v>
      </c>
      <c r="H248" s="466">
        <f t="shared" si="31"/>
        <v>0</v>
      </c>
      <c r="I248" s="468">
        <v>10</v>
      </c>
      <c r="K248" s="493">
        <v>0</v>
      </c>
      <c r="L248" s="493">
        <f t="shared" si="32"/>
        <v>0</v>
      </c>
    </row>
    <row r="249" spans="1:12">
      <c r="A249" s="480" t="s">
        <v>498</v>
      </c>
      <c r="B249" s="483">
        <v>30682</v>
      </c>
      <c r="C249" s="464">
        <v>365.55</v>
      </c>
      <c r="D249" s="465">
        <v>365.55</v>
      </c>
      <c r="E249" s="481">
        <v>0</v>
      </c>
      <c r="F249" s="482">
        <v>0</v>
      </c>
      <c r="G249" s="481">
        <f t="shared" si="30"/>
        <v>365.55</v>
      </c>
      <c r="H249" s="466">
        <f t="shared" si="31"/>
        <v>0</v>
      </c>
      <c r="I249" s="468">
        <v>10</v>
      </c>
      <c r="K249" s="493">
        <v>0</v>
      </c>
      <c r="L249" s="493">
        <f t="shared" si="32"/>
        <v>0</v>
      </c>
    </row>
    <row r="250" spans="1:12">
      <c r="A250" s="480" t="s">
        <v>499</v>
      </c>
      <c r="B250" s="483">
        <v>30682</v>
      </c>
      <c r="C250" s="464">
        <v>5835</v>
      </c>
      <c r="D250" s="465">
        <v>5835</v>
      </c>
      <c r="E250" s="481">
        <v>0</v>
      </c>
      <c r="F250" s="482">
        <v>0</v>
      </c>
      <c r="G250" s="481">
        <f t="shared" si="30"/>
        <v>5835</v>
      </c>
      <c r="H250" s="466">
        <f t="shared" si="31"/>
        <v>0</v>
      </c>
      <c r="I250" s="468">
        <v>10</v>
      </c>
      <c r="K250" s="493">
        <v>0</v>
      </c>
      <c r="L250" s="493">
        <f t="shared" si="32"/>
        <v>0</v>
      </c>
    </row>
    <row r="251" spans="1:12">
      <c r="A251" s="480" t="s">
        <v>500</v>
      </c>
      <c r="B251" s="483">
        <v>31048</v>
      </c>
      <c r="C251" s="464">
        <v>97.75</v>
      </c>
      <c r="D251" s="465">
        <v>97.75</v>
      </c>
      <c r="E251" s="481">
        <v>0</v>
      </c>
      <c r="F251" s="482">
        <v>0</v>
      </c>
      <c r="G251" s="481">
        <f t="shared" si="30"/>
        <v>97.75</v>
      </c>
      <c r="H251" s="466">
        <f t="shared" si="31"/>
        <v>0</v>
      </c>
      <c r="I251" s="468">
        <v>7</v>
      </c>
      <c r="K251" s="249">
        <v>0</v>
      </c>
      <c r="L251" s="493">
        <f t="shared" si="32"/>
        <v>0</v>
      </c>
    </row>
    <row r="252" spans="1:12">
      <c r="A252" s="480" t="s">
        <v>501</v>
      </c>
      <c r="B252" s="483">
        <v>31048</v>
      </c>
      <c r="C252" s="464">
        <v>510.89</v>
      </c>
      <c r="D252" s="465">
        <v>510.89</v>
      </c>
      <c r="E252" s="481">
        <v>0</v>
      </c>
      <c r="F252" s="482">
        <v>0</v>
      </c>
      <c r="G252" s="481">
        <f t="shared" si="30"/>
        <v>510.89</v>
      </c>
      <c r="H252" s="466">
        <f t="shared" si="31"/>
        <v>0</v>
      </c>
      <c r="I252" s="468">
        <v>7</v>
      </c>
      <c r="K252" s="249">
        <v>0</v>
      </c>
      <c r="L252" s="493">
        <f t="shared" si="32"/>
        <v>0</v>
      </c>
    </row>
    <row r="253" spans="1:12">
      <c r="A253" s="480" t="s">
        <v>502</v>
      </c>
      <c r="B253" s="483">
        <v>31413</v>
      </c>
      <c r="C253" s="464">
        <v>207.49</v>
      </c>
      <c r="D253" s="465">
        <v>207.49</v>
      </c>
      <c r="E253" s="481">
        <v>0</v>
      </c>
      <c r="F253" s="482">
        <v>0</v>
      </c>
      <c r="G253" s="481">
        <f t="shared" si="30"/>
        <v>207.49</v>
      </c>
      <c r="H253" s="466">
        <f t="shared" si="31"/>
        <v>0</v>
      </c>
      <c r="I253" s="468">
        <v>7</v>
      </c>
      <c r="K253" s="249">
        <v>0</v>
      </c>
      <c r="L253" s="493">
        <f t="shared" si="32"/>
        <v>0</v>
      </c>
    </row>
    <row r="254" spans="1:12">
      <c r="A254" s="480" t="s">
        <v>503</v>
      </c>
      <c r="B254" s="483">
        <v>31778</v>
      </c>
      <c r="C254" s="464">
        <v>1400</v>
      </c>
      <c r="D254" s="465">
        <v>1400</v>
      </c>
      <c r="E254" s="481">
        <v>0</v>
      </c>
      <c r="F254" s="482">
        <v>0</v>
      </c>
      <c r="G254" s="481">
        <f t="shared" si="30"/>
        <v>1400</v>
      </c>
      <c r="H254" s="466">
        <f t="shared" si="31"/>
        <v>0</v>
      </c>
      <c r="I254" s="468">
        <v>7</v>
      </c>
      <c r="K254" s="249">
        <v>0</v>
      </c>
      <c r="L254" s="493">
        <f t="shared" si="32"/>
        <v>0</v>
      </c>
    </row>
    <row r="255" spans="1:12">
      <c r="A255" s="480" t="s">
        <v>504</v>
      </c>
      <c r="B255" s="483">
        <v>32143</v>
      </c>
      <c r="C255" s="464">
        <v>1000</v>
      </c>
      <c r="D255" s="465">
        <v>1000</v>
      </c>
      <c r="E255" s="481">
        <v>0</v>
      </c>
      <c r="F255" s="482">
        <v>0</v>
      </c>
      <c r="G255" s="481">
        <f t="shared" si="30"/>
        <v>1000</v>
      </c>
      <c r="H255" s="466">
        <f t="shared" si="31"/>
        <v>0</v>
      </c>
      <c r="I255" s="468">
        <v>10</v>
      </c>
      <c r="K255" s="249">
        <v>0</v>
      </c>
      <c r="L255" s="493">
        <f t="shared" si="32"/>
        <v>0</v>
      </c>
    </row>
    <row r="256" spans="1:12">
      <c r="A256" s="480" t="s">
        <v>505</v>
      </c>
      <c r="B256" s="483">
        <v>32509</v>
      </c>
      <c r="C256" s="464">
        <v>736.01</v>
      </c>
      <c r="D256" s="465">
        <v>736.01</v>
      </c>
      <c r="E256" s="481">
        <v>0</v>
      </c>
      <c r="F256" s="482">
        <v>0</v>
      </c>
      <c r="G256" s="481">
        <f t="shared" si="30"/>
        <v>736.01</v>
      </c>
      <c r="H256" s="466">
        <f t="shared" si="31"/>
        <v>0</v>
      </c>
      <c r="I256" s="468">
        <v>10</v>
      </c>
      <c r="K256" s="249">
        <v>0</v>
      </c>
      <c r="L256" s="493">
        <f t="shared" si="32"/>
        <v>0</v>
      </c>
    </row>
    <row r="257" spans="1:12">
      <c r="A257" s="480" t="s">
        <v>506</v>
      </c>
      <c r="B257" s="483">
        <v>32874</v>
      </c>
      <c r="C257" s="464">
        <v>541</v>
      </c>
      <c r="D257" s="465">
        <v>541</v>
      </c>
      <c r="E257" s="481">
        <v>0</v>
      </c>
      <c r="F257" s="482">
        <v>0</v>
      </c>
      <c r="G257" s="481">
        <f t="shared" si="30"/>
        <v>541</v>
      </c>
      <c r="H257" s="466">
        <f t="shared" si="31"/>
        <v>0</v>
      </c>
      <c r="I257" s="468">
        <v>10</v>
      </c>
      <c r="K257" s="249">
        <v>0</v>
      </c>
      <c r="L257" s="493">
        <f t="shared" si="32"/>
        <v>0</v>
      </c>
    </row>
    <row r="258" spans="1:12">
      <c r="A258" s="480" t="s">
        <v>507</v>
      </c>
      <c r="B258" s="483">
        <v>32874</v>
      </c>
      <c r="C258" s="464">
        <v>1060.96</v>
      </c>
      <c r="D258" s="465">
        <v>1060.96</v>
      </c>
      <c r="E258" s="481">
        <v>0</v>
      </c>
      <c r="F258" s="482">
        <v>0</v>
      </c>
      <c r="G258" s="481">
        <f t="shared" si="30"/>
        <v>1060.96</v>
      </c>
      <c r="H258" s="466">
        <f t="shared" si="31"/>
        <v>0</v>
      </c>
      <c r="I258" s="468">
        <v>10</v>
      </c>
      <c r="K258" s="249">
        <v>0</v>
      </c>
      <c r="L258" s="493">
        <f t="shared" si="32"/>
        <v>0</v>
      </c>
    </row>
    <row r="259" spans="1:12">
      <c r="A259" s="480" t="s">
        <v>508</v>
      </c>
      <c r="B259" s="483">
        <v>33239</v>
      </c>
      <c r="C259" s="464">
        <v>1650</v>
      </c>
      <c r="D259" s="465">
        <v>1650</v>
      </c>
      <c r="E259" s="481">
        <v>0</v>
      </c>
      <c r="F259" s="482">
        <v>0</v>
      </c>
      <c r="G259" s="481">
        <f t="shared" si="30"/>
        <v>1650</v>
      </c>
      <c r="H259" s="466">
        <f t="shared" si="31"/>
        <v>0</v>
      </c>
      <c r="I259" s="468">
        <v>10</v>
      </c>
      <c r="K259" s="249">
        <v>0</v>
      </c>
      <c r="L259" s="493">
        <f t="shared" si="32"/>
        <v>0</v>
      </c>
    </row>
    <row r="260" spans="1:12">
      <c r="A260" s="480" t="s">
        <v>509</v>
      </c>
      <c r="B260" s="483">
        <v>33239</v>
      </c>
      <c r="C260" s="464">
        <v>2876.7</v>
      </c>
      <c r="D260" s="465">
        <v>2876.7</v>
      </c>
      <c r="E260" s="481">
        <v>0</v>
      </c>
      <c r="F260" s="482">
        <v>0</v>
      </c>
      <c r="G260" s="481">
        <f t="shared" si="30"/>
        <v>2876.7</v>
      </c>
      <c r="H260" s="466">
        <f t="shared" si="31"/>
        <v>0</v>
      </c>
      <c r="I260" s="468">
        <v>10</v>
      </c>
      <c r="K260" s="249">
        <v>0</v>
      </c>
      <c r="L260" s="493">
        <f t="shared" si="32"/>
        <v>0</v>
      </c>
    </row>
    <row r="261" spans="1:12">
      <c r="A261" s="480" t="s">
        <v>510</v>
      </c>
      <c r="B261" s="483">
        <v>33969</v>
      </c>
      <c r="C261" s="464">
        <v>7731.28</v>
      </c>
      <c r="D261" s="465">
        <v>7731.28</v>
      </c>
      <c r="E261" s="481">
        <v>0</v>
      </c>
      <c r="F261" s="482">
        <v>0</v>
      </c>
      <c r="G261" s="481">
        <f t="shared" si="30"/>
        <v>7731.28</v>
      </c>
      <c r="H261" s="466">
        <f t="shared" si="31"/>
        <v>0</v>
      </c>
      <c r="I261" s="468">
        <v>10</v>
      </c>
      <c r="K261" s="249">
        <v>0</v>
      </c>
      <c r="L261" s="493">
        <f t="shared" si="32"/>
        <v>0</v>
      </c>
    </row>
    <row r="262" spans="1:12">
      <c r="A262" s="480" t="s">
        <v>509</v>
      </c>
      <c r="B262" s="483">
        <v>33970</v>
      </c>
      <c r="C262" s="464">
        <v>1418.95</v>
      </c>
      <c r="D262" s="465">
        <v>1418.95</v>
      </c>
      <c r="E262" s="481">
        <v>0</v>
      </c>
      <c r="F262" s="482">
        <v>0</v>
      </c>
      <c r="G262" s="481">
        <f t="shared" si="30"/>
        <v>1418.95</v>
      </c>
      <c r="H262" s="466">
        <f t="shared" si="31"/>
        <v>0</v>
      </c>
      <c r="I262" s="468">
        <v>5</v>
      </c>
      <c r="K262" s="249">
        <v>0</v>
      </c>
      <c r="L262" s="493">
        <f t="shared" si="32"/>
        <v>0</v>
      </c>
    </row>
    <row r="263" spans="1:12">
      <c r="A263" s="480" t="s">
        <v>493</v>
      </c>
      <c r="B263" s="483">
        <v>34487</v>
      </c>
      <c r="C263" s="464">
        <v>3256.75</v>
      </c>
      <c r="D263" s="465">
        <v>3256.75</v>
      </c>
      <c r="E263" s="481">
        <v>0</v>
      </c>
      <c r="F263" s="482">
        <v>0</v>
      </c>
      <c r="G263" s="481">
        <f t="shared" si="30"/>
        <v>3256.75</v>
      </c>
      <c r="H263" s="466">
        <f t="shared" si="31"/>
        <v>0</v>
      </c>
      <c r="I263" s="468">
        <v>10</v>
      </c>
      <c r="K263" s="249">
        <v>0</v>
      </c>
      <c r="L263" s="493">
        <f t="shared" si="32"/>
        <v>0</v>
      </c>
    </row>
    <row r="264" spans="1:12">
      <c r="A264" s="480" t="s">
        <v>511</v>
      </c>
      <c r="B264" s="483">
        <v>34736</v>
      </c>
      <c r="C264" s="464">
        <v>5538</v>
      </c>
      <c r="D264" s="465">
        <v>5538</v>
      </c>
      <c r="E264" s="481">
        <v>0</v>
      </c>
      <c r="F264" s="482">
        <v>0</v>
      </c>
      <c r="G264" s="481">
        <f t="shared" si="30"/>
        <v>5538</v>
      </c>
      <c r="H264" s="466">
        <f t="shared" si="31"/>
        <v>0</v>
      </c>
      <c r="I264" s="468">
        <v>10</v>
      </c>
      <c r="K264" s="249">
        <v>0</v>
      </c>
      <c r="L264" s="493">
        <f t="shared" si="32"/>
        <v>0</v>
      </c>
    </row>
    <row r="265" spans="1:12">
      <c r="A265" s="480" t="s">
        <v>512</v>
      </c>
      <c r="B265" s="483">
        <v>35054</v>
      </c>
      <c r="C265" s="464">
        <v>795.85</v>
      </c>
      <c r="D265" s="465">
        <v>596.72</v>
      </c>
      <c r="E265" s="481">
        <v>2.7633680555555551</v>
      </c>
      <c r="F265" s="482">
        <v>33.119999999999997</v>
      </c>
      <c r="G265" s="481">
        <f t="shared" si="30"/>
        <v>629.84</v>
      </c>
      <c r="H265" s="466">
        <f t="shared" si="31"/>
        <v>166.01</v>
      </c>
      <c r="I265" s="468">
        <v>24.03</v>
      </c>
      <c r="K265" s="249">
        <v>0</v>
      </c>
      <c r="L265" s="493">
        <f t="shared" si="32"/>
        <v>0</v>
      </c>
    </row>
    <row r="266" spans="1:12">
      <c r="A266" s="480" t="s">
        <v>513</v>
      </c>
      <c r="B266" s="483">
        <v>35054</v>
      </c>
      <c r="C266" s="464">
        <v>1393.02</v>
      </c>
      <c r="D266" s="465">
        <v>1044.92</v>
      </c>
      <c r="E266" s="481">
        <v>4.836875</v>
      </c>
      <c r="F266" s="482">
        <v>58.08</v>
      </c>
      <c r="G266" s="481">
        <f t="shared" si="30"/>
        <v>1103</v>
      </c>
      <c r="H266" s="466">
        <f t="shared" si="31"/>
        <v>290.02</v>
      </c>
      <c r="I266" s="468">
        <v>23.991</v>
      </c>
      <c r="K266" s="249">
        <v>265.36806543903469</v>
      </c>
      <c r="L266" s="493">
        <f t="shared" si="32"/>
        <v>-99.358065439034704</v>
      </c>
    </row>
    <row r="267" spans="1:12">
      <c r="A267" s="480" t="s">
        <v>514</v>
      </c>
      <c r="B267" s="483">
        <v>35054</v>
      </c>
      <c r="C267" s="464">
        <v>3328.73</v>
      </c>
      <c r="D267" s="465">
        <v>2496.6399999999994</v>
      </c>
      <c r="E267" s="481">
        <v>11.558090277777778</v>
      </c>
      <c r="F267" s="482">
        <v>138.72</v>
      </c>
      <c r="G267" s="481">
        <f t="shared" si="30"/>
        <v>2635.3599999999992</v>
      </c>
      <c r="H267" s="466">
        <f t="shared" si="31"/>
        <v>693.3700000000008</v>
      </c>
      <c r="I267" s="468">
        <v>23.995999999999999</v>
      </c>
      <c r="K267" s="249">
        <v>464.26222589721147</v>
      </c>
      <c r="L267" s="493">
        <f t="shared" si="32"/>
        <v>-174.24222589721148</v>
      </c>
    </row>
    <row r="268" spans="1:12">
      <c r="A268" s="480" t="s">
        <v>515</v>
      </c>
      <c r="B268" s="483">
        <v>35403</v>
      </c>
      <c r="C268" s="464">
        <v>1350</v>
      </c>
      <c r="D268" s="465">
        <v>1350</v>
      </c>
      <c r="E268" s="481">
        <v>0</v>
      </c>
      <c r="F268" s="482">
        <v>0</v>
      </c>
      <c r="G268" s="481">
        <f t="shared" si="30"/>
        <v>1350</v>
      </c>
      <c r="H268" s="466">
        <f t="shared" si="31"/>
        <v>0</v>
      </c>
      <c r="I268" s="468">
        <v>7</v>
      </c>
      <c r="K268" s="249">
        <v>1109.5262132994394</v>
      </c>
      <c r="L268" s="493">
        <f t="shared" si="32"/>
        <v>-416.1562132994386</v>
      </c>
    </row>
    <row r="269" spans="1:12">
      <c r="A269" s="480" t="s">
        <v>516</v>
      </c>
      <c r="B269" s="483">
        <v>35493</v>
      </c>
      <c r="C269" s="464">
        <v>4565</v>
      </c>
      <c r="D269" s="465">
        <v>4565</v>
      </c>
      <c r="E269" s="481">
        <v>0</v>
      </c>
      <c r="F269" s="482">
        <v>0</v>
      </c>
      <c r="G269" s="481">
        <f t="shared" si="30"/>
        <v>4565</v>
      </c>
      <c r="H269" s="466">
        <f t="shared" si="31"/>
        <v>0</v>
      </c>
      <c r="I269" s="468">
        <v>5</v>
      </c>
      <c r="K269" s="249">
        <v>0</v>
      </c>
      <c r="L269" s="493">
        <f t="shared" si="32"/>
        <v>0</v>
      </c>
    </row>
    <row r="270" spans="1:12">
      <c r="A270" s="480" t="s">
        <v>517</v>
      </c>
      <c r="B270" s="483">
        <v>35767</v>
      </c>
      <c r="C270" s="464">
        <v>8148.1</v>
      </c>
      <c r="D270" s="465">
        <v>6552.4099999999989</v>
      </c>
      <c r="E270" s="481">
        <v>33.950416666666669</v>
      </c>
      <c r="F270" s="482">
        <v>407.40000000000003</v>
      </c>
      <c r="G270" s="481">
        <f t="shared" si="30"/>
        <v>6959.8099999999986</v>
      </c>
      <c r="H270" s="466">
        <f t="shared" si="31"/>
        <v>1188.2900000000018</v>
      </c>
      <c r="I270" s="468">
        <v>20</v>
      </c>
      <c r="K270" s="249">
        <v>0</v>
      </c>
      <c r="L270" s="493">
        <f>+H427-K270</f>
        <v>0</v>
      </c>
    </row>
    <row r="271" spans="1:12">
      <c r="A271" s="480" t="s">
        <v>518</v>
      </c>
      <c r="B271" s="483">
        <v>36011</v>
      </c>
      <c r="C271" s="464">
        <v>4544.1400000000003</v>
      </c>
      <c r="D271" s="465">
        <v>3502.5899999999997</v>
      </c>
      <c r="E271" s="481">
        <v>18.933916666666669</v>
      </c>
      <c r="F271" s="482">
        <v>227.16</v>
      </c>
      <c r="G271" s="481">
        <f t="shared" si="30"/>
        <v>3729.7499999999995</v>
      </c>
      <c r="H271" s="466">
        <f t="shared" si="31"/>
        <v>814.39000000000078</v>
      </c>
      <c r="I271" s="468">
        <v>20</v>
      </c>
      <c r="K271" s="249">
        <v>2410.4900000000007</v>
      </c>
      <c r="L271" s="493">
        <f t="shared" si="32"/>
        <v>-1222.1999999999989</v>
      </c>
    </row>
    <row r="272" spans="1:12">
      <c r="A272" s="480" t="s">
        <v>493</v>
      </c>
      <c r="B272" s="483">
        <v>36285</v>
      </c>
      <c r="C272" s="464">
        <v>840.07</v>
      </c>
      <c r="D272" s="465">
        <v>840.07</v>
      </c>
      <c r="E272" s="481">
        <v>2.3335277777777779</v>
      </c>
      <c r="F272" s="482">
        <v>0</v>
      </c>
      <c r="G272" s="481">
        <f t="shared" si="30"/>
        <v>840.07</v>
      </c>
      <c r="H272" s="466">
        <f t="shared" si="31"/>
        <v>0</v>
      </c>
      <c r="I272" s="468">
        <v>10</v>
      </c>
      <c r="K272" s="249">
        <v>1495.8720000000003</v>
      </c>
      <c r="L272" s="493">
        <f t="shared" si="32"/>
        <v>-681.48199999999952</v>
      </c>
    </row>
    <row r="273" spans="1:12">
      <c r="A273" s="480" t="s">
        <v>519</v>
      </c>
      <c r="B273" s="483">
        <v>36525</v>
      </c>
      <c r="C273" s="464">
        <v>2053.3200000000002</v>
      </c>
      <c r="D273" s="465">
        <v>2053.3200000000002</v>
      </c>
      <c r="E273" s="481">
        <v>17.111000000000001</v>
      </c>
      <c r="F273" s="482">
        <v>0</v>
      </c>
      <c r="G273" s="481">
        <f t="shared" si="30"/>
        <v>2053.3200000000002</v>
      </c>
      <c r="H273" s="466">
        <f t="shared" si="31"/>
        <v>0</v>
      </c>
      <c r="I273" s="468">
        <v>10</v>
      </c>
      <c r="K273" s="249">
        <v>0</v>
      </c>
      <c r="L273" s="493">
        <f t="shared" si="32"/>
        <v>0</v>
      </c>
    </row>
    <row r="274" spans="1:12">
      <c r="A274" s="480" t="s">
        <v>520</v>
      </c>
      <c r="B274" s="483">
        <v>36525</v>
      </c>
      <c r="C274" s="464">
        <v>2481.4899999999998</v>
      </c>
      <c r="D274" s="465">
        <v>2481.4899999999998</v>
      </c>
      <c r="E274" s="481">
        <v>20.679083333333331</v>
      </c>
      <c r="F274" s="482">
        <v>0</v>
      </c>
      <c r="G274" s="481">
        <f t="shared" si="30"/>
        <v>2481.4899999999998</v>
      </c>
      <c r="H274" s="466">
        <f t="shared" si="31"/>
        <v>0</v>
      </c>
      <c r="I274" s="468">
        <v>10</v>
      </c>
      <c r="K274" s="249">
        <v>0</v>
      </c>
      <c r="L274" s="493">
        <f t="shared" si="32"/>
        <v>0</v>
      </c>
    </row>
    <row r="275" spans="1:12">
      <c r="A275" s="480" t="s">
        <v>521</v>
      </c>
      <c r="B275" s="483">
        <v>36586</v>
      </c>
      <c r="C275" s="464">
        <v>1867.46</v>
      </c>
      <c r="D275" s="465">
        <v>1721.98</v>
      </c>
      <c r="E275" s="481">
        <v>10.374777777777778</v>
      </c>
      <c r="F275" s="482">
        <v>124.44</v>
      </c>
      <c r="G275" s="481">
        <f t="shared" ref="G275:G304" si="33">+D275+F275</f>
        <v>1846.42</v>
      </c>
      <c r="H275" s="466">
        <f t="shared" ref="H275:H304" si="34">+C275-G275</f>
        <v>21.039999999999964</v>
      </c>
      <c r="I275" s="468">
        <v>15</v>
      </c>
      <c r="K275" s="249">
        <v>0</v>
      </c>
      <c r="L275" s="493">
        <f>+H428-K275</f>
        <v>0</v>
      </c>
    </row>
    <row r="276" spans="1:12">
      <c r="A276" s="480" t="s">
        <v>522</v>
      </c>
      <c r="B276" s="483">
        <v>36592</v>
      </c>
      <c r="C276" s="464">
        <v>2673.68</v>
      </c>
      <c r="D276" s="465">
        <v>2673.68</v>
      </c>
      <c r="E276" s="481">
        <v>0</v>
      </c>
      <c r="F276" s="482">
        <v>0</v>
      </c>
      <c r="G276" s="481">
        <f t="shared" si="33"/>
        <v>2673.68</v>
      </c>
      <c r="H276" s="466">
        <f t="shared" si="34"/>
        <v>0</v>
      </c>
      <c r="I276" s="468">
        <v>5</v>
      </c>
      <c r="K276" s="249">
        <v>394.3606666666667</v>
      </c>
      <c r="L276" s="493">
        <f t="shared" si="32"/>
        <v>-373.32066666666674</v>
      </c>
    </row>
    <row r="277" spans="1:12">
      <c r="A277" s="480" t="s">
        <v>523</v>
      </c>
      <c r="B277" s="483">
        <v>36592</v>
      </c>
      <c r="C277" s="464">
        <v>7303.6</v>
      </c>
      <c r="D277" s="465">
        <v>6735.76</v>
      </c>
      <c r="E277" s="481">
        <v>40.57555555555556</v>
      </c>
      <c r="F277" s="482">
        <v>486.96</v>
      </c>
      <c r="G277" s="481">
        <f t="shared" si="33"/>
        <v>7222.72</v>
      </c>
      <c r="H277" s="466">
        <f t="shared" si="34"/>
        <v>80.880000000000109</v>
      </c>
      <c r="I277" s="468">
        <v>15</v>
      </c>
      <c r="K277" s="249">
        <v>0</v>
      </c>
      <c r="L277" s="493">
        <f t="shared" si="32"/>
        <v>0</v>
      </c>
    </row>
    <row r="278" spans="1:12">
      <c r="A278" s="480" t="s">
        <v>524</v>
      </c>
      <c r="B278" s="483">
        <v>36803</v>
      </c>
      <c r="C278" s="464">
        <v>1041.57</v>
      </c>
      <c r="D278" s="465">
        <v>1041.57</v>
      </c>
      <c r="E278" s="481">
        <v>0</v>
      </c>
      <c r="F278" s="482">
        <v>0</v>
      </c>
      <c r="G278" s="481">
        <f t="shared" si="33"/>
        <v>1041.57</v>
      </c>
      <c r="H278" s="466">
        <f t="shared" si="34"/>
        <v>0</v>
      </c>
      <c r="I278" s="468">
        <v>5</v>
      </c>
      <c r="K278" s="249">
        <v>1541.7638562875845</v>
      </c>
      <c r="L278" s="493">
        <f t="shared" si="32"/>
        <v>-1460.8838562875844</v>
      </c>
    </row>
    <row r="279" spans="1:12">
      <c r="A279" s="480" t="s">
        <v>525</v>
      </c>
      <c r="B279" s="483">
        <v>36836</v>
      </c>
      <c r="C279" s="464">
        <v>762.01</v>
      </c>
      <c r="D279" s="465">
        <v>762.01</v>
      </c>
      <c r="E279" s="481">
        <v>0</v>
      </c>
      <c r="F279" s="482">
        <v>0</v>
      </c>
      <c r="G279" s="481">
        <f t="shared" si="33"/>
        <v>762.01</v>
      </c>
      <c r="H279" s="466">
        <f t="shared" si="34"/>
        <v>0</v>
      </c>
      <c r="I279" s="468">
        <v>5</v>
      </c>
      <c r="K279" s="249">
        <v>0</v>
      </c>
      <c r="L279" s="493">
        <f t="shared" si="32"/>
        <v>0</v>
      </c>
    </row>
    <row r="280" spans="1:12">
      <c r="A280" s="480" t="s">
        <v>526</v>
      </c>
      <c r="B280" s="483">
        <v>37256</v>
      </c>
      <c r="C280" s="464">
        <v>1883.29</v>
      </c>
      <c r="D280" s="465">
        <v>1883.29</v>
      </c>
      <c r="E280" s="481">
        <v>0</v>
      </c>
      <c r="F280" s="482">
        <v>0</v>
      </c>
      <c r="G280" s="481">
        <f t="shared" si="33"/>
        <v>1883.29</v>
      </c>
      <c r="H280" s="466">
        <f t="shared" si="34"/>
        <v>0</v>
      </c>
      <c r="I280" s="468">
        <v>5</v>
      </c>
      <c r="K280" s="249">
        <v>0</v>
      </c>
      <c r="L280" s="493">
        <f t="shared" si="32"/>
        <v>0</v>
      </c>
    </row>
    <row r="281" spans="1:12">
      <c r="A281" s="480" t="s">
        <v>527</v>
      </c>
      <c r="B281" s="483">
        <v>37256</v>
      </c>
      <c r="C281" s="464">
        <v>1102.28</v>
      </c>
      <c r="D281" s="465">
        <v>661.24000000000012</v>
      </c>
      <c r="E281" s="481">
        <v>4.5928333333333331</v>
      </c>
      <c r="F281" s="482">
        <v>55.08</v>
      </c>
      <c r="G281" s="481">
        <f t="shared" si="33"/>
        <v>716.32000000000016</v>
      </c>
      <c r="H281" s="466">
        <f t="shared" si="34"/>
        <v>385.95999999999981</v>
      </c>
      <c r="I281" s="468">
        <v>20</v>
      </c>
      <c r="K281" s="249">
        <v>0</v>
      </c>
      <c r="L281" s="493">
        <f t="shared" si="32"/>
        <v>0</v>
      </c>
    </row>
    <row r="282" spans="1:12">
      <c r="A282" s="480" t="s">
        <v>516</v>
      </c>
      <c r="B282" s="483">
        <v>37256</v>
      </c>
      <c r="C282" s="464">
        <v>1805.54</v>
      </c>
      <c r="D282" s="465">
        <v>1805.54</v>
      </c>
      <c r="E282" s="481">
        <v>0</v>
      </c>
      <c r="F282" s="482">
        <v>0</v>
      </c>
      <c r="G282" s="481">
        <f t="shared" si="33"/>
        <v>1805.54</v>
      </c>
      <c r="H282" s="466">
        <f t="shared" si="34"/>
        <v>0</v>
      </c>
      <c r="I282" s="468">
        <v>5</v>
      </c>
      <c r="K282" s="249">
        <v>551.20400000000006</v>
      </c>
      <c r="L282" s="493">
        <f t="shared" si="32"/>
        <v>-165.24400000000026</v>
      </c>
    </row>
    <row r="283" spans="1:12">
      <c r="A283" s="480" t="s">
        <v>528</v>
      </c>
      <c r="B283" s="483">
        <v>37256</v>
      </c>
      <c r="C283" s="464">
        <v>3195</v>
      </c>
      <c r="D283" s="465">
        <v>1916.88</v>
      </c>
      <c r="E283" s="481">
        <v>13.3125</v>
      </c>
      <c r="F283" s="482">
        <v>159.72</v>
      </c>
      <c r="G283" s="481">
        <f t="shared" si="33"/>
        <v>2076.6</v>
      </c>
      <c r="H283" s="466">
        <f t="shared" si="34"/>
        <v>1118.4000000000001</v>
      </c>
      <c r="I283" s="468">
        <v>20</v>
      </c>
      <c r="K283" s="249">
        <v>0</v>
      </c>
      <c r="L283" s="493">
        <f t="shared" si="32"/>
        <v>0</v>
      </c>
    </row>
    <row r="284" spans="1:12">
      <c r="A284" s="480" t="s">
        <v>493</v>
      </c>
      <c r="B284" s="483">
        <v>37256</v>
      </c>
      <c r="C284" s="464">
        <v>1778.27</v>
      </c>
      <c r="D284" s="465">
        <v>1778.27</v>
      </c>
      <c r="E284" s="481">
        <v>14.818916666666667</v>
      </c>
      <c r="F284" s="482">
        <v>0</v>
      </c>
      <c r="G284" s="481">
        <f t="shared" si="33"/>
        <v>1778.27</v>
      </c>
      <c r="H284" s="466">
        <f t="shared" si="34"/>
        <v>0</v>
      </c>
      <c r="I284" s="468">
        <v>10</v>
      </c>
      <c r="K284" s="249">
        <v>1597.56</v>
      </c>
      <c r="L284" s="493">
        <f t="shared" si="32"/>
        <v>-479.15999999999985</v>
      </c>
    </row>
    <row r="285" spans="1:12">
      <c r="A285" s="480" t="s">
        <v>493</v>
      </c>
      <c r="B285" s="483">
        <v>37438</v>
      </c>
      <c r="C285" s="464">
        <v>7716.26</v>
      </c>
      <c r="D285" s="465">
        <v>7716.26</v>
      </c>
      <c r="E285" s="481">
        <v>64.302166666666665</v>
      </c>
      <c r="F285" s="482">
        <v>0</v>
      </c>
      <c r="G285" s="481">
        <f t="shared" si="33"/>
        <v>7716.26</v>
      </c>
      <c r="H285" s="466">
        <f t="shared" si="34"/>
        <v>0</v>
      </c>
      <c r="I285" s="468">
        <v>10</v>
      </c>
      <c r="K285" s="249">
        <v>0</v>
      </c>
      <c r="L285" s="493">
        <f t="shared" si="32"/>
        <v>0</v>
      </c>
    </row>
    <row r="286" spans="1:12">
      <c r="A286" s="480" t="s">
        <v>529</v>
      </c>
      <c r="B286" s="483">
        <v>37653</v>
      </c>
      <c r="C286" s="464">
        <v>3633.78</v>
      </c>
      <c r="D286" s="465">
        <v>3633.78</v>
      </c>
      <c r="E286" s="481">
        <v>30.281500000000005</v>
      </c>
      <c r="F286" s="482">
        <v>0</v>
      </c>
      <c r="G286" s="481">
        <f t="shared" si="33"/>
        <v>3633.78</v>
      </c>
      <c r="H286" s="466">
        <f t="shared" si="34"/>
        <v>0</v>
      </c>
      <c r="I286" s="468">
        <v>10</v>
      </c>
      <c r="K286" s="249">
        <v>242.26800000000003</v>
      </c>
      <c r="L286" s="493">
        <f>+H429-K286</f>
        <v>-242.26800000000003</v>
      </c>
    </row>
    <row r="287" spans="1:12">
      <c r="A287" s="480" t="s">
        <v>530</v>
      </c>
      <c r="B287" s="483">
        <v>37771</v>
      </c>
      <c r="C287" s="464">
        <v>3189.68</v>
      </c>
      <c r="D287" s="465">
        <v>3189.68</v>
      </c>
      <c r="E287" s="481">
        <v>26.580666666666662</v>
      </c>
      <c r="F287" s="482">
        <v>0</v>
      </c>
      <c r="G287" s="481">
        <f t="shared" si="33"/>
        <v>3189.68</v>
      </c>
      <c r="H287" s="466">
        <f t="shared" si="34"/>
        <v>0</v>
      </c>
      <c r="I287" s="468">
        <v>10</v>
      </c>
      <c r="K287" s="249">
        <v>2062.4300000000003</v>
      </c>
      <c r="L287" s="493">
        <f>+H430-K287</f>
        <v>-2062.4300000000003</v>
      </c>
    </row>
    <row r="288" spans="1:12">
      <c r="A288" s="480" t="s">
        <v>853</v>
      </c>
      <c r="B288" s="483">
        <v>38044</v>
      </c>
      <c r="C288" s="464">
        <v>2250</v>
      </c>
      <c r="D288" s="465">
        <v>2250</v>
      </c>
      <c r="E288" s="481">
        <v>26.785714285714288</v>
      </c>
      <c r="F288" s="482">
        <v>0</v>
      </c>
      <c r="G288" s="481">
        <f t="shared" si="33"/>
        <v>2250</v>
      </c>
      <c r="H288" s="466">
        <f t="shared" si="34"/>
        <v>0</v>
      </c>
      <c r="I288" s="468">
        <v>7</v>
      </c>
      <c r="K288" s="249">
        <v>451.88799999999992</v>
      </c>
      <c r="L288" s="493">
        <f t="shared" si="32"/>
        <v>-451.88799999999992</v>
      </c>
    </row>
    <row r="289" spans="1:12">
      <c r="A289" s="480" t="s">
        <v>493</v>
      </c>
      <c r="B289" s="483">
        <v>38341</v>
      </c>
      <c r="C289" s="464">
        <v>3490.9</v>
      </c>
      <c r="D289" s="465">
        <v>3490.9</v>
      </c>
      <c r="E289" s="481">
        <v>41.558333333333337</v>
      </c>
      <c r="F289" s="482">
        <v>0</v>
      </c>
      <c r="G289" s="481">
        <f t="shared" si="33"/>
        <v>3490.9</v>
      </c>
      <c r="H289" s="466">
        <f t="shared" si="34"/>
        <v>0</v>
      </c>
      <c r="I289" s="468">
        <v>7</v>
      </c>
      <c r="K289" s="249">
        <v>0</v>
      </c>
      <c r="L289" s="493">
        <f t="shared" si="32"/>
        <v>0</v>
      </c>
    </row>
    <row r="290" spans="1:12">
      <c r="A290" s="480" t="s">
        <v>531</v>
      </c>
      <c r="B290" s="483">
        <v>38352</v>
      </c>
      <c r="C290" s="464">
        <v>2300</v>
      </c>
      <c r="D290" s="465">
        <v>2300</v>
      </c>
      <c r="E290" s="481">
        <v>27.38095238095238</v>
      </c>
      <c r="F290" s="482">
        <v>0</v>
      </c>
      <c r="G290" s="481">
        <f t="shared" si="33"/>
        <v>2300</v>
      </c>
      <c r="H290" s="466">
        <f t="shared" si="34"/>
        <v>0</v>
      </c>
      <c r="I290" s="468">
        <v>7</v>
      </c>
      <c r="K290" s="249">
        <v>0</v>
      </c>
      <c r="L290" s="493">
        <f t="shared" si="32"/>
        <v>0</v>
      </c>
    </row>
    <row r="291" spans="1:12">
      <c r="A291" s="480" t="s">
        <v>532</v>
      </c>
      <c r="B291" s="483">
        <v>38657</v>
      </c>
      <c r="C291" s="464">
        <v>1971</v>
      </c>
      <c r="D291" s="465">
        <v>1609.89</v>
      </c>
      <c r="E291" s="481">
        <v>16.425000000000001</v>
      </c>
      <c r="F291" s="482">
        <v>197.16</v>
      </c>
      <c r="G291" s="481">
        <f t="shared" si="33"/>
        <v>1807.0500000000002</v>
      </c>
      <c r="H291" s="466">
        <f t="shared" si="34"/>
        <v>163.94999999999982</v>
      </c>
      <c r="I291" s="468">
        <v>10</v>
      </c>
      <c r="K291" s="249">
        <v>0</v>
      </c>
      <c r="L291" s="493">
        <f t="shared" si="32"/>
        <v>0</v>
      </c>
    </row>
    <row r="292" spans="1:12">
      <c r="A292" s="480" t="s">
        <v>533</v>
      </c>
      <c r="B292" s="483">
        <v>38687</v>
      </c>
      <c r="C292" s="464">
        <v>24566.14</v>
      </c>
      <c r="D292" s="465">
        <v>19857.73</v>
      </c>
      <c r="E292" s="481">
        <v>204.71783333333329</v>
      </c>
      <c r="F292" s="482">
        <v>2456.64</v>
      </c>
      <c r="G292" s="481">
        <f t="shared" si="33"/>
        <v>22314.37</v>
      </c>
      <c r="H292" s="466">
        <f t="shared" si="34"/>
        <v>2251.7700000000004</v>
      </c>
      <c r="I292" s="468">
        <v>10</v>
      </c>
      <c r="K292" s="249">
        <v>755.43249999999989</v>
      </c>
      <c r="L292" s="493">
        <f t="shared" si="32"/>
        <v>-591.48250000000007</v>
      </c>
    </row>
    <row r="293" spans="1:12">
      <c r="A293" s="480" t="s">
        <v>35</v>
      </c>
      <c r="B293" s="483">
        <v>39447</v>
      </c>
      <c r="C293" s="464">
        <v>5751</v>
      </c>
      <c r="D293" s="465">
        <v>3450.8399999999992</v>
      </c>
      <c r="E293" s="481">
        <v>47.92499999999999</v>
      </c>
      <c r="F293" s="482">
        <v>575.16</v>
      </c>
      <c r="G293" s="481">
        <f t="shared" si="33"/>
        <v>4025.9999999999991</v>
      </c>
      <c r="H293" s="466">
        <f t="shared" si="34"/>
        <v>1725.0000000000009</v>
      </c>
      <c r="I293" s="468">
        <v>10</v>
      </c>
      <c r="K293" s="249">
        <v>9621.6855433860001</v>
      </c>
      <c r="L293" s="493">
        <f t="shared" si="32"/>
        <v>-7369.9155433859996</v>
      </c>
    </row>
    <row r="294" spans="1:12">
      <c r="A294" s="480" t="s">
        <v>36</v>
      </c>
      <c r="B294" s="483">
        <v>39447</v>
      </c>
      <c r="C294" s="464">
        <v>9499.56</v>
      </c>
      <c r="D294" s="465">
        <v>2280.12</v>
      </c>
      <c r="E294" s="481">
        <v>31.665199999999999</v>
      </c>
      <c r="F294" s="482">
        <v>380.04</v>
      </c>
      <c r="G294" s="481">
        <f t="shared" si="33"/>
        <v>2660.16</v>
      </c>
      <c r="H294" s="466">
        <f t="shared" si="34"/>
        <v>6839.4</v>
      </c>
      <c r="I294" s="468">
        <v>10</v>
      </c>
      <c r="K294" s="249">
        <v>3450.4800000000005</v>
      </c>
      <c r="L294" s="493">
        <f t="shared" si="32"/>
        <v>-1725.4799999999996</v>
      </c>
    </row>
    <row r="295" spans="1:12">
      <c r="A295" s="480" t="s">
        <v>37</v>
      </c>
      <c r="B295" s="483">
        <v>39447</v>
      </c>
      <c r="C295" s="464">
        <v>12630.86</v>
      </c>
      <c r="D295" s="465">
        <v>3031.29</v>
      </c>
      <c r="E295" s="481">
        <v>42.102866666666671</v>
      </c>
      <c r="F295" s="482">
        <v>505.20000000000005</v>
      </c>
      <c r="G295" s="481">
        <f t="shared" si="33"/>
        <v>3536.49</v>
      </c>
      <c r="H295" s="466">
        <f t="shared" si="34"/>
        <v>9094.3700000000008</v>
      </c>
      <c r="I295" s="468">
        <v>10</v>
      </c>
      <c r="K295" s="249">
        <v>7979.5151999999998</v>
      </c>
      <c r="L295" s="493">
        <f t="shared" si="32"/>
        <v>-1140.1152000000002</v>
      </c>
    </row>
    <row r="296" spans="1:12">
      <c r="A296" s="480" t="s">
        <v>38</v>
      </c>
      <c r="B296" s="483">
        <v>39447</v>
      </c>
      <c r="C296" s="464">
        <v>39464.980000000003</v>
      </c>
      <c r="D296" s="465">
        <v>11839.62</v>
      </c>
      <c r="E296" s="481">
        <v>164.43741666666668</v>
      </c>
      <c r="F296" s="482">
        <v>1973.28</v>
      </c>
      <c r="G296" s="481">
        <f t="shared" si="33"/>
        <v>13812.900000000001</v>
      </c>
      <c r="H296" s="466">
        <f t="shared" si="34"/>
        <v>25652.080000000002</v>
      </c>
      <c r="I296" s="468">
        <v>10</v>
      </c>
      <c r="K296" s="249">
        <v>10609.9912</v>
      </c>
      <c r="L296" s="493">
        <f t="shared" si="32"/>
        <v>-1515.6211999999996</v>
      </c>
    </row>
    <row r="297" spans="1:12">
      <c r="A297" s="480" t="s">
        <v>815</v>
      </c>
      <c r="B297" s="483">
        <v>39813</v>
      </c>
      <c r="C297" s="464">
        <v>9099.24</v>
      </c>
      <c r="D297" s="465">
        <v>4549.8</v>
      </c>
      <c r="E297" s="481">
        <v>75.83</v>
      </c>
      <c r="F297" s="482">
        <v>909.96</v>
      </c>
      <c r="G297" s="481">
        <f t="shared" si="33"/>
        <v>5459.76</v>
      </c>
      <c r="H297" s="466">
        <f t="shared" si="34"/>
        <v>3639.4799999999996</v>
      </c>
      <c r="I297" s="468">
        <v>10</v>
      </c>
      <c r="K297" s="249">
        <v>31571.922000000002</v>
      </c>
      <c r="L297" s="493">
        <f t="shared" si="32"/>
        <v>-5919.8420000000006</v>
      </c>
    </row>
    <row r="298" spans="1:12">
      <c r="A298" s="480" t="s">
        <v>816</v>
      </c>
      <c r="B298" s="483">
        <v>39845</v>
      </c>
      <c r="C298" s="464">
        <v>2550.9</v>
      </c>
      <c r="D298" s="465">
        <v>1791.8300000000002</v>
      </c>
      <c r="E298" s="481">
        <v>27.839166666666667</v>
      </c>
      <c r="F298" s="482">
        <v>364.44</v>
      </c>
      <c r="G298" s="481">
        <f t="shared" si="33"/>
        <v>2156.27</v>
      </c>
      <c r="H298" s="466">
        <f t="shared" si="34"/>
        <v>394.63000000000011</v>
      </c>
      <c r="I298" s="468">
        <v>7</v>
      </c>
      <c r="K298" s="249">
        <v>6369.36</v>
      </c>
      <c r="L298" s="493">
        <f t="shared" si="32"/>
        <v>-2729.88</v>
      </c>
    </row>
    <row r="299" spans="1:12">
      <c r="A299" s="480" t="s">
        <v>817</v>
      </c>
      <c r="B299" s="483">
        <v>39934</v>
      </c>
      <c r="C299" s="464">
        <v>1096.95</v>
      </c>
      <c r="D299" s="465">
        <v>204.96000000000004</v>
      </c>
      <c r="E299" s="481">
        <v>2.44</v>
      </c>
      <c r="F299" s="482">
        <v>43.92</v>
      </c>
      <c r="G299" s="481">
        <f t="shared" si="33"/>
        <v>248.88000000000005</v>
      </c>
      <c r="H299" s="466">
        <f t="shared" si="34"/>
        <v>848.06999999999994</v>
      </c>
      <c r="I299" s="468">
        <v>25</v>
      </c>
      <c r="K299" s="249">
        <v>1487.95</v>
      </c>
      <c r="L299" s="493">
        <f t="shared" si="32"/>
        <v>-1093.32</v>
      </c>
    </row>
    <row r="300" spans="1:12">
      <c r="A300" s="480" t="s">
        <v>818</v>
      </c>
      <c r="B300" s="483">
        <v>39995</v>
      </c>
      <c r="C300" s="464">
        <v>645.15</v>
      </c>
      <c r="D300" s="465">
        <v>414.72</v>
      </c>
      <c r="E300" s="481">
        <v>3.84</v>
      </c>
      <c r="F300" s="482">
        <v>92.16</v>
      </c>
      <c r="G300" s="481">
        <f t="shared" si="33"/>
        <v>506.88</v>
      </c>
      <c r="H300" s="466">
        <f t="shared" si="34"/>
        <v>138.26999999999998</v>
      </c>
      <c r="I300" s="468">
        <v>7</v>
      </c>
      <c r="K300" s="249">
        <v>979.83</v>
      </c>
      <c r="L300" s="493">
        <f t="shared" si="32"/>
        <v>-131.7600000000001</v>
      </c>
    </row>
    <row r="301" spans="1:12">
      <c r="A301" s="480" t="s">
        <v>819</v>
      </c>
      <c r="B301" s="483">
        <v>40087</v>
      </c>
      <c r="C301" s="464">
        <v>1168.04</v>
      </c>
      <c r="D301" s="465">
        <v>709.41000000000008</v>
      </c>
      <c r="E301" s="481">
        <v>3.4775000000000005</v>
      </c>
      <c r="F301" s="482">
        <v>166.92000000000002</v>
      </c>
      <c r="G301" s="481">
        <f t="shared" si="33"/>
        <v>876.33000000000015</v>
      </c>
      <c r="H301" s="466">
        <f t="shared" si="34"/>
        <v>291.70999999999981</v>
      </c>
      <c r="I301" s="468">
        <v>7</v>
      </c>
      <c r="K301" s="249">
        <v>414.75</v>
      </c>
      <c r="L301" s="493">
        <f t="shared" si="32"/>
        <v>-276.48</v>
      </c>
    </row>
    <row r="302" spans="1:12">
      <c r="A302" s="480" t="s">
        <v>820</v>
      </c>
      <c r="B302" s="483">
        <v>40117</v>
      </c>
      <c r="C302" s="464">
        <v>9405</v>
      </c>
      <c r="D302" s="465">
        <v>7837.5</v>
      </c>
      <c r="E302" s="481">
        <v>26.125</v>
      </c>
      <c r="F302" s="482">
        <v>1881</v>
      </c>
      <c r="G302" s="481">
        <f t="shared" si="33"/>
        <v>9718.5</v>
      </c>
      <c r="H302" s="466">
        <f t="shared" si="34"/>
        <v>-313.5</v>
      </c>
      <c r="I302" s="468">
        <v>5</v>
      </c>
      <c r="K302" s="249">
        <v>792.46999999999991</v>
      </c>
      <c r="L302" s="493">
        <f t="shared" si="32"/>
        <v>-500.7600000000001</v>
      </c>
    </row>
    <row r="303" spans="1:12">
      <c r="A303" s="480" t="s">
        <v>854</v>
      </c>
      <c r="B303" s="483">
        <v>40452</v>
      </c>
      <c r="C303" s="464">
        <v>2030.63</v>
      </c>
      <c r="D303" s="465">
        <v>264.02999999999997</v>
      </c>
      <c r="E303" s="481">
        <v>26.125</v>
      </c>
      <c r="F303" s="482">
        <v>81.239999999999995</v>
      </c>
      <c r="G303" s="481">
        <f t="shared" si="33"/>
        <v>345.27</v>
      </c>
      <c r="H303" s="466">
        <f t="shared" si="34"/>
        <v>1685.3600000000001</v>
      </c>
      <c r="I303" s="468">
        <v>25</v>
      </c>
      <c r="K303" s="249">
        <v>5329.5</v>
      </c>
      <c r="L303" s="493">
        <f>+H301-K303</f>
        <v>-5037.79</v>
      </c>
    </row>
    <row r="304" spans="1:12">
      <c r="A304" s="480" t="s">
        <v>994</v>
      </c>
      <c r="B304" s="483">
        <v>41639</v>
      </c>
      <c r="C304" s="464">
        <v>8081.79</v>
      </c>
      <c r="D304" s="465">
        <v>0</v>
      </c>
      <c r="E304" s="481">
        <v>26.125</v>
      </c>
      <c r="F304" s="482">
        <v>323.28000000000003</v>
      </c>
      <c r="G304" s="481">
        <f t="shared" si="33"/>
        <v>323.28000000000003</v>
      </c>
      <c r="H304" s="466">
        <f t="shared" si="34"/>
        <v>7758.51</v>
      </c>
      <c r="I304" s="468">
        <v>25</v>
      </c>
      <c r="K304" s="249">
        <v>5329.5</v>
      </c>
      <c r="L304" s="493">
        <f>+H302-K304</f>
        <v>-5643</v>
      </c>
    </row>
    <row r="305" spans="1:12" ht="13.5" thickBot="1">
      <c r="A305" s="502" t="s">
        <v>534</v>
      </c>
      <c r="B305" s="483"/>
      <c r="C305" s="503">
        <f>SUM(C243:C304)</f>
        <v>248595.66</v>
      </c>
      <c r="D305" s="503">
        <f>SUM(D243:D304)</f>
        <v>172027.11999999994</v>
      </c>
      <c r="E305" s="503">
        <v>1273.3929277777775</v>
      </c>
      <c r="F305" s="503">
        <f>SUM(F243:F304)</f>
        <v>11641.08</v>
      </c>
      <c r="G305" s="503">
        <f>SUM(G243:G304)</f>
        <v>183668.19999999995</v>
      </c>
      <c r="H305" s="503">
        <f>SUM(H243:H304)</f>
        <v>64927.46</v>
      </c>
      <c r="I305" s="468"/>
      <c r="K305" s="249">
        <v>1929.0800000000002</v>
      </c>
      <c r="L305" s="493">
        <f t="shared" si="32"/>
        <v>5829.43</v>
      </c>
    </row>
    <row r="306" spans="1:12" ht="13.5" thickTop="1">
      <c r="A306" s="480"/>
      <c r="B306" s="483"/>
      <c r="C306" s="464"/>
      <c r="D306" s="465"/>
      <c r="E306" s="481"/>
      <c r="F306" s="482"/>
      <c r="G306" s="481"/>
      <c r="H306" s="466"/>
      <c r="I306" s="515"/>
    </row>
    <row r="307" spans="1:12">
      <c r="A307" s="490" t="s">
        <v>535</v>
      </c>
      <c r="B307" s="483"/>
      <c r="C307" s="464"/>
      <c r="D307" s="465"/>
      <c r="E307" s="481"/>
      <c r="F307" s="482"/>
      <c r="G307" s="481"/>
      <c r="H307" s="466"/>
      <c r="I307" s="468"/>
    </row>
    <row r="308" spans="1:12">
      <c r="A308" s="480" t="s">
        <v>536</v>
      </c>
      <c r="B308" s="483">
        <v>27395</v>
      </c>
      <c r="C308" s="464">
        <v>17627.7</v>
      </c>
      <c r="D308" s="465">
        <v>17627.7</v>
      </c>
      <c r="E308" s="481">
        <v>0</v>
      </c>
      <c r="F308" s="482">
        <v>0</v>
      </c>
      <c r="G308" s="481">
        <f t="shared" ref="G308:G318" si="35">+D308+F308</f>
        <v>17627.7</v>
      </c>
      <c r="H308" s="466">
        <f t="shared" ref="H308:H318" si="36">+C308-G308</f>
        <v>0</v>
      </c>
      <c r="I308" s="468">
        <v>28.5</v>
      </c>
    </row>
    <row r="309" spans="1:12">
      <c r="A309" s="480" t="s">
        <v>373</v>
      </c>
      <c r="B309" s="483">
        <v>27759</v>
      </c>
      <c r="C309" s="464">
        <v>156.80000000000001</v>
      </c>
      <c r="D309" s="465">
        <v>156.80000000000001</v>
      </c>
      <c r="E309" s="481">
        <v>0</v>
      </c>
      <c r="F309" s="482">
        <v>0</v>
      </c>
      <c r="G309" s="481">
        <f t="shared" si="35"/>
        <v>156.80000000000001</v>
      </c>
      <c r="H309" s="466">
        <f t="shared" si="36"/>
        <v>0</v>
      </c>
      <c r="I309" s="468">
        <v>28.5</v>
      </c>
      <c r="K309" s="493">
        <v>9099.24</v>
      </c>
      <c r="L309" s="249" t="s">
        <v>928</v>
      </c>
    </row>
    <row r="310" spans="1:12">
      <c r="A310" s="480" t="s">
        <v>373</v>
      </c>
      <c r="B310" s="483">
        <v>28855</v>
      </c>
      <c r="C310" s="464">
        <v>205</v>
      </c>
      <c r="D310" s="465">
        <v>205</v>
      </c>
      <c r="E310" s="481">
        <v>0</v>
      </c>
      <c r="F310" s="482">
        <v>0</v>
      </c>
      <c r="G310" s="481">
        <f t="shared" si="35"/>
        <v>205</v>
      </c>
      <c r="H310" s="466">
        <f t="shared" si="36"/>
        <v>0</v>
      </c>
      <c r="I310" s="468">
        <v>28.5</v>
      </c>
    </row>
    <row r="311" spans="1:12">
      <c r="A311" s="480" t="s">
        <v>373</v>
      </c>
      <c r="B311" s="483">
        <v>29220</v>
      </c>
      <c r="C311" s="464">
        <v>674.35</v>
      </c>
      <c r="D311" s="465">
        <v>674.35</v>
      </c>
      <c r="E311" s="481">
        <v>1.8731944444444446</v>
      </c>
      <c r="F311" s="482">
        <v>0</v>
      </c>
      <c r="G311" s="481">
        <f t="shared" si="35"/>
        <v>674.35</v>
      </c>
      <c r="H311" s="466">
        <f t="shared" si="36"/>
        <v>0</v>
      </c>
      <c r="I311" s="468">
        <v>28.5</v>
      </c>
    </row>
    <row r="312" spans="1:12">
      <c r="A312" s="480" t="s">
        <v>373</v>
      </c>
      <c r="B312" s="483">
        <v>29586</v>
      </c>
      <c r="C312" s="464">
        <v>1240.0999999999999</v>
      </c>
      <c r="D312" s="465">
        <v>1240.0999999999999</v>
      </c>
      <c r="E312" s="481">
        <v>0</v>
      </c>
      <c r="F312" s="482">
        <v>0</v>
      </c>
      <c r="G312" s="481">
        <f t="shared" si="35"/>
        <v>1240.0999999999999</v>
      </c>
      <c r="H312" s="466">
        <f t="shared" si="36"/>
        <v>0</v>
      </c>
      <c r="I312" s="468">
        <v>20</v>
      </c>
    </row>
    <row r="313" spans="1:12">
      <c r="A313" s="480" t="s">
        <v>537</v>
      </c>
      <c r="B313" s="483">
        <v>34979</v>
      </c>
      <c r="C313" s="464">
        <v>2734.92</v>
      </c>
      <c r="D313" s="465">
        <v>1996.67</v>
      </c>
      <c r="E313" s="481">
        <v>9.1164000000000005</v>
      </c>
      <c r="F313" s="482">
        <v>109.44</v>
      </c>
      <c r="G313" s="481">
        <f t="shared" si="35"/>
        <v>2106.11</v>
      </c>
      <c r="H313" s="466">
        <f t="shared" si="36"/>
        <v>628.80999999999995</v>
      </c>
      <c r="I313" s="468">
        <v>25</v>
      </c>
    </row>
    <row r="314" spans="1:12">
      <c r="A314" s="480" t="s">
        <v>538</v>
      </c>
      <c r="B314" s="483">
        <v>38353</v>
      </c>
      <c r="C314" s="464">
        <v>18000</v>
      </c>
      <c r="D314" s="465">
        <v>6480</v>
      </c>
      <c r="E314" s="481">
        <v>60</v>
      </c>
      <c r="F314" s="482">
        <v>720</v>
      </c>
      <c r="G314" s="481">
        <f t="shared" si="35"/>
        <v>7200</v>
      </c>
      <c r="H314" s="466">
        <f t="shared" si="36"/>
        <v>10800</v>
      </c>
      <c r="I314" s="468">
        <v>25</v>
      </c>
      <c r="K314" s="493">
        <v>23965.279999999999</v>
      </c>
      <c r="L314" s="493">
        <v>-15750</v>
      </c>
    </row>
    <row r="315" spans="1:12">
      <c r="A315" s="480" t="s">
        <v>406</v>
      </c>
      <c r="B315" s="483">
        <v>38353</v>
      </c>
      <c r="C315" s="464">
        <v>8000</v>
      </c>
      <c r="D315" s="465">
        <v>2880.15</v>
      </c>
      <c r="E315" s="481">
        <v>26.666666666666668</v>
      </c>
      <c r="F315" s="482">
        <v>320.04000000000002</v>
      </c>
      <c r="G315" s="481">
        <f t="shared" si="35"/>
        <v>3200.19</v>
      </c>
      <c r="H315" s="466">
        <f t="shared" si="36"/>
        <v>4799.8099999999995</v>
      </c>
      <c r="I315" s="468">
        <v>25</v>
      </c>
      <c r="K315" s="493">
        <v>16896.670000000002</v>
      </c>
      <c r="L315" s="493">
        <v>-15750</v>
      </c>
    </row>
    <row r="316" spans="1:12">
      <c r="A316" s="480" t="s">
        <v>539</v>
      </c>
      <c r="B316" s="483">
        <v>38353</v>
      </c>
      <c r="C316" s="464">
        <v>12000</v>
      </c>
      <c r="D316" s="465">
        <v>4320</v>
      </c>
      <c r="E316" s="481">
        <v>40</v>
      </c>
      <c r="F316" s="482">
        <v>480</v>
      </c>
      <c r="G316" s="481">
        <f t="shared" si="35"/>
        <v>4800</v>
      </c>
      <c r="H316" s="466">
        <f t="shared" si="36"/>
        <v>7200</v>
      </c>
      <c r="I316" s="468">
        <v>25</v>
      </c>
    </row>
    <row r="317" spans="1:12">
      <c r="A317" s="480" t="s">
        <v>540</v>
      </c>
      <c r="B317" s="483">
        <v>38353</v>
      </c>
      <c r="C317" s="464">
        <v>24000</v>
      </c>
      <c r="D317" s="465">
        <v>8640</v>
      </c>
      <c r="E317" s="481">
        <v>80</v>
      </c>
      <c r="F317" s="482">
        <v>960</v>
      </c>
      <c r="G317" s="481">
        <f t="shared" si="35"/>
        <v>9600</v>
      </c>
      <c r="H317" s="466">
        <f t="shared" si="36"/>
        <v>14400</v>
      </c>
      <c r="I317" s="468">
        <v>25</v>
      </c>
    </row>
    <row r="318" spans="1:12">
      <c r="A318" s="480" t="s">
        <v>541</v>
      </c>
      <c r="B318" s="483">
        <v>38353</v>
      </c>
      <c r="C318" s="464">
        <v>6000</v>
      </c>
      <c r="D318" s="465">
        <v>2160</v>
      </c>
      <c r="E318" s="481">
        <v>20</v>
      </c>
      <c r="F318" s="482">
        <v>240</v>
      </c>
      <c r="G318" s="481">
        <f t="shared" si="35"/>
        <v>2400</v>
      </c>
      <c r="H318" s="466">
        <f t="shared" si="36"/>
        <v>3600</v>
      </c>
      <c r="I318" s="468">
        <v>25</v>
      </c>
    </row>
    <row r="319" spans="1:12" ht="13.5" thickBot="1">
      <c r="A319" s="502" t="s">
        <v>542</v>
      </c>
      <c r="B319" s="516"/>
      <c r="C319" s="503">
        <v>90638.87</v>
      </c>
      <c r="D319" s="503">
        <f>SUM(D308:D318)</f>
        <v>46380.77</v>
      </c>
      <c r="E319" s="503">
        <v>237.65626111111112</v>
      </c>
      <c r="F319" s="503">
        <f>SUM(F308:F318)</f>
        <v>2829.48</v>
      </c>
      <c r="G319" s="503">
        <f>SUM(G308:G318)</f>
        <v>49210.25</v>
      </c>
      <c r="H319" s="503">
        <f>SUM(H308:H318)</f>
        <v>41428.619999999995</v>
      </c>
      <c r="I319" s="468"/>
    </row>
    <row r="320" spans="1:12" ht="13.5" thickTop="1">
      <c r="A320" s="480"/>
      <c r="B320" s="483"/>
      <c r="C320" s="464"/>
      <c r="D320" s="465"/>
      <c r="E320" s="481"/>
      <c r="F320" s="482"/>
      <c r="G320" s="481"/>
      <c r="H320" s="466"/>
      <c r="I320" s="468"/>
    </row>
    <row r="321" spans="1:9">
      <c r="A321" s="490" t="s">
        <v>543</v>
      </c>
      <c r="B321" s="483"/>
      <c r="C321" s="464"/>
      <c r="D321" s="465"/>
      <c r="E321" s="481"/>
      <c r="F321" s="482"/>
      <c r="G321" s="481"/>
      <c r="H321" s="466"/>
      <c r="I321" s="468"/>
    </row>
    <row r="322" spans="1:9">
      <c r="A322" s="480" t="s">
        <v>544</v>
      </c>
      <c r="B322" s="483">
        <v>36891</v>
      </c>
      <c r="C322" s="464">
        <v>166775.91</v>
      </c>
      <c r="D322" s="481">
        <v>166775.91</v>
      </c>
      <c r="E322" s="481">
        <v>1389.79925</v>
      </c>
      <c r="F322" s="482">
        <v>0</v>
      </c>
      <c r="G322" s="481">
        <f>+D322+F322</f>
        <v>166775.91</v>
      </c>
      <c r="H322" s="466">
        <f>+C322-G322</f>
        <v>0</v>
      </c>
      <c r="I322" s="468">
        <v>10</v>
      </c>
    </row>
    <row r="323" spans="1:9">
      <c r="A323" s="480" t="s">
        <v>544</v>
      </c>
      <c r="B323" s="483">
        <v>37256</v>
      </c>
      <c r="C323" s="464">
        <v>18505.04</v>
      </c>
      <c r="D323" s="481">
        <v>18505.04</v>
      </c>
      <c r="E323" s="481">
        <v>154.20866666666669</v>
      </c>
      <c r="F323" s="482">
        <v>0</v>
      </c>
      <c r="G323" s="481">
        <f>+D323+F323</f>
        <v>18505.04</v>
      </c>
      <c r="H323" s="466">
        <f>+C323-G323</f>
        <v>0</v>
      </c>
      <c r="I323" s="468">
        <v>10</v>
      </c>
    </row>
    <row r="324" spans="1:9" ht="13.5" thickBot="1">
      <c r="A324" s="502" t="s">
        <v>545</v>
      </c>
      <c r="B324" s="517"/>
      <c r="C324" s="503">
        <f>SUM(C322:C323)</f>
        <v>185280.95</v>
      </c>
      <c r="D324" s="503">
        <f>SUM(D322:D323)</f>
        <v>185280.95</v>
      </c>
      <c r="E324" s="503">
        <v>1544.0079166666667</v>
      </c>
      <c r="F324" s="503">
        <f>SUM(F322:F323)</f>
        <v>0</v>
      </c>
      <c r="G324" s="503">
        <f>SUM(G322:G323)</f>
        <v>185280.95</v>
      </c>
      <c r="H324" s="503">
        <f>SUM(H322:H323)</f>
        <v>0</v>
      </c>
      <c r="I324" s="468"/>
    </row>
    <row r="325" spans="1:9" ht="13.5" thickTop="1">
      <c r="A325" s="480"/>
      <c r="B325" s="483"/>
      <c r="C325" s="464"/>
      <c r="D325" s="465"/>
      <c r="E325" s="481"/>
      <c r="F325" s="482"/>
      <c r="G325" s="481"/>
      <c r="H325" s="466"/>
      <c r="I325" s="468"/>
    </row>
    <row r="326" spans="1:9">
      <c r="A326" s="490" t="s">
        <v>546</v>
      </c>
      <c r="B326" s="483"/>
      <c r="C326" s="464"/>
      <c r="D326" s="465"/>
      <c r="E326" s="481"/>
      <c r="F326" s="482"/>
      <c r="G326" s="481"/>
      <c r="H326" s="466"/>
      <c r="I326" s="468"/>
    </row>
    <row r="327" spans="1:9">
      <c r="A327" s="480"/>
      <c r="B327" s="483"/>
      <c r="C327" s="464"/>
      <c r="D327" s="465"/>
      <c r="E327" s="481"/>
      <c r="F327" s="482"/>
      <c r="G327" s="481"/>
      <c r="H327" s="466"/>
      <c r="I327" s="468"/>
    </row>
    <row r="328" spans="1:9">
      <c r="A328" s="480" t="s">
        <v>561</v>
      </c>
      <c r="B328" s="483" t="s">
        <v>562</v>
      </c>
      <c r="C328" s="496">
        <v>5808</v>
      </c>
      <c r="D328" s="506">
        <v>0</v>
      </c>
      <c r="E328" s="507">
        <v>4.8400004840000482E-5</v>
      </c>
      <c r="F328" s="508">
        <v>0</v>
      </c>
      <c r="G328" s="507">
        <f t="shared" ref="G328:G346" si="37">+D328+F328</f>
        <v>0</v>
      </c>
      <c r="H328" s="518">
        <f t="shared" ref="H328:H346" si="38">+C328-G328</f>
        <v>5808</v>
      </c>
      <c r="I328" s="468">
        <v>9999999</v>
      </c>
    </row>
    <row r="329" spans="1:9">
      <c r="A329" s="480" t="s">
        <v>563</v>
      </c>
      <c r="B329" s="483" t="s">
        <v>562</v>
      </c>
      <c r="C329" s="464">
        <v>10617.52</v>
      </c>
      <c r="D329" s="506">
        <v>10617.52</v>
      </c>
      <c r="E329" s="481">
        <v>0</v>
      </c>
      <c r="F329" s="482">
        <v>0</v>
      </c>
      <c r="G329" s="507">
        <f t="shared" si="37"/>
        <v>10617.52</v>
      </c>
      <c r="H329" s="518">
        <f t="shared" si="38"/>
        <v>0</v>
      </c>
      <c r="I329" s="468">
        <v>20</v>
      </c>
    </row>
    <row r="330" spans="1:9">
      <c r="A330" s="519" t="s">
        <v>550</v>
      </c>
      <c r="B330" s="483" t="s">
        <v>460</v>
      </c>
      <c r="C330" s="520">
        <v>61427</v>
      </c>
      <c r="D330" s="506">
        <v>50457.97</v>
      </c>
      <c r="E330" s="481">
        <v>179.61111111111111</v>
      </c>
      <c r="F330" s="482">
        <v>2193.84</v>
      </c>
      <c r="G330" s="507">
        <f t="shared" si="37"/>
        <v>52651.81</v>
      </c>
      <c r="H330" s="518">
        <f t="shared" si="38"/>
        <v>8775.1900000000023</v>
      </c>
      <c r="I330" s="468">
        <v>28</v>
      </c>
    </row>
    <row r="331" spans="1:9">
      <c r="A331" s="480" t="s">
        <v>550</v>
      </c>
      <c r="B331" s="483">
        <v>33239</v>
      </c>
      <c r="C331" s="464">
        <v>164450</v>
      </c>
      <c r="D331" s="506">
        <v>164450</v>
      </c>
      <c r="E331" s="481">
        <v>548.16666666666663</v>
      </c>
      <c r="F331" s="482">
        <v>0</v>
      </c>
      <c r="G331" s="507">
        <f t="shared" si="37"/>
        <v>164450</v>
      </c>
      <c r="H331" s="518">
        <f t="shared" si="38"/>
        <v>0</v>
      </c>
      <c r="I331" s="468">
        <v>20</v>
      </c>
    </row>
    <row r="332" spans="1:9">
      <c r="A332" s="480" t="s">
        <v>549</v>
      </c>
      <c r="B332" s="483" t="s">
        <v>460</v>
      </c>
      <c r="C332" s="485">
        <v>176510</v>
      </c>
      <c r="D332" s="506">
        <v>135324.54999999999</v>
      </c>
      <c r="E332" s="481">
        <v>490.3055555555556</v>
      </c>
      <c r="F332" s="482">
        <v>5883.72</v>
      </c>
      <c r="G332" s="507">
        <f t="shared" si="37"/>
        <v>141208.26999999999</v>
      </c>
      <c r="H332" s="518">
        <f t="shared" si="38"/>
        <v>35301.73000000001</v>
      </c>
      <c r="I332" s="468">
        <v>30</v>
      </c>
    </row>
    <row r="333" spans="1:9">
      <c r="A333" s="480" t="s">
        <v>558</v>
      </c>
      <c r="B333" s="483">
        <v>33239</v>
      </c>
      <c r="C333" s="464">
        <v>633586</v>
      </c>
      <c r="D333" s="506">
        <v>364311.91000000003</v>
      </c>
      <c r="E333" s="481">
        <v>2111.9533333333334</v>
      </c>
      <c r="F333" s="482">
        <v>15839.64</v>
      </c>
      <c r="G333" s="507">
        <f t="shared" si="37"/>
        <v>380151.55000000005</v>
      </c>
      <c r="H333" s="518">
        <f t="shared" si="38"/>
        <v>253434.44999999995</v>
      </c>
      <c r="I333" s="468">
        <v>40</v>
      </c>
    </row>
    <row r="334" spans="1:9">
      <c r="A334" s="480" t="s">
        <v>376</v>
      </c>
      <c r="B334" s="483" t="s">
        <v>442</v>
      </c>
      <c r="C334" s="464">
        <v>28199.06</v>
      </c>
      <c r="D334" s="506">
        <v>24815.32</v>
      </c>
      <c r="E334" s="481">
        <v>0</v>
      </c>
      <c r="F334" s="482">
        <v>1128</v>
      </c>
      <c r="G334" s="507">
        <f t="shared" si="37"/>
        <v>25943.32</v>
      </c>
      <c r="H334" s="518">
        <f t="shared" si="38"/>
        <v>2255.7400000000016</v>
      </c>
      <c r="I334" s="468">
        <v>25</v>
      </c>
    </row>
    <row r="335" spans="1:9">
      <c r="A335" s="480" t="s">
        <v>547</v>
      </c>
      <c r="B335" s="483" t="s">
        <v>442</v>
      </c>
      <c r="C335" s="464">
        <v>35140</v>
      </c>
      <c r="D335" s="506">
        <v>35140</v>
      </c>
      <c r="E335" s="481">
        <v>146.41666666666666</v>
      </c>
      <c r="F335" s="482">
        <v>0</v>
      </c>
      <c r="G335" s="507">
        <f t="shared" si="37"/>
        <v>35140</v>
      </c>
      <c r="H335" s="518">
        <f t="shared" si="38"/>
        <v>0</v>
      </c>
      <c r="I335" s="468">
        <v>20</v>
      </c>
    </row>
    <row r="336" spans="1:9">
      <c r="A336" s="480" t="s">
        <v>548</v>
      </c>
      <c r="B336" s="483" t="s">
        <v>442</v>
      </c>
      <c r="C336" s="464">
        <v>39500</v>
      </c>
      <c r="D336" s="506">
        <v>39500</v>
      </c>
      <c r="E336" s="481">
        <v>164.58333333333334</v>
      </c>
      <c r="F336" s="482">
        <v>0</v>
      </c>
      <c r="G336" s="507">
        <f t="shared" si="37"/>
        <v>39500</v>
      </c>
      <c r="H336" s="518">
        <f t="shared" si="38"/>
        <v>0</v>
      </c>
      <c r="I336" s="468">
        <v>20</v>
      </c>
    </row>
    <row r="337" spans="1:9">
      <c r="A337" s="480" t="s">
        <v>555</v>
      </c>
      <c r="B337" s="483">
        <v>33604</v>
      </c>
      <c r="C337" s="464">
        <v>21881.58</v>
      </c>
      <c r="D337" s="506">
        <v>19255.859999999997</v>
      </c>
      <c r="E337" s="481">
        <v>60.782166666666676</v>
      </c>
      <c r="F337" s="482">
        <v>875.28</v>
      </c>
      <c r="G337" s="507">
        <f t="shared" si="37"/>
        <v>20131.139999999996</v>
      </c>
      <c r="H337" s="518">
        <f t="shared" si="38"/>
        <v>1750.440000000006</v>
      </c>
      <c r="I337" s="468">
        <v>25</v>
      </c>
    </row>
    <row r="338" spans="1:9">
      <c r="A338" s="480" t="s">
        <v>551</v>
      </c>
      <c r="B338" s="483" t="s">
        <v>552</v>
      </c>
      <c r="C338" s="464">
        <v>43333</v>
      </c>
      <c r="D338" s="506">
        <v>34666.239999999998</v>
      </c>
      <c r="E338" s="481">
        <v>361.10833333333335</v>
      </c>
      <c r="F338" s="482">
        <v>1733.28</v>
      </c>
      <c r="G338" s="507">
        <f t="shared" si="37"/>
        <v>36399.519999999997</v>
      </c>
      <c r="H338" s="518">
        <f t="shared" si="38"/>
        <v>6933.4800000000032</v>
      </c>
      <c r="I338" s="468">
        <v>25</v>
      </c>
    </row>
    <row r="339" spans="1:9">
      <c r="A339" s="480" t="s">
        <v>556</v>
      </c>
      <c r="B339" s="483">
        <v>34612</v>
      </c>
      <c r="C339" s="464">
        <v>9697.4500000000007</v>
      </c>
      <c r="D339" s="506">
        <v>6222.65</v>
      </c>
      <c r="E339" s="481">
        <v>26.937361111111112</v>
      </c>
      <c r="F339" s="482">
        <v>323.28000000000003</v>
      </c>
      <c r="G339" s="507">
        <f t="shared" si="37"/>
        <v>6545.9299999999994</v>
      </c>
      <c r="H339" s="518">
        <f t="shared" si="38"/>
        <v>3151.5200000000013</v>
      </c>
      <c r="I339" s="468">
        <v>30</v>
      </c>
    </row>
    <row r="340" spans="1:9">
      <c r="A340" s="480" t="s">
        <v>559</v>
      </c>
      <c r="B340" s="483">
        <v>34975</v>
      </c>
      <c r="C340" s="464">
        <v>9969.83</v>
      </c>
      <c r="D340" s="506">
        <v>6064.7899999999991</v>
      </c>
      <c r="E340" s="481">
        <v>33.23276666666667</v>
      </c>
      <c r="F340" s="482">
        <v>332.28000000000003</v>
      </c>
      <c r="G340" s="507">
        <f t="shared" si="37"/>
        <v>6397.0699999999988</v>
      </c>
      <c r="H340" s="518">
        <f t="shared" si="38"/>
        <v>3572.7600000000011</v>
      </c>
      <c r="I340" s="468">
        <v>30</v>
      </c>
    </row>
    <row r="341" spans="1:9">
      <c r="A341" s="480" t="s">
        <v>560</v>
      </c>
      <c r="B341" s="483">
        <v>35249</v>
      </c>
      <c r="C341" s="464">
        <v>7506.9</v>
      </c>
      <c r="D341" s="506">
        <v>4378.91</v>
      </c>
      <c r="E341" s="481">
        <v>25.023</v>
      </c>
      <c r="F341" s="482">
        <v>250.20000000000002</v>
      </c>
      <c r="G341" s="507">
        <f t="shared" si="37"/>
        <v>4629.1099999999997</v>
      </c>
      <c r="H341" s="518">
        <f t="shared" si="38"/>
        <v>2877.79</v>
      </c>
      <c r="I341" s="468">
        <v>30</v>
      </c>
    </row>
    <row r="342" spans="1:9">
      <c r="A342" s="480" t="s">
        <v>553</v>
      </c>
      <c r="B342" s="483" t="s">
        <v>554</v>
      </c>
      <c r="C342" s="464">
        <v>348562.14</v>
      </c>
      <c r="D342" s="506">
        <v>283206.61000000004</v>
      </c>
      <c r="E342" s="481">
        <v>726.17112499999996</v>
      </c>
      <c r="F342" s="482">
        <v>17428.079999999998</v>
      </c>
      <c r="G342" s="507">
        <f t="shared" si="37"/>
        <v>300634.69000000006</v>
      </c>
      <c r="H342" s="518">
        <f t="shared" si="38"/>
        <v>47927.449999999953</v>
      </c>
      <c r="I342" s="468">
        <v>20</v>
      </c>
    </row>
    <row r="343" spans="1:9">
      <c r="A343" s="480" t="s">
        <v>557</v>
      </c>
      <c r="B343" s="483">
        <v>37256</v>
      </c>
      <c r="C343" s="464">
        <v>34298.080000000002</v>
      </c>
      <c r="D343" s="506">
        <v>34298.080000000002</v>
      </c>
      <c r="E343" s="481">
        <v>95.272444444444446</v>
      </c>
      <c r="F343" s="482">
        <v>0</v>
      </c>
      <c r="G343" s="507">
        <f t="shared" si="37"/>
        <v>34298.080000000002</v>
      </c>
      <c r="H343" s="518">
        <f t="shared" si="38"/>
        <v>0</v>
      </c>
      <c r="I343" s="468">
        <v>10</v>
      </c>
    </row>
    <row r="344" spans="1:9">
      <c r="A344" s="480" t="s">
        <v>557</v>
      </c>
      <c r="B344" s="483">
        <v>37438</v>
      </c>
      <c r="C344" s="464">
        <v>126912.47</v>
      </c>
      <c r="D344" s="506">
        <v>48649.56</v>
      </c>
      <c r="E344" s="481">
        <v>352.53463888888888</v>
      </c>
      <c r="F344" s="482">
        <v>4230.3599999999997</v>
      </c>
      <c r="G344" s="507">
        <f t="shared" si="37"/>
        <v>52879.92</v>
      </c>
      <c r="H344" s="518">
        <f t="shared" si="38"/>
        <v>74032.55</v>
      </c>
      <c r="I344" s="468">
        <v>30</v>
      </c>
    </row>
    <row r="345" spans="1:9">
      <c r="A345" s="480" t="s">
        <v>557</v>
      </c>
      <c r="B345" s="483">
        <v>37803</v>
      </c>
      <c r="C345" s="464">
        <v>195909.15</v>
      </c>
      <c r="D345" s="506">
        <v>82281.820000000007</v>
      </c>
      <c r="E345" s="481">
        <v>544.19208333333324</v>
      </c>
      <c r="F345" s="482">
        <v>7836.36</v>
      </c>
      <c r="G345" s="507">
        <f t="shared" si="37"/>
        <v>90118.180000000008</v>
      </c>
      <c r="H345" s="518">
        <f t="shared" si="38"/>
        <v>105790.96999999999</v>
      </c>
      <c r="I345" s="468">
        <v>25</v>
      </c>
    </row>
    <row r="346" spans="1:9" ht="13.5" thickBot="1">
      <c r="A346" s="480" t="s">
        <v>557</v>
      </c>
      <c r="B346" s="483">
        <v>38687</v>
      </c>
      <c r="C346" s="464">
        <v>785397.5</v>
      </c>
      <c r="D346" s="506">
        <v>253945.11000000002</v>
      </c>
      <c r="E346" s="481">
        <v>2181.6597222222222</v>
      </c>
      <c r="F346" s="482">
        <v>31415.879999999997</v>
      </c>
      <c r="G346" s="507">
        <f t="shared" si="37"/>
        <v>285360.99</v>
      </c>
      <c r="H346" s="518">
        <f t="shared" si="38"/>
        <v>500036.51</v>
      </c>
      <c r="I346" s="468">
        <v>25</v>
      </c>
    </row>
    <row r="347" spans="1:9" ht="13.5" thickBot="1">
      <c r="A347" s="480" t="s">
        <v>564</v>
      </c>
      <c r="B347" s="483"/>
      <c r="C347" s="521">
        <v>2738705.6799999997</v>
      </c>
      <c r="D347" s="521">
        <f>SUM(D328:D346)</f>
        <v>1597586.9000000004</v>
      </c>
      <c r="E347" s="521">
        <v>8047.9503567333395</v>
      </c>
      <c r="F347" s="521">
        <f>SUM(F328:F346)</f>
        <v>89470.199999999983</v>
      </c>
      <c r="G347" s="521">
        <f>SUM(G328:G346)</f>
        <v>1687057.1</v>
      </c>
      <c r="H347" s="521">
        <f>SUM(H328:H346)</f>
        <v>1051648.58</v>
      </c>
      <c r="I347" s="468"/>
    </row>
    <row r="348" spans="1:9" ht="13.5" thickTop="1">
      <c r="A348" s="480"/>
      <c r="B348" s="483"/>
      <c r="C348" s="464"/>
      <c r="D348" s="465"/>
      <c r="E348" s="481"/>
      <c r="F348" s="482"/>
      <c r="G348" s="481"/>
      <c r="H348" s="466"/>
      <c r="I348" s="468"/>
    </row>
    <row r="349" spans="1:9">
      <c r="A349" s="490" t="s">
        <v>565</v>
      </c>
      <c r="B349" s="483"/>
      <c r="C349" s="464"/>
      <c r="D349" s="465"/>
      <c r="E349" s="481"/>
      <c r="F349" s="482"/>
      <c r="G349" s="481"/>
      <c r="H349" s="466"/>
      <c r="I349" s="468"/>
    </row>
    <row r="350" spans="1:9">
      <c r="A350" s="480"/>
      <c r="B350" s="483"/>
      <c r="C350" s="464"/>
      <c r="D350" s="465"/>
      <c r="E350" s="481"/>
      <c r="F350" s="482"/>
      <c r="G350" s="481"/>
      <c r="H350" s="466"/>
      <c r="I350" s="468"/>
    </row>
    <row r="351" spans="1:9">
      <c r="A351" s="480" t="s">
        <v>566</v>
      </c>
      <c r="B351" s="483">
        <v>32874</v>
      </c>
      <c r="C351" s="464">
        <v>75764.67</v>
      </c>
      <c r="D351" s="465">
        <v>75764.67</v>
      </c>
      <c r="E351" s="481">
        <v>0</v>
      </c>
      <c r="F351" s="482">
        <v>0</v>
      </c>
      <c r="G351" s="481">
        <f t="shared" ref="G351:G357" si="39">+D351+F351</f>
        <v>75764.67</v>
      </c>
      <c r="H351" s="466">
        <f t="shared" ref="H351:H357" si="40">+C351-G351</f>
        <v>0</v>
      </c>
      <c r="I351" s="468">
        <v>10</v>
      </c>
    </row>
    <row r="352" spans="1:9">
      <c r="A352" s="480" t="s">
        <v>567</v>
      </c>
      <c r="B352" s="483">
        <v>33604</v>
      </c>
      <c r="C352" s="464">
        <v>2300</v>
      </c>
      <c r="D352" s="465">
        <v>2300</v>
      </c>
      <c r="E352" s="481">
        <v>0</v>
      </c>
      <c r="F352" s="482">
        <v>0</v>
      </c>
      <c r="G352" s="481">
        <f t="shared" si="39"/>
        <v>2300</v>
      </c>
      <c r="H352" s="466">
        <f t="shared" si="40"/>
        <v>0</v>
      </c>
      <c r="I352" s="468">
        <v>10</v>
      </c>
    </row>
    <row r="353" spans="1:9">
      <c r="A353" s="480" t="s">
        <v>568</v>
      </c>
      <c r="B353" s="483">
        <v>35852</v>
      </c>
      <c r="C353" s="464">
        <v>17748.89</v>
      </c>
      <c r="D353" s="465">
        <v>17748.89</v>
      </c>
      <c r="E353" s="481">
        <v>0</v>
      </c>
      <c r="F353" s="482">
        <v>0</v>
      </c>
      <c r="G353" s="481">
        <f t="shared" si="39"/>
        <v>17748.89</v>
      </c>
      <c r="H353" s="466">
        <f t="shared" si="40"/>
        <v>0</v>
      </c>
      <c r="I353" s="468">
        <v>10</v>
      </c>
    </row>
    <row r="354" spans="1:9">
      <c r="A354" s="480" t="s">
        <v>569</v>
      </c>
      <c r="B354" s="483">
        <v>36094</v>
      </c>
      <c r="C354" s="464">
        <v>6772.34</v>
      </c>
      <c r="D354" s="465">
        <v>6772.34</v>
      </c>
      <c r="E354" s="481">
        <v>0</v>
      </c>
      <c r="F354" s="482">
        <v>0</v>
      </c>
      <c r="G354" s="481">
        <f t="shared" si="39"/>
        <v>6772.34</v>
      </c>
      <c r="H354" s="466">
        <f t="shared" si="40"/>
        <v>0</v>
      </c>
      <c r="I354" s="468">
        <v>10</v>
      </c>
    </row>
    <row r="355" spans="1:9">
      <c r="A355" s="480" t="s">
        <v>570</v>
      </c>
      <c r="B355" s="483">
        <v>36347</v>
      </c>
      <c r="C355" s="464">
        <v>2624.66</v>
      </c>
      <c r="D355" s="465">
        <v>2624.66</v>
      </c>
      <c r="E355" s="481">
        <v>10.936083333333334</v>
      </c>
      <c r="F355" s="482">
        <v>0</v>
      </c>
      <c r="G355" s="481">
        <f t="shared" si="39"/>
        <v>2624.66</v>
      </c>
      <c r="H355" s="466">
        <f t="shared" si="40"/>
        <v>0</v>
      </c>
      <c r="I355" s="468">
        <v>10</v>
      </c>
    </row>
    <row r="356" spans="1:9">
      <c r="A356" s="480" t="s">
        <v>571</v>
      </c>
      <c r="B356" s="483">
        <v>36502</v>
      </c>
      <c r="C356" s="464">
        <v>129097.17</v>
      </c>
      <c r="D356" s="465">
        <v>129097.17</v>
      </c>
      <c r="E356" s="481">
        <v>986.15893749999987</v>
      </c>
      <c r="F356" s="482">
        <v>0</v>
      </c>
      <c r="G356" s="481">
        <f t="shared" si="39"/>
        <v>129097.17</v>
      </c>
      <c r="H356" s="466">
        <f t="shared" si="40"/>
        <v>0</v>
      </c>
      <c r="I356" s="468">
        <v>10</v>
      </c>
    </row>
    <row r="357" spans="1:9">
      <c r="A357" s="480" t="s">
        <v>572</v>
      </c>
      <c r="B357" s="483">
        <v>37256</v>
      </c>
      <c r="C357" s="464">
        <v>6641.1</v>
      </c>
      <c r="D357" s="465">
        <v>6641.1</v>
      </c>
      <c r="E357" s="481">
        <v>55.342500000000001</v>
      </c>
      <c r="F357" s="482">
        <v>0</v>
      </c>
      <c r="G357" s="481">
        <f t="shared" si="39"/>
        <v>6641.1</v>
      </c>
      <c r="H357" s="466">
        <f t="shared" si="40"/>
        <v>0</v>
      </c>
      <c r="I357" s="468">
        <v>10</v>
      </c>
    </row>
    <row r="358" spans="1:9">
      <c r="A358" s="480" t="s">
        <v>573</v>
      </c>
      <c r="B358" s="483">
        <v>37438</v>
      </c>
      <c r="C358" s="464">
        <v>3129.78</v>
      </c>
      <c r="D358" s="465">
        <v>3129.78</v>
      </c>
      <c r="E358" s="481">
        <v>26.081500000000002</v>
      </c>
      <c r="F358" s="482">
        <v>0</v>
      </c>
      <c r="G358" s="481">
        <f t="shared" ref="G358:G368" si="41">+D358+F358</f>
        <v>3129.78</v>
      </c>
      <c r="H358" s="466">
        <f t="shared" ref="H358:H368" si="42">+C358-G358</f>
        <v>0</v>
      </c>
      <c r="I358" s="468">
        <v>10</v>
      </c>
    </row>
    <row r="359" spans="1:9">
      <c r="A359" s="480" t="s">
        <v>567</v>
      </c>
      <c r="B359" s="483">
        <v>37711</v>
      </c>
      <c r="C359" s="464">
        <v>2988.23</v>
      </c>
      <c r="D359" s="465">
        <v>2988.2300000000005</v>
      </c>
      <c r="E359" s="481">
        <v>24.901916666666668</v>
      </c>
      <c r="F359" s="482">
        <v>0</v>
      </c>
      <c r="G359" s="481">
        <f t="shared" si="41"/>
        <v>2988.2300000000005</v>
      </c>
      <c r="H359" s="466">
        <f t="shared" si="42"/>
        <v>0</v>
      </c>
      <c r="I359" s="468">
        <v>10</v>
      </c>
    </row>
    <row r="360" spans="1:9">
      <c r="A360" s="480" t="s">
        <v>574</v>
      </c>
      <c r="B360" s="483">
        <v>38254</v>
      </c>
      <c r="C360" s="464">
        <v>1168.0899999999999</v>
      </c>
      <c r="D360" s="465">
        <v>1168.0899999999999</v>
      </c>
      <c r="E360" s="481">
        <v>13.905833333333332</v>
      </c>
      <c r="F360" s="482">
        <v>0</v>
      </c>
      <c r="G360" s="481">
        <f t="shared" si="41"/>
        <v>1168.0899999999999</v>
      </c>
      <c r="H360" s="466">
        <f t="shared" si="42"/>
        <v>0</v>
      </c>
      <c r="I360" s="468">
        <v>7</v>
      </c>
    </row>
    <row r="361" spans="1:9">
      <c r="A361" s="480" t="s">
        <v>575</v>
      </c>
      <c r="B361" s="483">
        <v>38675</v>
      </c>
      <c r="C361" s="464">
        <v>27767</v>
      </c>
      <c r="D361" s="465">
        <v>27767</v>
      </c>
      <c r="E361" s="481">
        <v>330.5595238095238</v>
      </c>
      <c r="F361" s="482">
        <v>0</v>
      </c>
      <c r="G361" s="481">
        <f t="shared" si="41"/>
        <v>27767</v>
      </c>
      <c r="H361" s="466">
        <f t="shared" si="42"/>
        <v>0</v>
      </c>
      <c r="I361" s="468">
        <v>7</v>
      </c>
    </row>
    <row r="362" spans="1:9">
      <c r="A362" s="480" t="s">
        <v>569</v>
      </c>
      <c r="B362" s="483">
        <v>39295</v>
      </c>
      <c r="C362" s="464">
        <v>91277.1</v>
      </c>
      <c r="D362" s="465">
        <v>58569.35</v>
      </c>
      <c r="E362" s="481">
        <v>760.64250000000004</v>
      </c>
      <c r="F362" s="482">
        <v>9127.68</v>
      </c>
      <c r="G362" s="481">
        <f t="shared" si="41"/>
        <v>67697.03</v>
      </c>
      <c r="H362" s="466">
        <f t="shared" si="42"/>
        <v>23580.070000000007</v>
      </c>
      <c r="I362" s="468">
        <v>7</v>
      </c>
    </row>
    <row r="363" spans="1:9">
      <c r="A363" s="480" t="s">
        <v>531</v>
      </c>
      <c r="B363" s="483">
        <v>40330</v>
      </c>
      <c r="C363" s="464">
        <v>10671.47</v>
      </c>
      <c r="D363" s="465">
        <v>7647.98</v>
      </c>
      <c r="E363" s="481">
        <v>216.87083333333331</v>
      </c>
      <c r="F363" s="482">
        <v>2134.3200000000002</v>
      </c>
      <c r="G363" s="481">
        <f t="shared" si="41"/>
        <v>9782.2999999999993</v>
      </c>
      <c r="H363" s="466">
        <f t="shared" si="42"/>
        <v>889.17000000000007</v>
      </c>
      <c r="I363" s="468">
        <v>7</v>
      </c>
    </row>
    <row r="364" spans="1:9">
      <c r="A364" s="480" t="s">
        <v>855</v>
      </c>
      <c r="B364" s="483">
        <v>40390</v>
      </c>
      <c r="C364" s="464">
        <v>5224.05</v>
      </c>
      <c r="D364" s="465">
        <v>3569.87</v>
      </c>
      <c r="E364" s="481">
        <v>216.87083333333331</v>
      </c>
      <c r="F364" s="482">
        <v>1044.8399999999999</v>
      </c>
      <c r="G364" s="481">
        <f t="shared" si="41"/>
        <v>4614.71</v>
      </c>
      <c r="H364" s="466">
        <f t="shared" si="42"/>
        <v>609.34000000000015</v>
      </c>
      <c r="I364" s="468">
        <v>7</v>
      </c>
    </row>
    <row r="365" spans="1:9">
      <c r="A365" s="480" t="s">
        <v>917</v>
      </c>
      <c r="B365" s="483">
        <v>40908</v>
      </c>
      <c r="C365" s="464">
        <v>10702.5</v>
      </c>
      <c r="D365" s="465">
        <v>4281.12</v>
      </c>
      <c r="E365" s="481">
        <v>216.87083333333331</v>
      </c>
      <c r="F365" s="482">
        <v>2140.56</v>
      </c>
      <c r="G365" s="481">
        <f t="shared" si="41"/>
        <v>6421.68</v>
      </c>
      <c r="H365" s="466">
        <f t="shared" si="42"/>
        <v>4280.82</v>
      </c>
      <c r="I365" s="468">
        <v>7</v>
      </c>
    </row>
    <row r="366" spans="1:9">
      <c r="A366" s="480" t="s">
        <v>929</v>
      </c>
      <c r="B366" s="483">
        <v>40999</v>
      </c>
      <c r="C366" s="464">
        <v>23047.95</v>
      </c>
      <c r="D366" s="465">
        <v>4033.92</v>
      </c>
      <c r="E366" s="481">
        <v>216.87083333333331</v>
      </c>
      <c r="F366" s="482">
        <v>2304.84</v>
      </c>
      <c r="G366" s="481">
        <f t="shared" si="41"/>
        <v>6338.76</v>
      </c>
      <c r="H366" s="466">
        <f t="shared" si="42"/>
        <v>16709.190000000002</v>
      </c>
      <c r="I366" s="468">
        <v>7</v>
      </c>
    </row>
    <row r="367" spans="1:9">
      <c r="A367" s="480" t="s">
        <v>930</v>
      </c>
      <c r="B367" s="483">
        <v>41121</v>
      </c>
      <c r="C367" s="464">
        <v>30181.250000000004</v>
      </c>
      <c r="D367" s="465">
        <v>8551.27</v>
      </c>
      <c r="E367" s="481">
        <v>216.87083333333331</v>
      </c>
      <c r="F367" s="482">
        <v>6036.24</v>
      </c>
      <c r="G367" s="481">
        <f t="shared" si="41"/>
        <v>14587.51</v>
      </c>
      <c r="H367" s="466">
        <f t="shared" si="42"/>
        <v>15593.740000000003</v>
      </c>
      <c r="I367" s="468">
        <v>7</v>
      </c>
    </row>
    <row r="368" spans="1:9">
      <c r="A368" s="480" t="s">
        <v>931</v>
      </c>
      <c r="B368" s="483">
        <v>41121</v>
      </c>
      <c r="C368" s="464">
        <v>26299.920000000002</v>
      </c>
      <c r="D368" s="465">
        <v>7451.73</v>
      </c>
      <c r="E368" s="481">
        <v>216.87083333333331</v>
      </c>
      <c r="F368" s="482">
        <v>5259.96</v>
      </c>
      <c r="G368" s="481">
        <f t="shared" si="41"/>
        <v>12711.689999999999</v>
      </c>
      <c r="H368" s="466">
        <f t="shared" si="42"/>
        <v>13588.230000000003</v>
      </c>
      <c r="I368" s="468">
        <v>7</v>
      </c>
    </row>
    <row r="369" spans="1:9">
      <c r="A369" s="480" t="s">
        <v>995</v>
      </c>
      <c r="B369" s="483">
        <v>41639</v>
      </c>
      <c r="C369" s="498">
        <v>1167.18</v>
      </c>
      <c r="D369" s="465">
        <v>0</v>
      </c>
      <c r="E369" s="481"/>
      <c r="F369" s="482">
        <v>233.39999999999998</v>
      </c>
      <c r="G369" s="481">
        <f t="shared" ref="G369:G376" si="43">+D369+F369</f>
        <v>233.39999999999998</v>
      </c>
      <c r="H369" s="466">
        <f t="shared" ref="H369:H376" si="44">+C369-G369</f>
        <v>933.78000000000009</v>
      </c>
      <c r="I369" s="468">
        <v>7</v>
      </c>
    </row>
    <row r="370" spans="1:9">
      <c r="A370" s="480" t="s">
        <v>996</v>
      </c>
      <c r="B370" s="483">
        <v>41639</v>
      </c>
      <c r="C370" s="498">
        <v>25364.36</v>
      </c>
      <c r="D370" s="465">
        <v>0</v>
      </c>
      <c r="E370" s="481"/>
      <c r="F370" s="482">
        <v>5072.88</v>
      </c>
      <c r="G370" s="481">
        <f t="shared" si="43"/>
        <v>5072.88</v>
      </c>
      <c r="H370" s="466">
        <f t="shared" si="44"/>
        <v>20291.48</v>
      </c>
      <c r="I370" s="468">
        <v>7</v>
      </c>
    </row>
    <row r="371" spans="1:9">
      <c r="A371" s="480" t="s">
        <v>997</v>
      </c>
      <c r="B371" s="483">
        <v>41639</v>
      </c>
      <c r="C371" s="498">
        <v>29794.560000000001</v>
      </c>
      <c r="D371" s="465">
        <v>0</v>
      </c>
      <c r="E371" s="481"/>
      <c r="F371" s="482">
        <v>5958.96</v>
      </c>
      <c r="G371" s="481">
        <f t="shared" si="43"/>
        <v>5958.96</v>
      </c>
      <c r="H371" s="466">
        <f t="shared" si="44"/>
        <v>23835.600000000002</v>
      </c>
      <c r="I371" s="468">
        <v>7</v>
      </c>
    </row>
    <row r="372" spans="1:9">
      <c r="A372" s="480" t="s">
        <v>998</v>
      </c>
      <c r="B372" s="483">
        <v>41639</v>
      </c>
      <c r="C372" s="498">
        <v>48523.13</v>
      </c>
      <c r="D372" s="465">
        <v>0</v>
      </c>
      <c r="E372" s="481"/>
      <c r="F372" s="482">
        <v>9704.64</v>
      </c>
      <c r="G372" s="481">
        <f t="shared" si="43"/>
        <v>9704.64</v>
      </c>
      <c r="H372" s="466">
        <f t="shared" si="44"/>
        <v>38818.49</v>
      </c>
      <c r="I372" s="468">
        <v>7</v>
      </c>
    </row>
    <row r="373" spans="1:9">
      <c r="A373" s="480" t="s">
        <v>999</v>
      </c>
      <c r="B373" s="483">
        <v>41639</v>
      </c>
      <c r="C373" s="498">
        <v>50498.44</v>
      </c>
      <c r="D373" s="465">
        <v>0</v>
      </c>
      <c r="E373" s="481">
        <v>216.87083333333331</v>
      </c>
      <c r="F373" s="482">
        <v>5049.84</v>
      </c>
      <c r="G373" s="481">
        <f t="shared" ref="G373:G374" si="45">+D373+F373</f>
        <v>5049.84</v>
      </c>
      <c r="H373" s="466">
        <f t="shared" ref="H373:H374" si="46">+C373-G373</f>
        <v>45448.600000000006</v>
      </c>
      <c r="I373" s="468">
        <v>7</v>
      </c>
    </row>
    <row r="374" spans="1:9">
      <c r="A374" s="480" t="s">
        <v>1035</v>
      </c>
      <c r="B374" s="483">
        <v>41851</v>
      </c>
      <c r="C374" s="498">
        <v>12833.77</v>
      </c>
      <c r="D374" s="465">
        <v>0</v>
      </c>
      <c r="E374" s="481">
        <v>216.87083333333331</v>
      </c>
      <c r="F374" s="482">
        <v>1069.5</v>
      </c>
      <c r="G374" s="481">
        <f t="shared" si="45"/>
        <v>1069.5</v>
      </c>
      <c r="H374" s="466">
        <f t="shared" si="46"/>
        <v>11764.27</v>
      </c>
      <c r="I374" s="468">
        <v>7</v>
      </c>
    </row>
    <row r="375" spans="1:9">
      <c r="A375" s="480" t="s">
        <v>1036</v>
      </c>
      <c r="B375" s="483">
        <v>41851</v>
      </c>
      <c r="C375" s="498">
        <v>12833.77</v>
      </c>
      <c r="D375" s="465">
        <v>0</v>
      </c>
      <c r="E375" s="481">
        <v>216.87083333333331</v>
      </c>
      <c r="F375" s="482">
        <v>1069.5</v>
      </c>
      <c r="G375" s="481">
        <f t="shared" ref="G375" si="47">+D375+F375</f>
        <v>1069.5</v>
      </c>
      <c r="H375" s="466">
        <f t="shared" ref="H375" si="48">+C375-G375</f>
        <v>11764.27</v>
      </c>
      <c r="I375" s="468">
        <v>7</v>
      </c>
    </row>
    <row r="376" spans="1:9">
      <c r="A376" s="480" t="s">
        <v>1037</v>
      </c>
      <c r="B376" s="483">
        <v>41851</v>
      </c>
      <c r="C376" s="498">
        <v>15188.14</v>
      </c>
      <c r="D376" s="465">
        <v>0</v>
      </c>
      <c r="E376" s="481">
        <v>216.87083333333331</v>
      </c>
      <c r="F376" s="482">
        <v>1265.6999999999998</v>
      </c>
      <c r="G376" s="481">
        <f t="shared" si="43"/>
        <v>1265.6999999999998</v>
      </c>
      <c r="H376" s="466">
        <f t="shared" si="44"/>
        <v>13922.439999999999</v>
      </c>
      <c r="I376" s="468">
        <v>7</v>
      </c>
    </row>
    <row r="377" spans="1:9" ht="13.5" thickBot="1">
      <c r="A377" s="522" t="s">
        <v>576</v>
      </c>
      <c r="B377" s="516"/>
      <c r="C377" s="503">
        <f>SUM(C351:C376)</f>
        <v>669609.52000000014</v>
      </c>
      <c r="D377" s="503">
        <f>SUM(D351:D376)</f>
        <v>370107.16999999993</v>
      </c>
      <c r="E377" s="503">
        <v>3320.5054613095235</v>
      </c>
      <c r="F377" s="503">
        <f>SUM(F351:F376)</f>
        <v>57472.859999999986</v>
      </c>
      <c r="G377" s="503">
        <f>SUM(G351:G376)</f>
        <v>427580.03000000009</v>
      </c>
      <c r="H377" s="503">
        <f>SUM(H351:H376)</f>
        <v>242029.49000000002</v>
      </c>
      <c r="I377" s="468"/>
    </row>
    <row r="378" spans="1:9" ht="14.25" thickTop="1" thickBot="1">
      <c r="A378" s="502" t="s">
        <v>577</v>
      </c>
      <c r="B378" s="483"/>
      <c r="C378" s="523">
        <f t="shared" ref="C378:H378" si="49">+C347+C324+C319+C305+C240+C205+C191+C187+C178+C148+C29+C377</f>
        <v>19065694.429999996</v>
      </c>
      <c r="D378" s="523">
        <f t="shared" si="49"/>
        <v>8055186.3159575611</v>
      </c>
      <c r="E378" s="523">
        <f t="shared" si="49"/>
        <v>44315.080094883306</v>
      </c>
      <c r="F378" s="523">
        <f t="shared" si="49"/>
        <v>610779.38</v>
      </c>
      <c r="G378" s="523">
        <f t="shared" si="49"/>
        <v>8665965.695957562</v>
      </c>
      <c r="H378" s="523">
        <f t="shared" si="49"/>
        <v>10399728.73404244</v>
      </c>
      <c r="I378" s="468"/>
    </row>
    <row r="379" spans="1:9" ht="13.5" thickTop="1">
      <c r="A379" s="480"/>
      <c r="B379" s="483"/>
      <c r="C379" s="464"/>
      <c r="D379" s="465"/>
      <c r="E379" s="481"/>
      <c r="F379" s="482"/>
      <c r="G379" s="464"/>
      <c r="H379" s="464"/>
      <c r="I379" s="468"/>
    </row>
    <row r="380" spans="1:9">
      <c r="A380" s="480"/>
      <c r="B380" s="483"/>
      <c r="C380" s="464"/>
      <c r="D380" s="465" t="s">
        <v>364</v>
      </c>
      <c r="E380" s="481"/>
      <c r="F380" s="482"/>
      <c r="G380" s="464"/>
      <c r="H380" s="466"/>
      <c r="I380" s="468"/>
    </row>
    <row r="381" spans="1:9">
      <c r="A381" s="524"/>
      <c r="B381" s="525"/>
      <c r="C381" s="485"/>
      <c r="D381" s="486"/>
      <c r="E381" s="481"/>
      <c r="F381" s="482"/>
      <c r="G381" s="481"/>
      <c r="H381" s="481"/>
      <c r="I381" s="526"/>
    </row>
    <row r="382" spans="1:9">
      <c r="A382" s="524" t="s">
        <v>321</v>
      </c>
      <c r="B382" s="525"/>
      <c r="C382" s="527">
        <f>C178</f>
        <v>8607735.2299999986</v>
      </c>
      <c r="D382" s="527">
        <f>D178</f>
        <v>3976251.3357142848</v>
      </c>
      <c r="E382" s="527">
        <f>E178</f>
        <v>19630.769677777778</v>
      </c>
      <c r="F382" s="527">
        <f>F178</f>
        <v>259693.20000000004</v>
      </c>
      <c r="G382" s="527">
        <f>G178</f>
        <v>4235944.5357142854</v>
      </c>
      <c r="H382" s="527">
        <f>C382-G382</f>
        <v>4371790.6942857131</v>
      </c>
      <c r="I382" s="526"/>
    </row>
    <row r="383" spans="1:9">
      <c r="A383" s="528" t="s">
        <v>322</v>
      </c>
      <c r="B383" s="525"/>
      <c r="C383" s="527">
        <f>C347</f>
        <v>2738705.6799999997</v>
      </c>
      <c r="D383" s="527">
        <f>D347</f>
        <v>1597586.9000000004</v>
      </c>
      <c r="E383" s="527">
        <f>E347</f>
        <v>8047.9503567333395</v>
      </c>
      <c r="F383" s="527">
        <f>F347</f>
        <v>89470.199999999983</v>
      </c>
      <c r="G383" s="527">
        <f>G347</f>
        <v>1687057.1</v>
      </c>
      <c r="H383" s="527">
        <f>C383-G383</f>
        <v>1051648.5799999996</v>
      </c>
      <c r="I383" s="526"/>
    </row>
    <row r="384" spans="1:9">
      <c r="A384" s="529" t="s">
        <v>323</v>
      </c>
      <c r="B384" s="525"/>
      <c r="C384" s="530">
        <f>C148+C205+C319+C324</f>
        <v>5864492.5099999988</v>
      </c>
      <c r="D384" s="530">
        <f>D148+D205+D319+D324</f>
        <v>1472881.6140000003</v>
      </c>
      <c r="E384" s="530">
        <f>E148+E205+E319+E324</f>
        <v>9866.4011633483842</v>
      </c>
      <c r="F384" s="530">
        <f>F148+F205+F319+F324</f>
        <v>156307.14999999997</v>
      </c>
      <c r="G384" s="530">
        <f>G148+G205+G319+G324</f>
        <v>1629188.7640000002</v>
      </c>
      <c r="H384" s="527">
        <f>C384-G384</f>
        <v>4235303.7459999984</v>
      </c>
      <c r="I384" s="526"/>
    </row>
    <row r="385" spans="1:11" ht="13.5" thickBot="1">
      <c r="A385" s="531" t="s">
        <v>335</v>
      </c>
      <c r="B385" s="532"/>
      <c r="C385" s="533">
        <f>C29+C187+C191+C240+C305+C377</f>
        <v>1854761.0100000002</v>
      </c>
      <c r="D385" s="533">
        <f>D29+D187+D191+D240+D305+D377</f>
        <v>1008466.4662432764</v>
      </c>
      <c r="E385" s="533">
        <f>E29+E187+E191+E240+E305+E377</f>
        <v>6769.9588970238092</v>
      </c>
      <c r="F385" s="533">
        <f>F29+F187+F191+F240+F305+F377</f>
        <v>105308.82999999999</v>
      </c>
      <c r="G385" s="533">
        <f>G29+G187+G191+G240+G305+G377</f>
        <v>1113775.2962432767</v>
      </c>
      <c r="H385" s="534">
        <f>C385-G385</f>
        <v>740985.71375672356</v>
      </c>
      <c r="I385" s="526"/>
    </row>
    <row r="386" spans="1:11" ht="13.5" thickTop="1">
      <c r="A386" s="529" t="s">
        <v>324</v>
      </c>
      <c r="B386" s="535"/>
      <c r="C386" s="536">
        <f t="shared" ref="C386:H386" si="50">SUM(C382:C385)</f>
        <v>19065694.43</v>
      </c>
      <c r="D386" s="536">
        <f t="shared" si="50"/>
        <v>8055186.3159575611</v>
      </c>
      <c r="E386" s="536">
        <f t="shared" si="50"/>
        <v>44315.080094883313</v>
      </c>
      <c r="F386" s="536">
        <f t="shared" si="50"/>
        <v>610779.38</v>
      </c>
      <c r="G386" s="536">
        <f t="shared" si="50"/>
        <v>8665965.695957562</v>
      </c>
      <c r="H386" s="536">
        <f t="shared" si="50"/>
        <v>10399728.734042434</v>
      </c>
      <c r="I386" s="526"/>
      <c r="K386" s="493" t="s">
        <v>364</v>
      </c>
    </row>
    <row r="387" spans="1:11">
      <c r="A387" s="519"/>
      <c r="B387" s="525"/>
      <c r="C387" s="520"/>
      <c r="D387" s="486"/>
      <c r="E387" s="481"/>
      <c r="F387" s="482"/>
      <c r="G387" s="481"/>
      <c r="H387" s="481"/>
      <c r="I387" s="526"/>
      <c r="K387" s="493" t="s">
        <v>364</v>
      </c>
    </row>
    <row r="388" spans="1:11">
      <c r="A388" s="529" t="s">
        <v>824</v>
      </c>
      <c r="B388" s="249"/>
      <c r="C388" s="537">
        <f>514371</f>
        <v>514371</v>
      </c>
      <c r="D388" s="249"/>
      <c r="E388" s="249"/>
      <c r="F388" s="249"/>
      <c r="G388" s="249"/>
      <c r="H388" s="537">
        <f>C388</f>
        <v>514371</v>
      </c>
      <c r="I388" s="249"/>
      <c r="K388" s="493" t="s">
        <v>364</v>
      </c>
    </row>
    <row r="389" spans="1:11">
      <c r="A389" s="249"/>
      <c r="B389" s="249"/>
      <c r="C389" s="249"/>
      <c r="D389" s="249"/>
      <c r="E389" s="249"/>
      <c r="F389" s="249"/>
      <c r="G389" s="249"/>
      <c r="H389" s="249"/>
      <c r="I389" s="249"/>
    </row>
    <row r="390" spans="1:11">
      <c r="A390" s="529" t="s">
        <v>856</v>
      </c>
      <c r="B390" s="249"/>
      <c r="C390" s="538">
        <f>C386+C388</f>
        <v>19580065.43</v>
      </c>
      <c r="D390" s="538">
        <f t="shared" ref="D390:H390" si="51">D388+D386</f>
        <v>8055186.3159575611</v>
      </c>
      <c r="E390" s="538">
        <f t="shared" si="51"/>
        <v>44315.080094883313</v>
      </c>
      <c r="F390" s="538">
        <f t="shared" si="51"/>
        <v>610779.38</v>
      </c>
      <c r="G390" s="538">
        <f t="shared" si="51"/>
        <v>8665965.695957562</v>
      </c>
      <c r="H390" s="538">
        <f t="shared" si="51"/>
        <v>10914099.734042434</v>
      </c>
      <c r="I390" s="249"/>
    </row>
    <row r="391" spans="1:11">
      <c r="A391" s="249"/>
      <c r="B391" s="249"/>
      <c r="C391" s="249"/>
      <c r="D391" s="249"/>
      <c r="E391" s="249"/>
      <c r="F391" s="249" t="s">
        <v>364</v>
      </c>
      <c r="G391" s="249"/>
      <c r="H391" s="249"/>
      <c r="I391" s="249"/>
    </row>
    <row r="392" spans="1:11">
      <c r="A392" s="249"/>
      <c r="B392" s="249"/>
      <c r="C392" s="539"/>
      <c r="D392" s="249"/>
      <c r="E392" s="249"/>
      <c r="F392" s="538" t="s">
        <v>364</v>
      </c>
      <c r="G392" s="249"/>
      <c r="H392" s="249"/>
      <c r="I392" s="249"/>
    </row>
    <row r="393" spans="1:11">
      <c r="A393" s="540" t="s">
        <v>1038</v>
      </c>
      <c r="B393" s="541"/>
      <c r="C393" s="537"/>
      <c r="D393" s="537"/>
      <c r="E393" s="249"/>
      <c r="F393" s="542"/>
      <c r="G393" s="543"/>
      <c r="H393" s="543"/>
      <c r="I393" s="249"/>
      <c r="K393" s="544"/>
    </row>
    <row r="394" spans="1:11">
      <c r="A394" s="480" t="s">
        <v>1030</v>
      </c>
      <c r="B394" s="483">
        <v>42004</v>
      </c>
      <c r="C394" s="498">
        <v>3367.91</v>
      </c>
      <c r="D394" s="465">
        <v>0</v>
      </c>
      <c r="E394" s="481"/>
      <c r="F394" s="482">
        <v>0</v>
      </c>
      <c r="G394" s="481">
        <f>+D394+F394</f>
        <v>0</v>
      </c>
      <c r="H394" s="466">
        <f>C394-G394</f>
        <v>3367.91</v>
      </c>
      <c r="I394" s="468">
        <v>2</v>
      </c>
      <c r="K394" s="544"/>
    </row>
    <row r="395" spans="1:11">
      <c r="A395" s="480" t="s">
        <v>1031</v>
      </c>
      <c r="B395" s="483">
        <v>42004</v>
      </c>
      <c r="C395" s="498">
        <v>51954.38</v>
      </c>
      <c r="D395" s="465">
        <v>0</v>
      </c>
      <c r="E395" s="481">
        <v>15.54</v>
      </c>
      <c r="F395" s="482">
        <v>0</v>
      </c>
      <c r="G395" s="481">
        <f>+D395+F395</f>
        <v>0</v>
      </c>
      <c r="H395" s="466">
        <f>+C395-G395</f>
        <v>51954.38</v>
      </c>
      <c r="I395" s="468">
        <v>5</v>
      </c>
      <c r="K395" s="544"/>
    </row>
    <row r="396" spans="1:11">
      <c r="A396" s="480" t="s">
        <v>1032</v>
      </c>
      <c r="B396" s="483">
        <v>42004</v>
      </c>
      <c r="C396" s="498">
        <f>6900+474.37</f>
        <v>7374.37</v>
      </c>
      <c r="D396" s="465">
        <v>0</v>
      </c>
      <c r="E396" s="481">
        <v>26.125</v>
      </c>
      <c r="F396" s="482">
        <v>0</v>
      </c>
      <c r="G396" s="481">
        <f>+D396+F396</f>
        <v>0</v>
      </c>
      <c r="H396" s="466">
        <f>+C396-G396</f>
        <v>7374.37</v>
      </c>
      <c r="I396" s="468">
        <v>5</v>
      </c>
      <c r="K396" s="544"/>
    </row>
    <row r="397" spans="1:11">
      <c r="A397" s="480" t="s">
        <v>1033</v>
      </c>
      <c r="B397" s="483">
        <v>42004</v>
      </c>
      <c r="C397" s="498">
        <f>1890+129.94</f>
        <v>2019.94</v>
      </c>
      <c r="D397" s="465">
        <v>0</v>
      </c>
      <c r="E397" s="481"/>
      <c r="F397" s="482">
        <v>0</v>
      </c>
      <c r="G397" s="481">
        <f t="shared" ref="G397:G400" si="52">+D397+F397</f>
        <v>0</v>
      </c>
      <c r="H397" s="466">
        <f t="shared" ref="H397:H400" si="53">+C397-G397</f>
        <v>2019.94</v>
      </c>
      <c r="I397" s="468">
        <v>5</v>
      </c>
      <c r="K397" s="544"/>
    </row>
    <row r="398" spans="1:11">
      <c r="A398" s="480" t="s">
        <v>1035</v>
      </c>
      <c r="B398" s="483">
        <v>41851</v>
      </c>
      <c r="C398" s="498">
        <v>12833.77</v>
      </c>
      <c r="D398" s="465">
        <v>0</v>
      </c>
      <c r="E398" s="481"/>
      <c r="F398" s="482">
        <v>1069.5</v>
      </c>
      <c r="G398" s="481">
        <f t="shared" si="52"/>
        <v>1069.5</v>
      </c>
      <c r="H398" s="466">
        <f t="shared" si="53"/>
        <v>11764.27</v>
      </c>
      <c r="I398" s="468">
        <v>5</v>
      </c>
      <c r="K398" s="544"/>
    </row>
    <row r="399" spans="1:11">
      <c r="A399" s="480" t="s">
        <v>1036</v>
      </c>
      <c r="B399" s="483">
        <v>41851</v>
      </c>
      <c r="C399" s="498">
        <v>12833.77</v>
      </c>
      <c r="D399" s="465">
        <v>0</v>
      </c>
      <c r="E399" s="481"/>
      <c r="F399" s="482">
        <v>1069.5</v>
      </c>
      <c r="G399" s="481">
        <f t="shared" si="52"/>
        <v>1069.5</v>
      </c>
      <c r="H399" s="466">
        <f t="shared" si="53"/>
        <v>11764.27</v>
      </c>
      <c r="I399" s="468">
        <v>5</v>
      </c>
      <c r="K399" s="544"/>
    </row>
    <row r="400" spans="1:11">
      <c r="A400" s="480" t="s">
        <v>1037</v>
      </c>
      <c r="B400" s="483">
        <v>41851</v>
      </c>
      <c r="C400" s="498">
        <v>15188.14</v>
      </c>
      <c r="D400" s="465">
        <v>0</v>
      </c>
      <c r="E400" s="481"/>
      <c r="F400" s="482">
        <v>1265.6999999999998</v>
      </c>
      <c r="G400" s="481">
        <f t="shared" si="52"/>
        <v>1265.6999999999998</v>
      </c>
      <c r="H400" s="466">
        <f t="shared" si="53"/>
        <v>13922.439999999999</v>
      </c>
      <c r="I400" s="468">
        <v>5</v>
      </c>
      <c r="K400" s="544"/>
    </row>
    <row r="401" spans="1:11">
      <c r="A401" s="480"/>
      <c r="B401" s="483"/>
      <c r="C401" s="464"/>
      <c r="D401" s="465"/>
      <c r="E401" s="481"/>
      <c r="F401" s="482"/>
      <c r="G401" s="481"/>
      <c r="H401" s="466"/>
      <c r="I401" s="468"/>
      <c r="K401" s="544"/>
    </row>
    <row r="403" spans="1:11">
      <c r="A403" s="480" t="s">
        <v>1028</v>
      </c>
      <c r="B403" s="483">
        <v>42004</v>
      </c>
      <c r="C403" s="498">
        <f>85719.5+151045.15</f>
        <v>236764.65</v>
      </c>
      <c r="D403" s="465">
        <v>0</v>
      </c>
      <c r="E403" s="481"/>
      <c r="F403" s="482">
        <v>0</v>
      </c>
      <c r="G403" s="481">
        <f>+D403+F403</f>
        <v>0</v>
      </c>
      <c r="H403" s="466">
        <f>+C403-G403</f>
        <v>236764.65</v>
      </c>
      <c r="I403" s="468">
        <v>40</v>
      </c>
      <c r="K403" s="544"/>
    </row>
    <row r="404" spans="1:11">
      <c r="A404" s="480" t="s">
        <v>1029</v>
      </c>
      <c r="B404" s="483">
        <v>42004</v>
      </c>
      <c r="C404" s="498">
        <f>4931.73+5408.37</f>
        <v>10340.099999999999</v>
      </c>
      <c r="D404" s="465">
        <v>0</v>
      </c>
      <c r="E404" s="481"/>
      <c r="F404" s="482">
        <v>0</v>
      </c>
      <c r="G404" s="481">
        <f>+D404+F404</f>
        <v>0</v>
      </c>
      <c r="H404" s="466">
        <f>+C404-G404</f>
        <v>10340.099999999999</v>
      </c>
      <c r="I404" s="468">
        <v>40</v>
      </c>
      <c r="K404" s="544"/>
    </row>
    <row r="405" spans="1:11">
      <c r="A405" s="480" t="s">
        <v>469</v>
      </c>
      <c r="B405" s="483">
        <v>42004</v>
      </c>
      <c r="C405" s="498">
        <v>6420.55</v>
      </c>
      <c r="D405" s="465">
        <v>0</v>
      </c>
      <c r="E405" s="481"/>
      <c r="F405" s="482">
        <v>0</v>
      </c>
      <c r="G405" s="481">
        <f>+D405+F405</f>
        <v>0</v>
      </c>
      <c r="H405" s="466">
        <f>+C405-G405</f>
        <v>6420.55</v>
      </c>
      <c r="I405" s="468">
        <v>30</v>
      </c>
      <c r="K405" s="544"/>
    </row>
    <row r="406" spans="1:11">
      <c r="A406" s="480"/>
      <c r="B406" s="483"/>
      <c r="C406" s="498"/>
      <c r="D406" s="465"/>
      <c r="E406" s="481"/>
      <c r="F406" s="482"/>
      <c r="G406" s="481"/>
      <c r="H406" s="466"/>
      <c r="I406" s="468"/>
      <c r="K406" s="544"/>
    </row>
    <row r="407" spans="1:11">
      <c r="A407" s="480" t="s">
        <v>33</v>
      </c>
      <c r="B407" s="483">
        <v>42004</v>
      </c>
      <c r="C407" s="498">
        <f>46520.76+129.94</f>
        <v>46650.700000000004</v>
      </c>
      <c r="D407" s="465"/>
      <c r="E407" s="481"/>
      <c r="F407" s="482"/>
      <c r="G407" s="481"/>
      <c r="H407" s="466">
        <f>+C407-G407</f>
        <v>46650.700000000004</v>
      </c>
      <c r="I407" s="468">
        <v>5</v>
      </c>
      <c r="K407" s="544"/>
    </row>
    <row r="408" spans="1:11">
      <c r="A408" s="541"/>
      <c r="B408" s="541"/>
      <c r="C408" s="545"/>
      <c r="D408" s="545"/>
      <c r="E408" s="545"/>
      <c r="F408" s="545"/>
      <c r="G408" s="545"/>
      <c r="H408" s="545"/>
      <c r="I408" s="249"/>
      <c r="K408" s="544"/>
    </row>
    <row r="409" spans="1:11">
      <c r="A409" s="249" t="s">
        <v>1039</v>
      </c>
      <c r="B409" s="249"/>
      <c r="C409" s="493">
        <f t="shared" ref="C409:H409" si="54">SUM(C394:C408)</f>
        <v>405748.27999999997</v>
      </c>
      <c r="D409" s="493">
        <f t="shared" si="54"/>
        <v>0</v>
      </c>
      <c r="E409" s="493">
        <f t="shared" si="54"/>
        <v>41.664999999999999</v>
      </c>
      <c r="F409" s="493">
        <f t="shared" si="54"/>
        <v>3404.7</v>
      </c>
      <c r="G409" s="493">
        <f t="shared" si="54"/>
        <v>3404.7</v>
      </c>
      <c r="H409" s="493">
        <f t="shared" si="54"/>
        <v>402343.57999999996</v>
      </c>
      <c r="I409" s="249"/>
      <c r="K409" s="493"/>
    </row>
    <row r="410" spans="1:11">
      <c r="A410" s="249"/>
      <c r="B410" s="541"/>
      <c r="C410" s="537"/>
      <c r="D410" s="537"/>
      <c r="E410" s="249"/>
      <c r="F410" s="542"/>
      <c r="G410" s="543"/>
      <c r="H410" s="543"/>
      <c r="I410" s="249"/>
    </row>
    <row r="411" spans="1:11">
      <c r="A411" s="249"/>
      <c r="B411" s="249"/>
      <c r="C411" s="249"/>
      <c r="D411" s="249"/>
      <c r="E411" s="249"/>
      <c r="F411" s="249"/>
      <c r="G411" s="249"/>
      <c r="H411" s="249"/>
      <c r="I411" s="249"/>
      <c r="K411" s="493"/>
    </row>
    <row r="412" spans="1:11">
      <c r="A412" s="546" t="s">
        <v>932</v>
      </c>
      <c r="B412" s="249"/>
      <c r="C412" s="249"/>
      <c r="D412" s="249"/>
      <c r="E412" s="249"/>
      <c r="F412" s="249"/>
      <c r="G412" s="249"/>
      <c r="H412" s="249"/>
      <c r="I412" s="249"/>
      <c r="K412" s="493"/>
    </row>
    <row r="413" spans="1:11">
      <c r="A413" s="524" t="s">
        <v>321</v>
      </c>
      <c r="B413" s="249"/>
      <c r="C413" s="545">
        <f t="shared" ref="C413:H413" si="55">SUM(C407:C407)</f>
        <v>46650.700000000004</v>
      </c>
      <c r="D413" s="545">
        <f t="shared" si="55"/>
        <v>0</v>
      </c>
      <c r="E413" s="545">
        <f t="shared" si="55"/>
        <v>0</v>
      </c>
      <c r="F413" s="545">
        <f t="shared" si="55"/>
        <v>0</v>
      </c>
      <c r="G413" s="545">
        <f t="shared" si="55"/>
        <v>0</v>
      </c>
      <c r="H413" s="545">
        <f t="shared" si="55"/>
        <v>46650.700000000004</v>
      </c>
      <c r="I413" s="249"/>
      <c r="K413" s="493"/>
    </row>
    <row r="414" spans="1:11">
      <c r="A414" s="528" t="s">
        <v>322</v>
      </c>
      <c r="B414" s="249"/>
      <c r="C414" s="545">
        <v>0</v>
      </c>
      <c r="D414" s="545">
        <v>0</v>
      </c>
      <c r="E414" s="545"/>
      <c r="F414" s="545">
        <v>0</v>
      </c>
      <c r="G414" s="545">
        <v>0</v>
      </c>
      <c r="H414" s="545">
        <v>0</v>
      </c>
      <c r="I414" s="249"/>
      <c r="K414" s="493"/>
    </row>
    <row r="415" spans="1:11">
      <c r="A415" s="529" t="s">
        <v>323</v>
      </c>
      <c r="B415" s="249"/>
      <c r="C415" s="493">
        <f t="shared" ref="C415:H415" si="56">SUM(C403:C405)</f>
        <v>253525.3</v>
      </c>
      <c r="D415" s="493">
        <f t="shared" si="56"/>
        <v>0</v>
      </c>
      <c r="E415" s="493">
        <f t="shared" si="56"/>
        <v>0</v>
      </c>
      <c r="F415" s="493">
        <f t="shared" si="56"/>
        <v>0</v>
      </c>
      <c r="G415" s="493">
        <f t="shared" si="56"/>
        <v>0</v>
      </c>
      <c r="H415" s="493">
        <f t="shared" si="56"/>
        <v>253525.3</v>
      </c>
      <c r="I415" s="249"/>
      <c r="K415" s="493"/>
    </row>
    <row r="416" spans="1:11" ht="13.5" thickBot="1">
      <c r="A416" s="531" t="s">
        <v>335</v>
      </c>
      <c r="B416" s="249"/>
      <c r="C416" s="493">
        <f t="shared" ref="C416:H416" si="57">SUM(C394:C400)</f>
        <v>105572.28</v>
      </c>
      <c r="D416" s="493">
        <f t="shared" si="57"/>
        <v>0</v>
      </c>
      <c r="E416" s="493">
        <f t="shared" si="57"/>
        <v>41.664999999999999</v>
      </c>
      <c r="F416" s="493">
        <f t="shared" si="57"/>
        <v>3404.7</v>
      </c>
      <c r="G416" s="493">
        <f t="shared" si="57"/>
        <v>3404.7</v>
      </c>
      <c r="H416" s="493">
        <f t="shared" si="57"/>
        <v>102167.58</v>
      </c>
      <c r="I416" s="249"/>
      <c r="K416" s="493"/>
    </row>
    <row r="417" spans="1:11" ht="13.5" thickTop="1">
      <c r="A417" s="529" t="s">
        <v>324</v>
      </c>
      <c r="B417" s="249"/>
      <c r="C417" s="493">
        <f>SUM(C413:C416)</f>
        <v>405748.28</v>
      </c>
      <c r="D417" s="493">
        <f t="shared" ref="D417:H417" si="58">SUM(D413:D416)</f>
        <v>0</v>
      </c>
      <c r="E417" s="493">
        <f t="shared" si="58"/>
        <v>41.664999999999999</v>
      </c>
      <c r="F417" s="493">
        <f t="shared" si="58"/>
        <v>3404.7</v>
      </c>
      <c r="G417" s="493">
        <f t="shared" si="58"/>
        <v>3404.7</v>
      </c>
      <c r="H417" s="493">
        <f t="shared" si="58"/>
        <v>402343.58</v>
      </c>
      <c r="I417" s="249"/>
      <c r="K417" s="493"/>
    </row>
    <row r="418" spans="1:11">
      <c r="A418" s="249"/>
      <c r="B418" s="249"/>
      <c r="C418" s="249"/>
      <c r="D418" s="249"/>
      <c r="E418" s="249"/>
      <c r="F418" s="249"/>
      <c r="G418" s="249"/>
      <c r="H418" s="249"/>
      <c r="I418" s="249"/>
      <c r="K418" s="493"/>
    </row>
    <row r="419" spans="1:11">
      <c r="A419" s="249"/>
      <c r="B419" s="249"/>
      <c r="C419" s="249"/>
      <c r="D419" s="249"/>
      <c r="E419" s="249"/>
      <c r="F419" s="249"/>
      <c r="G419" s="249"/>
      <c r="H419" s="249"/>
      <c r="I419" s="249"/>
    </row>
    <row r="420" spans="1:11">
      <c r="A420" s="249"/>
      <c r="B420" s="249"/>
      <c r="C420" s="249"/>
      <c r="D420" s="249"/>
      <c r="E420" s="249"/>
      <c r="F420" s="249"/>
      <c r="G420" s="249"/>
      <c r="H420" s="249"/>
      <c r="I420" s="249"/>
    </row>
    <row r="421" spans="1:11">
      <c r="A421" s="540" t="s">
        <v>1034</v>
      </c>
      <c r="B421" s="249"/>
      <c r="C421" s="249"/>
      <c r="D421" s="249"/>
      <c r="E421" s="249"/>
      <c r="F421" s="249"/>
      <c r="G421" s="249"/>
      <c r="H421" s="249"/>
      <c r="I421" s="249"/>
    </row>
    <row r="422" spans="1:11">
      <c r="A422" s="480" t="s">
        <v>821</v>
      </c>
      <c r="B422" s="483">
        <v>39994</v>
      </c>
      <c r="C422" s="464">
        <v>29448.58</v>
      </c>
      <c r="D422" s="465">
        <v>26503.720000000005</v>
      </c>
      <c r="E422" s="481">
        <v>245.40333333333334</v>
      </c>
      <c r="F422" s="482">
        <v>2944.86</v>
      </c>
      <c r="G422" s="481">
        <f>+D422+F422</f>
        <v>29448.580000000005</v>
      </c>
      <c r="H422" s="466">
        <f>+C422-G422</f>
        <v>0</v>
      </c>
      <c r="I422" s="468"/>
    </row>
    <row r="423" spans="1:11">
      <c r="A423" s="480" t="s">
        <v>822</v>
      </c>
      <c r="B423" s="483">
        <v>39994</v>
      </c>
      <c r="C423" s="464">
        <v>25916.29</v>
      </c>
      <c r="D423" s="465">
        <v>23324.649999999998</v>
      </c>
      <c r="E423" s="481">
        <v>215.96083333333331</v>
      </c>
      <c r="F423" s="482">
        <v>2591.64</v>
      </c>
      <c r="G423" s="481">
        <f>+D423+F423</f>
        <v>25916.289999999997</v>
      </c>
      <c r="H423" s="466">
        <f>+C423-G423</f>
        <v>0</v>
      </c>
      <c r="I423" s="468"/>
    </row>
    <row r="424" spans="1:11">
      <c r="A424" s="480" t="s">
        <v>823</v>
      </c>
      <c r="B424" s="483">
        <v>39994</v>
      </c>
      <c r="C424" s="464">
        <v>26022.79</v>
      </c>
      <c r="D424" s="465">
        <v>23420.53</v>
      </c>
      <c r="E424" s="481">
        <v>216.87083333333331</v>
      </c>
      <c r="F424" s="482">
        <v>2602.2600000000002</v>
      </c>
      <c r="G424" s="481">
        <f>+D424+F424</f>
        <v>26022.79</v>
      </c>
      <c r="H424" s="466">
        <f>+C424-G424</f>
        <v>0</v>
      </c>
      <c r="I424" s="468"/>
    </row>
    <row r="425" spans="1:11">
      <c r="A425" s="480"/>
      <c r="B425" s="483"/>
      <c r="C425" s="464"/>
      <c r="D425" s="481"/>
      <c r="E425" s="481"/>
      <c r="F425" s="482"/>
      <c r="G425" s="481"/>
      <c r="H425" s="466"/>
      <c r="I425" s="468"/>
    </row>
    <row r="426" spans="1:11">
      <c r="A426" s="480"/>
      <c r="B426" s="483"/>
      <c r="C426" s="464"/>
      <c r="D426" s="481"/>
      <c r="E426" s="481"/>
      <c r="F426" s="482"/>
      <c r="G426" s="481"/>
      <c r="H426" s="466"/>
      <c r="I426" s="468"/>
    </row>
    <row r="427" spans="1:11">
      <c r="A427" s="480"/>
      <c r="B427" s="483"/>
      <c r="C427" s="464"/>
      <c r="D427" s="465"/>
      <c r="E427" s="481"/>
      <c r="F427" s="482"/>
      <c r="G427" s="481"/>
      <c r="H427" s="466"/>
      <c r="I427" s="468"/>
    </row>
    <row r="428" spans="1:11">
      <c r="A428" s="480"/>
      <c r="B428" s="483"/>
      <c r="C428" s="464"/>
      <c r="D428" s="465"/>
      <c r="E428" s="481"/>
      <c r="F428" s="482"/>
      <c r="G428" s="481"/>
      <c r="H428" s="466"/>
      <c r="I428" s="468"/>
    </row>
    <row r="429" spans="1:11">
      <c r="A429" s="480"/>
      <c r="B429" s="483"/>
      <c r="C429" s="464"/>
      <c r="D429" s="465"/>
      <c r="E429" s="481"/>
      <c r="F429" s="482"/>
      <c r="G429" s="481"/>
      <c r="H429" s="466"/>
      <c r="I429" s="468"/>
    </row>
    <row r="430" spans="1:11">
      <c r="A430" s="480"/>
      <c r="B430" s="483"/>
      <c r="C430" s="464"/>
      <c r="D430" s="465"/>
      <c r="E430" s="481"/>
      <c r="F430" s="482"/>
      <c r="G430" s="481"/>
      <c r="H430" s="466"/>
      <c r="I430" s="468"/>
    </row>
    <row r="431" spans="1:11">
      <c r="A431" s="480"/>
      <c r="B431" s="483"/>
      <c r="C431" s="464"/>
      <c r="D431" s="465"/>
      <c r="E431" s="481"/>
      <c r="F431" s="482"/>
      <c r="G431" s="481"/>
      <c r="H431" s="466"/>
      <c r="I431" s="468"/>
    </row>
    <row r="432" spans="1:11">
      <c r="A432" s="480"/>
      <c r="B432" s="483"/>
      <c r="C432" s="464"/>
      <c r="D432" s="465"/>
      <c r="E432" s="481"/>
      <c r="F432" s="482"/>
      <c r="G432" s="481"/>
      <c r="H432" s="466"/>
      <c r="I432" s="468"/>
    </row>
    <row r="433" spans="1:9">
      <c r="A433" s="480" t="s">
        <v>1040</v>
      </c>
      <c r="B433" s="483"/>
      <c r="C433" s="464">
        <f>SUM(C422:C432)</f>
        <v>81387.66</v>
      </c>
      <c r="D433" s="464">
        <f>SUM(D422:D432)</f>
        <v>73248.899999999994</v>
      </c>
      <c r="E433" s="464">
        <f>SUM(E422:E432)</f>
        <v>678.2349999999999</v>
      </c>
      <c r="F433" s="464">
        <f>SUM(F422:F432)</f>
        <v>8138.76</v>
      </c>
      <c r="G433" s="464">
        <f>SUM(G422:G432)</f>
        <v>81387.66</v>
      </c>
      <c r="H433" s="466"/>
      <c r="I433" s="468"/>
    </row>
    <row r="434" spans="1:9">
      <c r="A434" s="480"/>
      <c r="B434" s="483"/>
      <c r="C434" s="464"/>
      <c r="D434" s="464"/>
      <c r="E434" s="464"/>
      <c r="F434" s="464"/>
      <c r="G434" s="464"/>
      <c r="H434" s="466"/>
      <c r="I434" s="468"/>
    </row>
    <row r="435" spans="1:9">
      <c r="A435" s="546" t="s">
        <v>1001</v>
      </c>
    </row>
    <row r="436" spans="1:9">
      <c r="A436" s="524" t="s">
        <v>321</v>
      </c>
      <c r="C436" s="548">
        <v>0</v>
      </c>
      <c r="D436" s="548">
        <v>0</v>
      </c>
      <c r="E436" s="548"/>
      <c r="F436" s="548">
        <v>0</v>
      </c>
      <c r="G436" s="548">
        <v>0</v>
      </c>
      <c r="H436" s="548">
        <v>0</v>
      </c>
    </row>
    <row r="437" spans="1:9">
      <c r="A437" s="528" t="s">
        <v>322</v>
      </c>
      <c r="C437" s="548">
        <v>0</v>
      </c>
      <c r="D437" s="548">
        <v>0</v>
      </c>
      <c r="E437" s="548"/>
      <c r="F437" s="548">
        <v>0</v>
      </c>
      <c r="G437" s="548">
        <v>0</v>
      </c>
      <c r="H437" s="548">
        <v>0</v>
      </c>
    </row>
    <row r="438" spans="1:9">
      <c r="A438" s="529" t="s">
        <v>323</v>
      </c>
      <c r="C438" s="548">
        <v>0</v>
      </c>
      <c r="D438" s="548">
        <v>0</v>
      </c>
      <c r="E438" s="548">
        <f>SUM(E422:E425)</f>
        <v>678.2349999999999</v>
      </c>
      <c r="F438" s="548">
        <v>0</v>
      </c>
      <c r="G438" s="548">
        <v>0</v>
      </c>
      <c r="H438" s="548">
        <v>0</v>
      </c>
    </row>
    <row r="439" spans="1:9" ht="13.5" thickBot="1">
      <c r="A439" s="531" t="s">
        <v>335</v>
      </c>
      <c r="C439" s="548">
        <f>SUM(C422:C425)</f>
        <v>81387.66</v>
      </c>
      <c r="D439" s="548">
        <f t="shared" ref="D439:H439" si="59">SUM(D422:D425)</f>
        <v>73248.899999999994</v>
      </c>
      <c r="E439" s="548">
        <f t="shared" si="59"/>
        <v>678.2349999999999</v>
      </c>
      <c r="F439" s="548">
        <f t="shared" si="59"/>
        <v>8138.76</v>
      </c>
      <c r="G439" s="548">
        <f t="shared" si="59"/>
        <v>81387.66</v>
      </c>
      <c r="H439" s="548">
        <f t="shared" si="59"/>
        <v>0</v>
      </c>
    </row>
    <row r="440" spans="1:9" ht="13.5" thickTop="1">
      <c r="A440" s="529" t="s">
        <v>324</v>
      </c>
      <c r="C440" s="548">
        <f>SUM(C436:C439)</f>
        <v>81387.66</v>
      </c>
      <c r="D440" s="548">
        <f t="shared" ref="D440:H440" si="60">SUM(D436:D439)</f>
        <v>73248.899999999994</v>
      </c>
      <c r="E440" s="548">
        <f t="shared" si="60"/>
        <v>1356.4699999999998</v>
      </c>
      <c r="F440" s="548">
        <f t="shared" si="60"/>
        <v>8138.76</v>
      </c>
      <c r="G440" s="548">
        <f t="shared" si="60"/>
        <v>81387.66</v>
      </c>
      <c r="H440" s="548">
        <f t="shared" si="60"/>
        <v>0</v>
      </c>
    </row>
    <row r="445" spans="1:9">
      <c r="A445" s="28" t="s">
        <v>1041</v>
      </c>
      <c r="F445" s="547">
        <f>+F433+F390</f>
        <v>618918.14</v>
      </c>
    </row>
    <row r="553" spans="6:9">
      <c r="F553" s="249"/>
      <c r="G553" s="249"/>
      <c r="H553" s="249"/>
      <c r="I553" s="249"/>
    </row>
    <row r="554" spans="6:9">
      <c r="F554" s="249"/>
      <c r="G554" s="249"/>
      <c r="H554" s="249"/>
      <c r="I554" s="249"/>
    </row>
    <row r="555" spans="6:9">
      <c r="F555" s="249"/>
      <c r="G555" s="249"/>
      <c r="H555" s="249"/>
      <c r="I555" s="249"/>
    </row>
    <row r="556" spans="6:9">
      <c r="F556" s="249"/>
      <c r="G556" s="249"/>
      <c r="H556" s="249"/>
      <c r="I556" s="249"/>
    </row>
    <row r="557" spans="6:9">
      <c r="F557" s="249"/>
      <c r="G557" s="249"/>
      <c r="H557" s="249"/>
      <c r="I557" s="249"/>
    </row>
  </sheetData>
  <phoneticPr fontId="2" type="noConversion"/>
  <printOptions headings="1"/>
  <pageMargins left="0.3" right="0.35" top="0.2" bottom="0.17" header="0.5" footer="0.5"/>
  <pageSetup scale="22" fitToHeight="0" orientation="portrait" cellComments="atEn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workbookViewId="0">
      <selection sqref="A1:AK64"/>
    </sheetView>
  </sheetViews>
  <sheetFormatPr defaultColWidth="9.140625" defaultRowHeight="12.75"/>
  <cols>
    <col min="1" max="16384" width="9.140625" style="399"/>
  </cols>
  <sheetData>
    <row r="1" spans="1:37">
      <c r="A1" s="642"/>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row>
    <row r="2" spans="1:37">
      <c r="A2" s="642"/>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row>
    <row r="3" spans="1:37">
      <c r="A3" s="642"/>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37">
      <c r="A4" s="642"/>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c r="AK4" s="642"/>
    </row>
    <row r="5" spans="1:37">
      <c r="A5" s="642"/>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row>
    <row r="6" spans="1:37">
      <c r="A6" s="642"/>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row>
    <row r="7" spans="1:37">
      <c r="A7" s="642"/>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row>
    <row r="8" spans="1:37">
      <c r="A8" s="642"/>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row>
    <row r="9" spans="1:37">
      <c r="A9" s="642"/>
      <c r="B9" s="642"/>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row>
    <row r="10" spans="1:37">
      <c r="A10" s="642"/>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row>
    <row r="11" spans="1:37">
      <c r="A11" s="642"/>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row>
    <row r="12" spans="1:37">
      <c r="A12" s="642"/>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row>
    <row r="13" spans="1:37">
      <c r="A13" s="642"/>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row>
    <row r="14" spans="1:37">
      <c r="A14" s="642"/>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row>
    <row r="15" spans="1:37">
      <c r="A15" s="642"/>
      <c r="B15" s="642"/>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row>
    <row r="16" spans="1:37">
      <c r="A16" s="642"/>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row>
    <row r="17" spans="1:37">
      <c r="A17" s="642"/>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row>
    <row r="18" spans="1:37">
      <c r="A18" s="642"/>
      <c r="B18" s="642"/>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row>
    <row r="19" spans="1:37">
      <c r="A19" s="642"/>
      <c r="B19" s="642"/>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row>
    <row r="20" spans="1:37">
      <c r="A20" s="642"/>
      <c r="B20" s="642"/>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row>
    <row r="21" spans="1:37">
      <c r="A21" s="642"/>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row>
    <row r="22" spans="1:37">
      <c r="A22" s="642"/>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row>
    <row r="23" spans="1:37">
      <c r="A23" s="642"/>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row>
    <row r="24" spans="1:37">
      <c r="A24" s="642"/>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row>
    <row r="25" spans="1:37">
      <c r="A25" s="642"/>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row>
    <row r="26" spans="1:37">
      <c r="A26" s="642"/>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row>
    <row r="27" spans="1:37">
      <c r="A27" s="642"/>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row>
    <row r="28" spans="1:37">
      <c r="A28" s="642"/>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row>
    <row r="29" spans="1:37">
      <c r="A29" s="642"/>
      <c r="B29" s="642"/>
      <c r="C29" s="642"/>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row>
    <row r="30" spans="1:37">
      <c r="A30" s="642"/>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row>
    <row r="31" spans="1:37">
      <c r="A31" s="642"/>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row>
    <row r="32" spans="1:37">
      <c r="A32" s="642"/>
      <c r="B32" s="642"/>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row>
    <row r="33" spans="1:37">
      <c r="A33" s="642"/>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row>
    <row r="34" spans="1:37">
      <c r="A34" s="642"/>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row>
    <row r="35" spans="1:37">
      <c r="A35" s="642"/>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row>
    <row r="36" spans="1:37">
      <c r="A36" s="642"/>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row>
    <row r="37" spans="1:37">
      <c r="A37" s="642"/>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row>
    <row r="38" spans="1:37">
      <c r="A38" s="642"/>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row>
    <row r="39" spans="1:37">
      <c r="A39" s="642"/>
      <c r="B39" s="642"/>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row>
    <row r="40" spans="1:37">
      <c r="A40" s="642"/>
      <c r="B40" s="642"/>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row>
    <row r="41" spans="1:37">
      <c r="A41" s="642"/>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row>
    <row r="42" spans="1:37">
      <c r="A42" s="642"/>
      <c r="B42" s="642"/>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row>
    <row r="43" spans="1:37">
      <c r="A43" s="642"/>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row>
    <row r="44" spans="1:37">
      <c r="A44" s="642"/>
      <c r="B44" s="642"/>
      <c r="C44" s="642"/>
      <c r="D44" s="642"/>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row>
    <row r="45" spans="1:37">
      <c r="A45" s="642"/>
      <c r="B45" s="642"/>
      <c r="C45" s="642"/>
      <c r="D45" s="642"/>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row>
    <row r="46" spans="1:37">
      <c r="A46" s="642"/>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row>
    <row r="47" spans="1:37">
      <c r="A47" s="642"/>
      <c r="B47" s="642"/>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row>
    <row r="48" spans="1:37">
      <c r="A48" s="642"/>
      <c r="B48" s="642"/>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row>
    <row r="49" spans="1:37">
      <c r="A49" s="642"/>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row>
    <row r="50" spans="1:37">
      <c r="A50" s="642"/>
      <c r="B50" s="642"/>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row>
    <row r="51" spans="1:37">
      <c r="A51" s="642"/>
      <c r="B51" s="642"/>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row>
    <row r="52" spans="1:37">
      <c r="A52" s="642"/>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row>
    <row r="53" spans="1:37">
      <c r="A53" s="642"/>
      <c r="B53" s="642"/>
      <c r="C53" s="642"/>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42"/>
    </row>
    <row r="54" spans="1:37">
      <c r="A54" s="642"/>
      <c r="B54" s="642"/>
      <c r="C54" s="642"/>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row>
    <row r="55" spans="1:37">
      <c r="A55" s="642"/>
      <c r="B55" s="642"/>
      <c r="C55" s="642"/>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row>
    <row r="56" spans="1:37">
      <c r="A56" s="642"/>
      <c r="B56" s="642"/>
      <c r="C56" s="642"/>
      <c r="D56" s="642"/>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row>
    <row r="57" spans="1:37">
      <c r="A57" s="642"/>
      <c r="B57" s="642"/>
      <c r="C57" s="642"/>
      <c r="D57" s="642"/>
      <c r="E57" s="642"/>
      <c r="F57" s="642"/>
      <c r="G57" s="642"/>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42"/>
      <c r="AG57" s="642"/>
      <c r="AH57" s="642"/>
      <c r="AI57" s="642"/>
      <c r="AJ57" s="642"/>
      <c r="AK57" s="642"/>
    </row>
    <row r="58" spans="1:37">
      <c r="A58" s="642"/>
      <c r="B58" s="642"/>
      <c r="C58" s="642"/>
      <c r="D58" s="642"/>
      <c r="E58" s="642"/>
      <c r="F58" s="642"/>
      <c r="G58" s="642"/>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row>
    <row r="59" spans="1:37">
      <c r="A59" s="642"/>
      <c r="B59" s="642"/>
      <c r="C59" s="642"/>
      <c r="D59" s="642"/>
      <c r="E59" s="642"/>
      <c r="F59" s="642"/>
      <c r="G59" s="642"/>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2"/>
    </row>
    <row r="60" spans="1:37">
      <c r="A60" s="642"/>
      <c r="B60" s="642"/>
      <c r="C60" s="642"/>
      <c r="D60" s="642"/>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642"/>
    </row>
    <row r="61" spans="1:37">
      <c r="A61" s="642"/>
      <c r="B61" s="642"/>
      <c r="C61" s="642"/>
      <c r="D61" s="642"/>
      <c r="E61" s="642"/>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row>
    <row r="62" spans="1:37">
      <c r="A62" s="642"/>
      <c r="B62" s="642"/>
      <c r="C62" s="642"/>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row>
    <row r="63" spans="1:37">
      <c r="A63" s="642"/>
      <c r="B63" s="642"/>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row>
    <row r="64" spans="1:37">
      <c r="A64" s="642"/>
      <c r="B64" s="642"/>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row>
  </sheetData>
  <mergeCells count="1">
    <mergeCell ref="A1:AK64"/>
  </mergeCells>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72"/>
  <sheetViews>
    <sheetView workbookViewId="0">
      <pane xSplit="6" ySplit="1" topLeftCell="P44" activePane="bottomRight" state="frozenSplit"/>
      <selection pane="topRight" activeCell="G1" sqref="G1"/>
      <selection pane="bottomLeft" activeCell="A2" sqref="A2"/>
      <selection pane="bottomRight" activeCell="AA45" sqref="AA45"/>
    </sheetView>
  </sheetViews>
  <sheetFormatPr defaultRowHeight="12.75"/>
  <cols>
    <col min="1" max="5" width="3" style="401" customWidth="1"/>
    <col min="6" max="6" width="32.7109375" style="401" customWidth="1"/>
    <col min="7" max="8" width="2.28515625" style="401" customWidth="1"/>
    <col min="9" max="9" width="9.42578125" style="401" bestFit="1" customWidth="1"/>
    <col min="10" max="10" width="2.28515625" style="401" customWidth="1"/>
    <col min="11" max="11" width="8.7109375" style="401" bestFit="1" customWidth="1"/>
    <col min="12" max="12" width="2.28515625" style="401" customWidth="1"/>
    <col min="13" max="13" width="4.5703125" style="401" bestFit="1" customWidth="1"/>
    <col min="14" max="14" width="2.28515625" style="401" customWidth="1"/>
    <col min="15" max="15" width="22.140625" style="401" bestFit="1" customWidth="1"/>
    <col min="16" max="16" width="2.28515625" style="401" customWidth="1"/>
    <col min="17" max="17" width="28.7109375" style="401" bestFit="1" customWidth="1"/>
    <col min="18" max="18" width="2.28515625" style="401" customWidth="1"/>
    <col min="19" max="19" width="28.85546875" style="401" bestFit="1" customWidth="1"/>
    <col min="20" max="20" width="2.28515625" style="401" customWidth="1"/>
    <col min="21" max="21" width="7.85546875" style="401" bestFit="1" customWidth="1"/>
    <col min="22" max="22" width="2.28515625" style="401" customWidth="1"/>
    <col min="23" max="23" width="3.28515625" style="401" bestFit="1" customWidth="1"/>
    <col min="24" max="24" width="2.28515625" style="401" customWidth="1"/>
    <col min="25" max="25" width="22" style="401" bestFit="1" customWidth="1"/>
    <col min="26" max="26" width="2.28515625" style="401" customWidth="1"/>
    <col min="27" max="27" width="8.7109375" style="401" bestFit="1" customWidth="1"/>
    <col min="28" max="28" width="2.28515625" style="401" customWidth="1"/>
    <col min="29" max="29" width="7.85546875" style="401" bestFit="1" customWidth="1"/>
    <col min="30" max="30" width="2.28515625" style="401" customWidth="1"/>
    <col min="31" max="31" width="9.28515625" style="401" bestFit="1" customWidth="1"/>
  </cols>
  <sheetData>
    <row r="1" spans="1:31" s="1" customFormat="1" ht="13.5" thickBot="1">
      <c r="A1" s="455"/>
      <c r="B1" s="455"/>
      <c r="C1" s="455"/>
      <c r="D1" s="455"/>
      <c r="E1" s="455"/>
      <c r="F1" s="455"/>
      <c r="G1" s="455"/>
      <c r="H1" s="455"/>
      <c r="I1" s="456" t="s">
        <v>278</v>
      </c>
      <c r="J1" s="455"/>
      <c r="K1" s="456" t="s">
        <v>578</v>
      </c>
      <c r="L1" s="455"/>
      <c r="M1" s="456" t="s">
        <v>951</v>
      </c>
      <c r="N1" s="455"/>
      <c r="O1" s="456" t="s">
        <v>952</v>
      </c>
      <c r="P1" s="455"/>
      <c r="Q1" s="456" t="s">
        <v>953</v>
      </c>
      <c r="R1" s="455"/>
      <c r="S1" s="456" t="s">
        <v>954</v>
      </c>
      <c r="T1" s="455"/>
      <c r="U1" s="456" t="s">
        <v>955</v>
      </c>
      <c r="V1" s="455"/>
      <c r="W1" s="456" t="s">
        <v>956</v>
      </c>
      <c r="X1" s="455"/>
      <c r="Y1" s="456" t="s">
        <v>957</v>
      </c>
      <c r="Z1" s="455"/>
      <c r="AA1" s="456" t="s">
        <v>958</v>
      </c>
      <c r="AB1" s="455"/>
      <c r="AC1" s="456" t="s">
        <v>959</v>
      </c>
      <c r="AD1" s="455"/>
      <c r="AE1" s="456" t="s">
        <v>198</v>
      </c>
    </row>
    <row r="2" spans="1:31" ht="13.5" thickTop="1">
      <c r="A2" s="442"/>
      <c r="B2" s="442" t="s">
        <v>960</v>
      </c>
      <c r="C2" s="442"/>
      <c r="D2" s="442"/>
      <c r="E2" s="442"/>
      <c r="F2" s="442"/>
      <c r="G2" s="442"/>
      <c r="H2" s="442"/>
      <c r="I2" s="442"/>
      <c r="J2" s="442"/>
      <c r="K2" s="443"/>
      <c r="L2" s="442"/>
      <c r="M2" s="442"/>
      <c r="N2" s="442"/>
      <c r="O2" s="442"/>
      <c r="P2" s="442"/>
      <c r="Q2" s="442"/>
      <c r="R2" s="442"/>
      <c r="S2" s="442"/>
      <c r="T2" s="442"/>
      <c r="U2" s="442"/>
      <c r="V2" s="442"/>
      <c r="W2" s="442"/>
      <c r="X2" s="442"/>
      <c r="Y2" s="442"/>
      <c r="Z2" s="442"/>
      <c r="AA2" s="444"/>
      <c r="AB2" s="442"/>
      <c r="AC2" s="444"/>
      <c r="AD2" s="442"/>
      <c r="AE2" s="444"/>
    </row>
    <row r="3" spans="1:31">
      <c r="A3" s="442"/>
      <c r="B3" s="442"/>
      <c r="C3" s="442" t="s">
        <v>961</v>
      </c>
      <c r="D3" s="442"/>
      <c r="E3" s="442"/>
      <c r="F3" s="442"/>
      <c r="G3" s="442"/>
      <c r="H3" s="442"/>
      <c r="I3" s="442"/>
      <c r="J3" s="442"/>
      <c r="K3" s="443"/>
      <c r="L3" s="442"/>
      <c r="M3" s="442"/>
      <c r="N3" s="442"/>
      <c r="O3" s="442"/>
      <c r="P3" s="442"/>
      <c r="Q3" s="442"/>
      <c r="R3" s="442"/>
      <c r="S3" s="442"/>
      <c r="T3" s="442"/>
      <c r="U3" s="442"/>
      <c r="V3" s="442"/>
      <c r="W3" s="442"/>
      <c r="X3" s="442"/>
      <c r="Y3" s="442"/>
      <c r="Z3" s="442"/>
      <c r="AA3" s="444"/>
      <c r="AB3" s="442"/>
      <c r="AC3" s="444"/>
      <c r="AD3" s="442"/>
      <c r="AE3" s="444"/>
    </row>
    <row r="4" spans="1:31">
      <c r="A4" s="442"/>
      <c r="B4" s="442"/>
      <c r="C4" s="442"/>
      <c r="D4" s="442" t="s">
        <v>962</v>
      </c>
      <c r="E4" s="442"/>
      <c r="F4" s="442"/>
      <c r="G4" s="442"/>
      <c r="H4" s="442"/>
      <c r="I4" s="442"/>
      <c r="J4" s="442"/>
      <c r="K4" s="443"/>
      <c r="L4" s="442"/>
      <c r="M4" s="442"/>
      <c r="N4" s="442"/>
      <c r="O4" s="442"/>
      <c r="P4" s="442"/>
      <c r="Q4" s="442"/>
      <c r="R4" s="442"/>
      <c r="S4" s="442"/>
      <c r="T4" s="442"/>
      <c r="U4" s="442"/>
      <c r="V4" s="442"/>
      <c r="W4" s="442"/>
      <c r="X4" s="442"/>
      <c r="Y4" s="442"/>
      <c r="Z4" s="442"/>
      <c r="AA4" s="444"/>
      <c r="AB4" s="442"/>
      <c r="AC4" s="444"/>
      <c r="AD4" s="442"/>
      <c r="AE4" s="444"/>
    </row>
    <row r="5" spans="1:31">
      <c r="A5" s="445"/>
      <c r="B5" s="445"/>
      <c r="C5" s="445"/>
      <c r="D5" s="445"/>
      <c r="E5" s="445"/>
      <c r="F5" s="445"/>
      <c r="G5" s="445"/>
      <c r="H5" s="445"/>
      <c r="I5" s="445" t="s">
        <v>981</v>
      </c>
      <c r="J5" s="445"/>
      <c r="K5" s="446">
        <v>41666</v>
      </c>
      <c r="L5" s="445"/>
      <c r="M5" s="445" t="s">
        <v>1008</v>
      </c>
      <c r="N5" s="445"/>
      <c r="O5" s="445" t="s">
        <v>982</v>
      </c>
      <c r="P5" s="445"/>
      <c r="Q5" s="445" t="s">
        <v>983</v>
      </c>
      <c r="R5" s="445"/>
      <c r="S5" s="445" t="s">
        <v>962</v>
      </c>
      <c r="T5" s="445"/>
      <c r="U5" s="445" t="s">
        <v>987</v>
      </c>
      <c r="V5" s="445"/>
      <c r="W5" s="447"/>
      <c r="X5" s="445"/>
      <c r="Y5" s="445" t="s">
        <v>988</v>
      </c>
      <c r="Z5" s="445"/>
      <c r="AA5" s="448">
        <v>808.49</v>
      </c>
      <c r="AB5" s="445"/>
      <c r="AC5" s="448"/>
      <c r="AD5" s="445"/>
      <c r="AE5" s="448">
        <v>-808.49</v>
      </c>
    </row>
    <row r="6" spans="1:31">
      <c r="A6" s="445"/>
      <c r="B6" s="445"/>
      <c r="C6" s="445"/>
      <c r="D6" s="445"/>
      <c r="E6" s="445"/>
      <c r="F6" s="445"/>
      <c r="G6" s="445"/>
      <c r="H6" s="445"/>
      <c r="I6" s="445" t="s">
        <v>981</v>
      </c>
      <c r="J6" s="445"/>
      <c r="K6" s="446">
        <v>41697</v>
      </c>
      <c r="L6" s="445"/>
      <c r="M6" s="445" t="s">
        <v>1009</v>
      </c>
      <c r="N6" s="445"/>
      <c r="O6" s="445" t="s">
        <v>982</v>
      </c>
      <c r="P6" s="445"/>
      <c r="Q6" s="445" t="s">
        <v>983</v>
      </c>
      <c r="R6" s="445"/>
      <c r="S6" s="445" t="s">
        <v>962</v>
      </c>
      <c r="T6" s="445"/>
      <c r="U6" s="445" t="s">
        <v>987</v>
      </c>
      <c r="V6" s="445"/>
      <c r="W6" s="447"/>
      <c r="X6" s="445"/>
      <c r="Y6" s="445" t="s">
        <v>988</v>
      </c>
      <c r="Z6" s="445"/>
      <c r="AA6" s="448">
        <v>771.98</v>
      </c>
      <c r="AB6" s="445"/>
      <c r="AC6" s="448"/>
      <c r="AD6" s="445"/>
      <c r="AE6" s="448">
        <v>-1580.47</v>
      </c>
    </row>
    <row r="7" spans="1:31">
      <c r="A7" s="445"/>
      <c r="B7" s="445"/>
      <c r="C7" s="445"/>
      <c r="D7" s="445"/>
      <c r="E7" s="445"/>
      <c r="F7" s="445"/>
      <c r="G7" s="445"/>
      <c r="H7" s="445"/>
      <c r="I7" s="445" t="s">
        <v>981</v>
      </c>
      <c r="J7" s="445"/>
      <c r="K7" s="446">
        <v>41723</v>
      </c>
      <c r="L7" s="445"/>
      <c r="M7" s="445" t="s">
        <v>1010</v>
      </c>
      <c r="N7" s="445"/>
      <c r="O7" s="445" t="s">
        <v>982</v>
      </c>
      <c r="P7" s="445"/>
      <c r="Q7" s="445" t="s">
        <v>983</v>
      </c>
      <c r="R7" s="445"/>
      <c r="S7" s="445" t="s">
        <v>962</v>
      </c>
      <c r="T7" s="445"/>
      <c r="U7" s="445" t="s">
        <v>987</v>
      </c>
      <c r="V7" s="445"/>
      <c r="W7" s="447"/>
      <c r="X7" s="445"/>
      <c r="Y7" s="445" t="s">
        <v>988</v>
      </c>
      <c r="Z7" s="445"/>
      <c r="AA7" s="448">
        <v>698.37</v>
      </c>
      <c r="AB7" s="445"/>
      <c r="AC7" s="448"/>
      <c r="AD7" s="445"/>
      <c r="AE7" s="448">
        <v>-2278.84</v>
      </c>
    </row>
    <row r="8" spans="1:31">
      <c r="A8" s="445"/>
      <c r="B8" s="445"/>
      <c r="C8" s="445"/>
      <c r="D8" s="445"/>
      <c r="E8" s="445"/>
      <c r="F8" s="445"/>
      <c r="G8" s="445"/>
      <c r="H8" s="445"/>
      <c r="I8" s="445" t="s">
        <v>981</v>
      </c>
      <c r="J8" s="445"/>
      <c r="K8" s="446">
        <v>41757</v>
      </c>
      <c r="L8" s="445"/>
      <c r="M8" s="445" t="s">
        <v>1011</v>
      </c>
      <c r="N8" s="445"/>
      <c r="O8" s="445" t="s">
        <v>982</v>
      </c>
      <c r="P8" s="445"/>
      <c r="Q8" s="445" t="s">
        <v>983</v>
      </c>
      <c r="R8" s="445"/>
      <c r="S8" s="445" t="s">
        <v>962</v>
      </c>
      <c r="T8" s="445"/>
      <c r="U8" s="445" t="s">
        <v>987</v>
      </c>
      <c r="V8" s="445"/>
      <c r="W8" s="447"/>
      <c r="X8" s="445"/>
      <c r="Y8" s="445" t="s">
        <v>988</v>
      </c>
      <c r="Z8" s="445"/>
      <c r="AA8" s="448">
        <v>786.24</v>
      </c>
      <c r="AB8" s="445"/>
      <c r="AC8" s="448"/>
      <c r="AD8" s="445"/>
      <c r="AE8" s="448">
        <v>-3065.08</v>
      </c>
    </row>
    <row r="9" spans="1:31">
      <c r="A9" s="445"/>
      <c r="B9" s="445"/>
      <c r="C9" s="445"/>
      <c r="D9" s="445"/>
      <c r="E9" s="445"/>
      <c r="F9" s="445"/>
      <c r="G9" s="445"/>
      <c r="H9" s="445"/>
      <c r="I9" s="445" t="s">
        <v>981</v>
      </c>
      <c r="J9" s="445"/>
      <c r="K9" s="446">
        <v>41787</v>
      </c>
      <c r="L9" s="445"/>
      <c r="M9" s="445" t="s">
        <v>1012</v>
      </c>
      <c r="N9" s="445"/>
      <c r="O9" s="445" t="s">
        <v>982</v>
      </c>
      <c r="P9" s="445"/>
      <c r="Q9" s="445" t="s">
        <v>983</v>
      </c>
      <c r="R9" s="445"/>
      <c r="S9" s="445" t="s">
        <v>962</v>
      </c>
      <c r="T9" s="445"/>
      <c r="U9" s="445" t="s">
        <v>987</v>
      </c>
      <c r="V9" s="445"/>
      <c r="W9" s="447"/>
      <c r="X9" s="445"/>
      <c r="Y9" s="445" t="s">
        <v>988</v>
      </c>
      <c r="Z9" s="445"/>
      <c r="AA9" s="448">
        <v>667.97</v>
      </c>
      <c r="AB9" s="445"/>
      <c r="AC9" s="448"/>
      <c r="AD9" s="445"/>
      <c r="AE9" s="448">
        <v>-3733.05</v>
      </c>
    </row>
    <row r="10" spans="1:31">
      <c r="A10" s="445"/>
      <c r="B10" s="445"/>
      <c r="C10" s="445"/>
      <c r="D10" s="445"/>
      <c r="E10" s="445"/>
      <c r="F10" s="445"/>
      <c r="G10" s="445"/>
      <c r="H10" s="445"/>
      <c r="I10" s="445" t="s">
        <v>981</v>
      </c>
      <c r="J10" s="445"/>
      <c r="K10" s="446">
        <v>41813</v>
      </c>
      <c r="L10" s="445"/>
      <c r="M10" s="445" t="s">
        <v>1013</v>
      </c>
      <c r="N10" s="445"/>
      <c r="O10" s="445" t="s">
        <v>982</v>
      </c>
      <c r="P10" s="445"/>
      <c r="Q10" s="445" t="s">
        <v>983</v>
      </c>
      <c r="R10" s="445"/>
      <c r="S10" s="445" t="s">
        <v>962</v>
      </c>
      <c r="T10" s="445"/>
      <c r="U10" s="445" t="s">
        <v>987</v>
      </c>
      <c r="V10" s="445"/>
      <c r="W10" s="447"/>
      <c r="X10" s="445"/>
      <c r="Y10" s="445" t="s">
        <v>988</v>
      </c>
      <c r="Z10" s="445"/>
      <c r="AA10" s="448">
        <v>932.61</v>
      </c>
      <c r="AB10" s="445"/>
      <c r="AC10" s="448"/>
      <c r="AD10" s="445"/>
      <c r="AE10" s="448">
        <v>-4665.66</v>
      </c>
    </row>
    <row r="11" spans="1:31">
      <c r="A11" s="445"/>
      <c r="B11" s="445"/>
      <c r="C11" s="445"/>
      <c r="D11" s="445"/>
      <c r="E11" s="445"/>
      <c r="F11" s="445"/>
      <c r="G11" s="445"/>
      <c r="H11" s="445"/>
      <c r="I11" s="445" t="s">
        <v>981</v>
      </c>
      <c r="J11" s="445"/>
      <c r="K11" s="446">
        <v>41849</v>
      </c>
      <c r="L11" s="445"/>
      <c r="M11" s="445" t="s">
        <v>1014</v>
      </c>
      <c r="N11" s="445"/>
      <c r="O11" s="445" t="s">
        <v>982</v>
      </c>
      <c r="P11" s="445"/>
      <c r="Q11" s="445" t="s">
        <v>983</v>
      </c>
      <c r="R11" s="445"/>
      <c r="S11" s="445" t="s">
        <v>962</v>
      </c>
      <c r="T11" s="445"/>
      <c r="U11" s="445" t="s">
        <v>987</v>
      </c>
      <c r="V11" s="445"/>
      <c r="W11" s="447"/>
      <c r="X11" s="445"/>
      <c r="Y11" s="445" t="s">
        <v>988</v>
      </c>
      <c r="Z11" s="445"/>
      <c r="AA11" s="448">
        <v>859.38</v>
      </c>
      <c r="AB11" s="445"/>
      <c r="AC11" s="448"/>
      <c r="AD11" s="445"/>
      <c r="AE11" s="448">
        <v>-5525.04</v>
      </c>
    </row>
    <row r="12" spans="1:31">
      <c r="A12" s="445"/>
      <c r="B12" s="445"/>
      <c r="C12" s="445"/>
      <c r="D12" s="445"/>
      <c r="E12" s="445"/>
      <c r="F12" s="445"/>
      <c r="G12" s="445"/>
      <c r="H12" s="445"/>
      <c r="I12" s="445" t="s">
        <v>981</v>
      </c>
      <c r="J12" s="445"/>
      <c r="K12" s="446">
        <v>41873</v>
      </c>
      <c r="L12" s="445"/>
      <c r="M12" s="445" t="s">
        <v>1015</v>
      </c>
      <c r="N12" s="445"/>
      <c r="O12" s="445" t="s">
        <v>982</v>
      </c>
      <c r="P12" s="445"/>
      <c r="Q12" s="445" t="s">
        <v>983</v>
      </c>
      <c r="R12" s="445"/>
      <c r="S12" s="445" t="s">
        <v>962</v>
      </c>
      <c r="T12" s="445"/>
      <c r="U12" s="445" t="s">
        <v>987</v>
      </c>
      <c r="V12" s="445"/>
      <c r="W12" s="447"/>
      <c r="X12" s="445"/>
      <c r="Y12" s="445" t="s">
        <v>988</v>
      </c>
      <c r="Z12" s="445"/>
      <c r="AA12" s="448">
        <v>890.23</v>
      </c>
      <c r="AB12" s="445"/>
      <c r="AC12" s="448"/>
      <c r="AD12" s="445"/>
      <c r="AE12" s="448">
        <v>-6415.27</v>
      </c>
    </row>
    <row r="13" spans="1:31">
      <c r="A13" s="445"/>
      <c r="B13" s="445"/>
      <c r="C13" s="445"/>
      <c r="D13" s="445"/>
      <c r="E13" s="445"/>
      <c r="F13" s="445"/>
      <c r="G13" s="445"/>
      <c r="H13" s="445"/>
      <c r="I13" s="445" t="s">
        <v>981</v>
      </c>
      <c r="J13" s="445"/>
      <c r="K13" s="446">
        <v>41907</v>
      </c>
      <c r="L13" s="445"/>
      <c r="M13" s="445" t="s">
        <v>1016</v>
      </c>
      <c r="N13" s="445"/>
      <c r="O13" s="445" t="s">
        <v>982</v>
      </c>
      <c r="P13" s="445"/>
      <c r="Q13" s="445" t="s">
        <v>983</v>
      </c>
      <c r="R13" s="445"/>
      <c r="S13" s="445" t="s">
        <v>962</v>
      </c>
      <c r="T13" s="445"/>
      <c r="U13" s="445" t="s">
        <v>987</v>
      </c>
      <c r="V13" s="445"/>
      <c r="W13" s="447"/>
      <c r="X13" s="445"/>
      <c r="Y13" s="445" t="s">
        <v>988</v>
      </c>
      <c r="Z13" s="445"/>
      <c r="AA13" s="448">
        <v>908.08</v>
      </c>
      <c r="AB13" s="445"/>
      <c r="AC13" s="448"/>
      <c r="AD13" s="445"/>
      <c r="AE13" s="448">
        <v>-7323.35</v>
      </c>
    </row>
    <row r="14" spans="1:31">
      <c r="A14" s="445"/>
      <c r="B14" s="445"/>
      <c r="C14" s="445"/>
      <c r="D14" s="445"/>
      <c r="E14" s="445"/>
      <c r="F14" s="445"/>
      <c r="G14" s="445"/>
      <c r="H14" s="445"/>
      <c r="I14" s="445" t="s">
        <v>981</v>
      </c>
      <c r="J14" s="445"/>
      <c r="K14" s="446">
        <v>41939</v>
      </c>
      <c r="L14" s="445"/>
      <c r="M14" s="445" t="s">
        <v>1017</v>
      </c>
      <c r="N14" s="445"/>
      <c r="O14" s="445" t="s">
        <v>982</v>
      </c>
      <c r="P14" s="445"/>
      <c r="Q14" s="445" t="s">
        <v>983</v>
      </c>
      <c r="R14" s="445"/>
      <c r="S14" s="445" t="s">
        <v>962</v>
      </c>
      <c r="T14" s="445"/>
      <c r="U14" s="445" t="s">
        <v>987</v>
      </c>
      <c r="V14" s="445"/>
      <c r="W14" s="447"/>
      <c r="X14" s="445"/>
      <c r="Y14" s="445" t="s">
        <v>988</v>
      </c>
      <c r="Z14" s="445"/>
      <c r="AA14" s="448">
        <v>854.57</v>
      </c>
      <c r="AB14" s="445"/>
      <c r="AC14" s="448"/>
      <c r="AD14" s="445"/>
      <c r="AE14" s="448">
        <v>-8177.92</v>
      </c>
    </row>
    <row r="15" spans="1:31">
      <c r="A15" s="445"/>
      <c r="B15" s="445"/>
      <c r="C15" s="445"/>
      <c r="D15" s="445"/>
      <c r="E15" s="445"/>
      <c r="F15" s="445"/>
      <c r="G15" s="445"/>
      <c r="H15" s="445"/>
      <c r="I15" s="445" t="s">
        <v>981</v>
      </c>
      <c r="J15" s="445"/>
      <c r="K15" s="446">
        <v>41967</v>
      </c>
      <c r="L15" s="445"/>
      <c r="M15" s="445" t="s">
        <v>1018</v>
      </c>
      <c r="N15" s="445"/>
      <c r="O15" s="445" t="s">
        <v>982</v>
      </c>
      <c r="P15" s="445"/>
      <c r="Q15" s="445" t="s">
        <v>983</v>
      </c>
      <c r="R15" s="445"/>
      <c r="S15" s="445" t="s">
        <v>962</v>
      </c>
      <c r="T15" s="445"/>
      <c r="U15" s="445" t="s">
        <v>987</v>
      </c>
      <c r="V15" s="445"/>
      <c r="W15" s="447"/>
      <c r="X15" s="445"/>
      <c r="Y15" s="445" t="s">
        <v>988</v>
      </c>
      <c r="Z15" s="445"/>
      <c r="AA15" s="448">
        <v>870.14</v>
      </c>
      <c r="AB15" s="445"/>
      <c r="AC15" s="448"/>
      <c r="AD15" s="445"/>
      <c r="AE15" s="448">
        <v>-9048.06</v>
      </c>
    </row>
    <row r="16" spans="1:31" ht="13.5" thickBot="1">
      <c r="A16" s="445"/>
      <c r="B16" s="445"/>
      <c r="C16" s="445"/>
      <c r="D16" s="445"/>
      <c r="E16" s="445"/>
      <c r="F16" s="445"/>
      <c r="G16" s="445"/>
      <c r="H16" s="445"/>
      <c r="I16" s="445" t="s">
        <v>981</v>
      </c>
      <c r="J16" s="445"/>
      <c r="K16" s="446">
        <v>42004</v>
      </c>
      <c r="L16" s="445"/>
      <c r="M16" s="445" t="s">
        <v>1019</v>
      </c>
      <c r="N16" s="445"/>
      <c r="O16" s="445" t="s">
        <v>982</v>
      </c>
      <c r="P16" s="445"/>
      <c r="Q16" s="445" t="s">
        <v>983</v>
      </c>
      <c r="R16" s="445"/>
      <c r="S16" s="445" t="s">
        <v>962</v>
      </c>
      <c r="T16" s="445"/>
      <c r="U16" s="445" t="s">
        <v>987</v>
      </c>
      <c r="V16" s="445"/>
      <c r="W16" s="447"/>
      <c r="X16" s="445"/>
      <c r="Y16" s="445" t="s">
        <v>988</v>
      </c>
      <c r="Z16" s="445"/>
      <c r="AA16" s="449">
        <v>686.73</v>
      </c>
      <c r="AB16" s="445"/>
      <c r="AC16" s="449"/>
      <c r="AD16" s="445"/>
      <c r="AE16" s="449">
        <v>-9734.7900000000009</v>
      </c>
    </row>
    <row r="17" spans="1:31">
      <c r="A17" s="445"/>
      <c r="B17" s="445"/>
      <c r="C17" s="445"/>
      <c r="D17" s="445" t="s">
        <v>963</v>
      </c>
      <c r="E17" s="445"/>
      <c r="F17" s="445"/>
      <c r="G17" s="445"/>
      <c r="H17" s="445"/>
      <c r="I17" s="445"/>
      <c r="J17" s="445"/>
      <c r="K17" s="446"/>
      <c r="L17" s="445"/>
      <c r="M17" s="445"/>
      <c r="N17" s="445"/>
      <c r="O17" s="445"/>
      <c r="P17" s="445"/>
      <c r="Q17" s="445"/>
      <c r="R17" s="445"/>
      <c r="S17" s="445"/>
      <c r="T17" s="445"/>
      <c r="U17" s="445"/>
      <c r="V17" s="445"/>
      <c r="W17" s="445"/>
      <c r="X17" s="445"/>
      <c r="Y17" s="445"/>
      <c r="Z17" s="445"/>
      <c r="AA17" s="448">
        <f>ROUND(SUM(AA4:AA16),5)</f>
        <v>9734.7900000000009</v>
      </c>
      <c r="AB17" s="445"/>
      <c r="AC17" s="448">
        <f>ROUND(SUM(AC4:AC16),5)</f>
        <v>0</v>
      </c>
      <c r="AD17" s="445"/>
      <c r="AE17" s="448">
        <f>AE16</f>
        <v>-9734.7900000000009</v>
      </c>
    </row>
    <row r="18" spans="1:31">
      <c r="A18" s="442"/>
      <c r="B18" s="442"/>
      <c r="C18" s="442"/>
      <c r="D18" s="442" t="s">
        <v>964</v>
      </c>
      <c r="E18" s="442"/>
      <c r="F18" s="442"/>
      <c r="G18" s="442"/>
      <c r="H18" s="442"/>
      <c r="I18" s="442"/>
      <c r="J18" s="442"/>
      <c r="K18" s="443"/>
      <c r="L18" s="442"/>
      <c r="M18" s="442"/>
      <c r="N18" s="442"/>
      <c r="O18" s="442"/>
      <c r="P18" s="442"/>
      <c r="Q18" s="442"/>
      <c r="R18" s="442"/>
      <c r="S18" s="442"/>
      <c r="T18" s="442"/>
      <c r="U18" s="442"/>
      <c r="V18" s="442"/>
      <c r="W18" s="442"/>
      <c r="X18" s="442"/>
      <c r="Y18" s="442"/>
      <c r="Z18" s="442"/>
      <c r="AA18" s="444"/>
      <c r="AB18" s="442"/>
      <c r="AC18" s="444"/>
      <c r="AD18" s="442"/>
      <c r="AE18" s="444"/>
    </row>
    <row r="19" spans="1:31">
      <c r="A19" s="445"/>
      <c r="B19" s="445"/>
      <c r="C19" s="445"/>
      <c r="D19" s="445"/>
      <c r="E19" s="445"/>
      <c r="F19" s="445"/>
      <c r="G19" s="445"/>
      <c r="H19" s="445"/>
      <c r="I19" s="445" t="s">
        <v>981</v>
      </c>
      <c r="J19" s="445"/>
      <c r="K19" s="446">
        <v>41666</v>
      </c>
      <c r="L19" s="445"/>
      <c r="M19" s="445" t="s">
        <v>1008</v>
      </c>
      <c r="N19" s="445"/>
      <c r="O19" s="445" t="s">
        <v>982</v>
      </c>
      <c r="P19" s="445"/>
      <c r="Q19" s="445" t="s">
        <v>984</v>
      </c>
      <c r="R19" s="445"/>
      <c r="S19" s="445" t="s">
        <v>964</v>
      </c>
      <c r="T19" s="445"/>
      <c r="U19" s="445" t="s">
        <v>987</v>
      </c>
      <c r="V19" s="445"/>
      <c r="W19" s="447"/>
      <c r="X19" s="445"/>
      <c r="Y19" s="445" t="s">
        <v>988</v>
      </c>
      <c r="Z19" s="445"/>
      <c r="AA19" s="448">
        <v>1849.25</v>
      </c>
      <c r="AB19" s="445"/>
      <c r="AC19" s="448"/>
      <c r="AD19" s="445"/>
      <c r="AE19" s="448">
        <v>-1849.25</v>
      </c>
    </row>
    <row r="20" spans="1:31">
      <c r="A20" s="445"/>
      <c r="B20" s="445"/>
      <c r="C20" s="445"/>
      <c r="D20" s="445"/>
      <c r="E20" s="445"/>
      <c r="F20" s="445"/>
      <c r="G20" s="445"/>
      <c r="H20" s="445"/>
      <c r="I20" s="445" t="s">
        <v>981</v>
      </c>
      <c r="J20" s="445"/>
      <c r="K20" s="446">
        <v>41697</v>
      </c>
      <c r="L20" s="445"/>
      <c r="M20" s="445" t="s">
        <v>1009</v>
      </c>
      <c r="N20" s="445"/>
      <c r="O20" s="445" t="s">
        <v>982</v>
      </c>
      <c r="P20" s="445"/>
      <c r="Q20" s="445" t="s">
        <v>984</v>
      </c>
      <c r="R20" s="445"/>
      <c r="S20" s="445" t="s">
        <v>964</v>
      </c>
      <c r="T20" s="445"/>
      <c r="U20" s="445" t="s">
        <v>987</v>
      </c>
      <c r="V20" s="445"/>
      <c r="W20" s="447"/>
      <c r="X20" s="445"/>
      <c r="Y20" s="445" t="s">
        <v>988</v>
      </c>
      <c r="Z20" s="445"/>
      <c r="AA20" s="448">
        <v>1606.44</v>
      </c>
      <c r="AB20" s="445"/>
      <c r="AC20" s="448"/>
      <c r="AD20" s="445"/>
      <c r="AE20" s="448">
        <v>-3455.69</v>
      </c>
    </row>
    <row r="21" spans="1:31">
      <c r="A21" s="445"/>
      <c r="B21" s="445"/>
      <c r="C21" s="445"/>
      <c r="D21" s="445"/>
      <c r="E21" s="445"/>
      <c r="F21" s="445"/>
      <c r="G21" s="445"/>
      <c r="H21" s="445"/>
      <c r="I21" s="445" t="s">
        <v>981</v>
      </c>
      <c r="J21" s="445"/>
      <c r="K21" s="446">
        <v>41723</v>
      </c>
      <c r="L21" s="445"/>
      <c r="M21" s="445" t="s">
        <v>1010</v>
      </c>
      <c r="N21" s="445"/>
      <c r="O21" s="445" t="s">
        <v>982</v>
      </c>
      <c r="P21" s="445"/>
      <c r="Q21" s="445" t="s">
        <v>984</v>
      </c>
      <c r="R21" s="445"/>
      <c r="S21" s="445" t="s">
        <v>964</v>
      </c>
      <c r="T21" s="445"/>
      <c r="U21" s="445" t="s">
        <v>987</v>
      </c>
      <c r="V21" s="445"/>
      <c r="W21" s="447"/>
      <c r="X21" s="445"/>
      <c r="Y21" s="445" t="s">
        <v>988</v>
      </c>
      <c r="Z21" s="445"/>
      <c r="AA21" s="448">
        <v>1575.72</v>
      </c>
      <c r="AB21" s="445"/>
      <c r="AC21" s="448"/>
      <c r="AD21" s="445"/>
      <c r="AE21" s="448">
        <v>-5031.41</v>
      </c>
    </row>
    <row r="22" spans="1:31">
      <c r="A22" s="445"/>
      <c r="B22" s="445"/>
      <c r="C22" s="445"/>
      <c r="D22" s="445"/>
      <c r="E22" s="445"/>
      <c r="F22" s="445"/>
      <c r="G22" s="445"/>
      <c r="H22" s="445"/>
      <c r="I22" s="445" t="s">
        <v>981</v>
      </c>
      <c r="J22" s="445"/>
      <c r="K22" s="446">
        <v>41757</v>
      </c>
      <c r="L22" s="445"/>
      <c r="M22" s="445" t="s">
        <v>1011</v>
      </c>
      <c r="N22" s="445"/>
      <c r="O22" s="445" t="s">
        <v>982</v>
      </c>
      <c r="P22" s="445"/>
      <c r="Q22" s="445" t="s">
        <v>984</v>
      </c>
      <c r="R22" s="445"/>
      <c r="S22" s="445" t="s">
        <v>964</v>
      </c>
      <c r="T22" s="445"/>
      <c r="U22" s="445" t="s">
        <v>987</v>
      </c>
      <c r="V22" s="445"/>
      <c r="W22" s="447"/>
      <c r="X22" s="445"/>
      <c r="Y22" s="445" t="s">
        <v>988</v>
      </c>
      <c r="Z22" s="445"/>
      <c r="AA22" s="448">
        <v>1601.17</v>
      </c>
      <c r="AB22" s="445"/>
      <c r="AC22" s="448"/>
      <c r="AD22" s="445"/>
      <c r="AE22" s="448">
        <v>-6632.58</v>
      </c>
    </row>
    <row r="23" spans="1:31">
      <c r="A23" s="445"/>
      <c r="B23" s="445"/>
      <c r="C23" s="445"/>
      <c r="D23" s="445"/>
      <c r="E23" s="445"/>
      <c r="F23" s="445"/>
      <c r="G23" s="445"/>
      <c r="H23" s="445"/>
      <c r="I23" s="445" t="s">
        <v>981</v>
      </c>
      <c r="J23" s="445"/>
      <c r="K23" s="446">
        <v>41787</v>
      </c>
      <c r="L23" s="445"/>
      <c r="M23" s="445" t="s">
        <v>1012</v>
      </c>
      <c r="N23" s="445"/>
      <c r="O23" s="445" t="s">
        <v>982</v>
      </c>
      <c r="P23" s="445"/>
      <c r="Q23" s="445" t="s">
        <v>984</v>
      </c>
      <c r="R23" s="445"/>
      <c r="S23" s="445" t="s">
        <v>964</v>
      </c>
      <c r="T23" s="445"/>
      <c r="U23" s="445" t="s">
        <v>987</v>
      </c>
      <c r="V23" s="445"/>
      <c r="W23" s="447"/>
      <c r="X23" s="445"/>
      <c r="Y23" s="445" t="s">
        <v>988</v>
      </c>
      <c r="Z23" s="445"/>
      <c r="AA23" s="448">
        <v>1425.57</v>
      </c>
      <c r="AB23" s="445"/>
      <c r="AC23" s="448"/>
      <c r="AD23" s="445"/>
      <c r="AE23" s="448">
        <v>-8058.15</v>
      </c>
    </row>
    <row r="24" spans="1:31">
      <c r="A24" s="445"/>
      <c r="B24" s="445"/>
      <c r="C24" s="445"/>
      <c r="D24" s="445"/>
      <c r="E24" s="445"/>
      <c r="F24" s="445"/>
      <c r="G24" s="445"/>
      <c r="H24" s="445"/>
      <c r="I24" s="445" t="s">
        <v>981</v>
      </c>
      <c r="J24" s="445"/>
      <c r="K24" s="446">
        <v>41813</v>
      </c>
      <c r="L24" s="445"/>
      <c r="M24" s="445" t="s">
        <v>1013</v>
      </c>
      <c r="N24" s="445"/>
      <c r="O24" s="445" t="s">
        <v>982</v>
      </c>
      <c r="P24" s="445"/>
      <c r="Q24" s="445" t="s">
        <v>984</v>
      </c>
      <c r="R24" s="445"/>
      <c r="S24" s="445" t="s">
        <v>964</v>
      </c>
      <c r="T24" s="445"/>
      <c r="U24" s="445" t="s">
        <v>987</v>
      </c>
      <c r="V24" s="445"/>
      <c r="W24" s="447"/>
      <c r="X24" s="445"/>
      <c r="Y24" s="445" t="s">
        <v>988</v>
      </c>
      <c r="Z24" s="445"/>
      <c r="AA24" s="448">
        <v>1546.03</v>
      </c>
      <c r="AB24" s="445"/>
      <c r="AC24" s="448"/>
      <c r="AD24" s="445"/>
      <c r="AE24" s="448">
        <v>-9604.18</v>
      </c>
    </row>
    <row r="25" spans="1:31">
      <c r="A25" s="445"/>
      <c r="B25" s="445"/>
      <c r="C25" s="445"/>
      <c r="D25" s="445"/>
      <c r="E25" s="445"/>
      <c r="F25" s="445"/>
      <c r="G25" s="445"/>
      <c r="H25" s="445"/>
      <c r="I25" s="445" t="s">
        <v>981</v>
      </c>
      <c r="J25" s="445"/>
      <c r="K25" s="446">
        <v>41849</v>
      </c>
      <c r="L25" s="445"/>
      <c r="M25" s="445" t="s">
        <v>1014</v>
      </c>
      <c r="N25" s="445"/>
      <c r="O25" s="445" t="s">
        <v>982</v>
      </c>
      <c r="P25" s="445"/>
      <c r="Q25" s="445" t="s">
        <v>984</v>
      </c>
      <c r="R25" s="445"/>
      <c r="S25" s="445" t="s">
        <v>964</v>
      </c>
      <c r="T25" s="445"/>
      <c r="U25" s="445" t="s">
        <v>987</v>
      </c>
      <c r="V25" s="445"/>
      <c r="W25" s="447"/>
      <c r="X25" s="445"/>
      <c r="Y25" s="445" t="s">
        <v>988</v>
      </c>
      <c r="Z25" s="445"/>
      <c r="AA25" s="448">
        <v>1190.31</v>
      </c>
      <c r="AB25" s="445"/>
      <c r="AC25" s="448"/>
      <c r="AD25" s="445"/>
      <c r="AE25" s="448">
        <v>-10794.49</v>
      </c>
    </row>
    <row r="26" spans="1:31">
      <c r="A26" s="445"/>
      <c r="B26" s="445"/>
      <c r="C26" s="445"/>
      <c r="D26" s="445"/>
      <c r="E26" s="445"/>
      <c r="F26" s="445"/>
      <c r="G26" s="445"/>
      <c r="H26" s="445"/>
      <c r="I26" s="445" t="s">
        <v>981</v>
      </c>
      <c r="J26" s="445"/>
      <c r="K26" s="446">
        <v>41873</v>
      </c>
      <c r="L26" s="445"/>
      <c r="M26" s="445" t="s">
        <v>1015</v>
      </c>
      <c r="N26" s="445"/>
      <c r="O26" s="445" t="s">
        <v>982</v>
      </c>
      <c r="P26" s="445"/>
      <c r="Q26" s="445" t="s">
        <v>984</v>
      </c>
      <c r="R26" s="445"/>
      <c r="S26" s="445" t="s">
        <v>964</v>
      </c>
      <c r="T26" s="445"/>
      <c r="U26" s="445" t="s">
        <v>987</v>
      </c>
      <c r="V26" s="445"/>
      <c r="W26" s="447"/>
      <c r="X26" s="445"/>
      <c r="Y26" s="445" t="s">
        <v>988</v>
      </c>
      <c r="Z26" s="445"/>
      <c r="AA26" s="448">
        <v>1433.81</v>
      </c>
      <c r="AB26" s="445"/>
      <c r="AC26" s="448"/>
      <c r="AD26" s="445"/>
      <c r="AE26" s="448">
        <v>-12228.3</v>
      </c>
    </row>
    <row r="27" spans="1:31">
      <c r="A27" s="445"/>
      <c r="B27" s="445"/>
      <c r="C27" s="445"/>
      <c r="D27" s="445"/>
      <c r="E27" s="445"/>
      <c r="F27" s="445"/>
      <c r="G27" s="445"/>
      <c r="H27" s="445"/>
      <c r="I27" s="445" t="s">
        <v>981</v>
      </c>
      <c r="J27" s="445"/>
      <c r="K27" s="446">
        <v>41907</v>
      </c>
      <c r="L27" s="445"/>
      <c r="M27" s="445" t="s">
        <v>1016</v>
      </c>
      <c r="N27" s="445"/>
      <c r="O27" s="445" t="s">
        <v>982</v>
      </c>
      <c r="P27" s="445"/>
      <c r="Q27" s="445" t="s">
        <v>984</v>
      </c>
      <c r="R27" s="445"/>
      <c r="S27" s="445" t="s">
        <v>964</v>
      </c>
      <c r="T27" s="445"/>
      <c r="U27" s="445" t="s">
        <v>987</v>
      </c>
      <c r="V27" s="445"/>
      <c r="W27" s="447"/>
      <c r="X27" s="445"/>
      <c r="Y27" s="445" t="s">
        <v>988</v>
      </c>
      <c r="Z27" s="445"/>
      <c r="AA27" s="448">
        <v>1248.82</v>
      </c>
      <c r="AB27" s="445"/>
      <c r="AC27" s="448"/>
      <c r="AD27" s="445"/>
      <c r="AE27" s="448">
        <v>-13477.12</v>
      </c>
    </row>
    <row r="28" spans="1:31">
      <c r="A28" s="445"/>
      <c r="B28" s="445"/>
      <c r="C28" s="445"/>
      <c r="D28" s="445"/>
      <c r="E28" s="445"/>
      <c r="F28" s="445"/>
      <c r="G28" s="445"/>
      <c r="H28" s="445"/>
      <c r="I28" s="445" t="s">
        <v>981</v>
      </c>
      <c r="J28" s="445"/>
      <c r="K28" s="446">
        <v>41939</v>
      </c>
      <c r="L28" s="445"/>
      <c r="M28" s="445" t="s">
        <v>1017</v>
      </c>
      <c r="N28" s="445"/>
      <c r="O28" s="445" t="s">
        <v>982</v>
      </c>
      <c r="P28" s="445"/>
      <c r="Q28" s="445" t="s">
        <v>984</v>
      </c>
      <c r="R28" s="445"/>
      <c r="S28" s="445" t="s">
        <v>964</v>
      </c>
      <c r="T28" s="445"/>
      <c r="U28" s="445" t="s">
        <v>987</v>
      </c>
      <c r="V28" s="445"/>
      <c r="W28" s="447"/>
      <c r="X28" s="445"/>
      <c r="Y28" s="445" t="s">
        <v>988</v>
      </c>
      <c r="Z28" s="445"/>
      <c r="AA28" s="448">
        <v>1115.03</v>
      </c>
      <c r="AB28" s="445"/>
      <c r="AC28" s="448"/>
      <c r="AD28" s="445"/>
      <c r="AE28" s="448">
        <v>-14592.15</v>
      </c>
    </row>
    <row r="29" spans="1:31">
      <c r="A29" s="445"/>
      <c r="B29" s="445"/>
      <c r="C29" s="445"/>
      <c r="D29" s="445"/>
      <c r="E29" s="445"/>
      <c r="F29" s="445"/>
      <c r="G29" s="445"/>
      <c r="H29" s="445"/>
      <c r="I29" s="445" t="s">
        <v>981</v>
      </c>
      <c r="J29" s="445"/>
      <c r="K29" s="446">
        <v>41967</v>
      </c>
      <c r="L29" s="445"/>
      <c r="M29" s="445" t="s">
        <v>1018</v>
      </c>
      <c r="N29" s="445"/>
      <c r="O29" s="445" t="s">
        <v>982</v>
      </c>
      <c r="P29" s="445"/>
      <c r="Q29" s="445" t="s">
        <v>984</v>
      </c>
      <c r="R29" s="445"/>
      <c r="S29" s="445" t="s">
        <v>964</v>
      </c>
      <c r="T29" s="445"/>
      <c r="U29" s="445" t="s">
        <v>987</v>
      </c>
      <c r="V29" s="445"/>
      <c r="W29" s="447"/>
      <c r="X29" s="445"/>
      <c r="Y29" s="445" t="s">
        <v>988</v>
      </c>
      <c r="Z29" s="445"/>
      <c r="AA29" s="448">
        <v>953.27</v>
      </c>
      <c r="AB29" s="445"/>
      <c r="AC29" s="448"/>
      <c r="AD29" s="445"/>
      <c r="AE29" s="448">
        <v>-15545.42</v>
      </c>
    </row>
    <row r="30" spans="1:31" ht="13.5" thickBot="1">
      <c r="A30" s="445"/>
      <c r="B30" s="445"/>
      <c r="C30" s="445"/>
      <c r="D30" s="445"/>
      <c r="E30" s="445"/>
      <c r="F30" s="445"/>
      <c r="G30" s="445"/>
      <c r="H30" s="445"/>
      <c r="I30" s="445" t="s">
        <v>981</v>
      </c>
      <c r="J30" s="445"/>
      <c r="K30" s="446">
        <v>42004</v>
      </c>
      <c r="L30" s="445"/>
      <c r="M30" s="445" t="s">
        <v>1019</v>
      </c>
      <c r="N30" s="445"/>
      <c r="O30" s="445" t="s">
        <v>982</v>
      </c>
      <c r="P30" s="445"/>
      <c r="Q30" s="445" t="s">
        <v>984</v>
      </c>
      <c r="R30" s="445"/>
      <c r="S30" s="445" t="s">
        <v>964</v>
      </c>
      <c r="T30" s="445"/>
      <c r="U30" s="445" t="s">
        <v>987</v>
      </c>
      <c r="V30" s="445"/>
      <c r="W30" s="447"/>
      <c r="X30" s="445"/>
      <c r="Y30" s="445" t="s">
        <v>988</v>
      </c>
      <c r="Z30" s="445"/>
      <c r="AA30" s="449">
        <v>1132.0999999999999</v>
      </c>
      <c r="AB30" s="445"/>
      <c r="AC30" s="449"/>
      <c r="AD30" s="445"/>
      <c r="AE30" s="449">
        <v>-16677.52</v>
      </c>
    </row>
    <row r="31" spans="1:31">
      <c r="A31" s="445"/>
      <c r="B31" s="445"/>
      <c r="C31" s="445"/>
      <c r="D31" s="445" t="s">
        <v>965</v>
      </c>
      <c r="E31" s="445"/>
      <c r="F31" s="445"/>
      <c r="G31" s="445"/>
      <c r="H31" s="445"/>
      <c r="I31" s="445"/>
      <c r="J31" s="445"/>
      <c r="K31" s="446"/>
      <c r="L31" s="445"/>
      <c r="M31" s="445"/>
      <c r="N31" s="445"/>
      <c r="O31" s="445"/>
      <c r="P31" s="445"/>
      <c r="Q31" s="445"/>
      <c r="R31" s="445"/>
      <c r="S31" s="445"/>
      <c r="T31" s="445"/>
      <c r="U31" s="445"/>
      <c r="V31" s="445"/>
      <c r="W31" s="445"/>
      <c r="X31" s="445"/>
      <c r="Y31" s="445"/>
      <c r="Z31" s="445"/>
      <c r="AA31" s="448">
        <f>ROUND(SUM(AA18:AA30),5)</f>
        <v>16677.52</v>
      </c>
      <c r="AB31" s="445"/>
      <c r="AC31" s="448">
        <f>ROUND(SUM(AC18:AC30),5)</f>
        <v>0</v>
      </c>
      <c r="AD31" s="445"/>
      <c r="AE31" s="448">
        <f>AE30</f>
        <v>-16677.52</v>
      </c>
    </row>
    <row r="32" spans="1:31">
      <c r="A32" s="442"/>
      <c r="B32" s="442"/>
      <c r="C32" s="442"/>
      <c r="D32" s="442" t="s">
        <v>966</v>
      </c>
      <c r="E32" s="442"/>
      <c r="F32" s="442"/>
      <c r="G32" s="442"/>
      <c r="H32" s="442"/>
      <c r="I32" s="442"/>
      <c r="J32" s="442"/>
      <c r="K32" s="443"/>
      <c r="L32" s="442"/>
      <c r="M32" s="442"/>
      <c r="N32" s="442"/>
      <c r="O32" s="442"/>
      <c r="P32" s="442"/>
      <c r="Q32" s="442"/>
      <c r="R32" s="442"/>
      <c r="S32" s="442"/>
      <c r="T32" s="442"/>
      <c r="U32" s="442"/>
      <c r="V32" s="442"/>
      <c r="W32" s="442"/>
      <c r="X32" s="442"/>
      <c r="Y32" s="442"/>
      <c r="Z32" s="442"/>
      <c r="AA32" s="444"/>
      <c r="AB32" s="442"/>
      <c r="AC32" s="444"/>
      <c r="AD32" s="442"/>
      <c r="AE32" s="444"/>
    </row>
    <row r="33" spans="1:31">
      <c r="A33" s="445"/>
      <c r="B33" s="445"/>
      <c r="C33" s="445"/>
      <c r="D33" s="445"/>
      <c r="E33" s="445"/>
      <c r="F33" s="445"/>
      <c r="G33" s="445"/>
      <c r="H33" s="445"/>
      <c r="I33" s="445" t="s">
        <v>981</v>
      </c>
      <c r="J33" s="445"/>
      <c r="K33" s="446">
        <v>41666</v>
      </c>
      <c r="L33" s="445"/>
      <c r="M33" s="445" t="s">
        <v>1008</v>
      </c>
      <c r="N33" s="445"/>
      <c r="O33" s="445" t="s">
        <v>982</v>
      </c>
      <c r="P33" s="445"/>
      <c r="Q33" s="445" t="s">
        <v>985</v>
      </c>
      <c r="R33" s="445"/>
      <c r="S33" s="445" t="s">
        <v>966</v>
      </c>
      <c r="T33" s="445"/>
      <c r="U33" s="445" t="s">
        <v>987</v>
      </c>
      <c r="V33" s="445"/>
      <c r="W33" s="447"/>
      <c r="X33" s="445"/>
      <c r="Y33" s="445" t="s">
        <v>988</v>
      </c>
      <c r="Z33" s="445"/>
      <c r="AA33" s="448">
        <v>25342.47</v>
      </c>
      <c r="AB33" s="445"/>
      <c r="AC33" s="448"/>
      <c r="AD33" s="445"/>
      <c r="AE33" s="448">
        <v>-25342.47</v>
      </c>
    </row>
    <row r="34" spans="1:31">
      <c r="A34" s="445"/>
      <c r="B34" s="445"/>
      <c r="C34" s="445"/>
      <c r="D34" s="445"/>
      <c r="E34" s="445"/>
      <c r="F34" s="445"/>
      <c r="G34" s="445"/>
      <c r="H34" s="445"/>
      <c r="I34" s="445" t="s">
        <v>981</v>
      </c>
      <c r="J34" s="445"/>
      <c r="K34" s="446">
        <v>41697</v>
      </c>
      <c r="L34" s="445"/>
      <c r="M34" s="445" t="s">
        <v>1009</v>
      </c>
      <c r="N34" s="445"/>
      <c r="O34" s="445" t="s">
        <v>982</v>
      </c>
      <c r="P34" s="445"/>
      <c r="Q34" s="445" t="s">
        <v>985</v>
      </c>
      <c r="R34" s="445"/>
      <c r="S34" s="445" t="s">
        <v>966</v>
      </c>
      <c r="T34" s="445"/>
      <c r="U34" s="445" t="s">
        <v>987</v>
      </c>
      <c r="V34" s="445"/>
      <c r="W34" s="447"/>
      <c r="X34" s="445"/>
      <c r="Y34" s="445" t="s">
        <v>988</v>
      </c>
      <c r="Z34" s="445"/>
      <c r="AA34" s="448">
        <v>25476.23</v>
      </c>
      <c r="AB34" s="445"/>
      <c r="AC34" s="448"/>
      <c r="AD34" s="445"/>
      <c r="AE34" s="448">
        <v>-50818.7</v>
      </c>
    </row>
    <row r="35" spans="1:31">
      <c r="A35" s="445"/>
      <c r="B35" s="445"/>
      <c r="C35" s="445"/>
      <c r="D35" s="445"/>
      <c r="E35" s="445"/>
      <c r="F35" s="445"/>
      <c r="G35" s="445"/>
      <c r="H35" s="445"/>
      <c r="I35" s="445" t="s">
        <v>981</v>
      </c>
      <c r="J35" s="445"/>
      <c r="K35" s="446">
        <v>41723</v>
      </c>
      <c r="L35" s="445"/>
      <c r="M35" s="445" t="s">
        <v>1010</v>
      </c>
      <c r="N35" s="445"/>
      <c r="O35" s="445" t="s">
        <v>982</v>
      </c>
      <c r="P35" s="445"/>
      <c r="Q35" s="445" t="s">
        <v>985</v>
      </c>
      <c r="R35" s="445"/>
      <c r="S35" s="445" t="s">
        <v>966</v>
      </c>
      <c r="T35" s="445"/>
      <c r="U35" s="445" t="s">
        <v>987</v>
      </c>
      <c r="V35" s="445"/>
      <c r="W35" s="447"/>
      <c r="X35" s="445"/>
      <c r="Y35" s="445" t="s">
        <v>988</v>
      </c>
      <c r="Z35" s="445"/>
      <c r="AA35" s="448">
        <v>21611.26</v>
      </c>
      <c r="AB35" s="445"/>
      <c r="AC35" s="448"/>
      <c r="AD35" s="445"/>
      <c r="AE35" s="448">
        <v>-72429.960000000006</v>
      </c>
    </row>
    <row r="36" spans="1:31">
      <c r="A36" s="445"/>
      <c r="B36" s="445"/>
      <c r="C36" s="445"/>
      <c r="D36" s="445"/>
      <c r="E36" s="445"/>
      <c r="F36" s="445"/>
      <c r="G36" s="445"/>
      <c r="H36" s="445"/>
      <c r="I36" s="445" t="s">
        <v>981</v>
      </c>
      <c r="J36" s="445"/>
      <c r="K36" s="446">
        <v>41757</v>
      </c>
      <c r="L36" s="445"/>
      <c r="M36" s="445" t="s">
        <v>1011</v>
      </c>
      <c r="N36" s="445"/>
      <c r="O36" s="445" t="s">
        <v>982</v>
      </c>
      <c r="P36" s="445"/>
      <c r="Q36" s="445" t="s">
        <v>985</v>
      </c>
      <c r="R36" s="445"/>
      <c r="S36" s="445" t="s">
        <v>966</v>
      </c>
      <c r="T36" s="445"/>
      <c r="U36" s="445" t="s">
        <v>987</v>
      </c>
      <c r="V36" s="445"/>
      <c r="W36" s="447"/>
      <c r="X36" s="445"/>
      <c r="Y36" s="445" t="s">
        <v>988</v>
      </c>
      <c r="Z36" s="445"/>
      <c r="AA36" s="448">
        <v>23194.959999999999</v>
      </c>
      <c r="AB36" s="445"/>
      <c r="AC36" s="448"/>
      <c r="AD36" s="445"/>
      <c r="AE36" s="448">
        <v>-95624.92</v>
      </c>
    </row>
    <row r="37" spans="1:31">
      <c r="A37" s="445"/>
      <c r="B37" s="445"/>
      <c r="C37" s="445"/>
      <c r="D37" s="445"/>
      <c r="E37" s="445"/>
      <c r="F37" s="445"/>
      <c r="G37" s="445"/>
      <c r="H37" s="445"/>
      <c r="I37" s="445" t="s">
        <v>981</v>
      </c>
      <c r="J37" s="445"/>
      <c r="K37" s="446">
        <v>41787</v>
      </c>
      <c r="L37" s="445"/>
      <c r="M37" s="445" t="s">
        <v>1012</v>
      </c>
      <c r="N37" s="445"/>
      <c r="O37" s="445" t="s">
        <v>982</v>
      </c>
      <c r="P37" s="445"/>
      <c r="Q37" s="445" t="s">
        <v>985</v>
      </c>
      <c r="R37" s="445"/>
      <c r="S37" s="445" t="s">
        <v>966</v>
      </c>
      <c r="T37" s="445"/>
      <c r="U37" s="445" t="s">
        <v>987</v>
      </c>
      <c r="V37" s="445"/>
      <c r="W37" s="447"/>
      <c r="X37" s="445"/>
      <c r="Y37" s="445" t="s">
        <v>988</v>
      </c>
      <c r="Z37" s="445"/>
      <c r="AA37" s="448">
        <v>20068.96</v>
      </c>
      <c r="AB37" s="445"/>
      <c r="AC37" s="448"/>
      <c r="AD37" s="445"/>
      <c r="AE37" s="448">
        <v>-115693.88</v>
      </c>
    </row>
    <row r="38" spans="1:31">
      <c r="A38" s="445"/>
      <c r="B38" s="445"/>
      <c r="C38" s="445"/>
      <c r="D38" s="445"/>
      <c r="E38" s="445"/>
      <c r="F38" s="445"/>
      <c r="G38" s="445"/>
      <c r="H38" s="445"/>
      <c r="I38" s="445" t="s">
        <v>981</v>
      </c>
      <c r="J38" s="445"/>
      <c r="K38" s="446">
        <v>41813</v>
      </c>
      <c r="L38" s="445"/>
      <c r="M38" s="445" t="s">
        <v>1013</v>
      </c>
      <c r="N38" s="445"/>
      <c r="O38" s="445" t="s">
        <v>982</v>
      </c>
      <c r="P38" s="445"/>
      <c r="Q38" s="445" t="s">
        <v>985</v>
      </c>
      <c r="R38" s="445"/>
      <c r="S38" s="445" t="s">
        <v>966</v>
      </c>
      <c r="T38" s="445"/>
      <c r="U38" s="445" t="s">
        <v>987</v>
      </c>
      <c r="V38" s="445"/>
      <c r="W38" s="447"/>
      <c r="X38" s="445"/>
      <c r="Y38" s="445" t="s">
        <v>988</v>
      </c>
      <c r="Z38" s="445"/>
      <c r="AA38" s="448">
        <v>26580.639999999999</v>
      </c>
      <c r="AB38" s="445"/>
      <c r="AC38" s="448"/>
      <c r="AD38" s="445"/>
      <c r="AE38" s="448">
        <v>-142274.51999999999</v>
      </c>
    </row>
    <row r="39" spans="1:31">
      <c r="A39" s="445"/>
      <c r="B39" s="445"/>
      <c r="C39" s="445"/>
      <c r="D39" s="445"/>
      <c r="E39" s="445"/>
      <c r="F39" s="445"/>
      <c r="G39" s="445"/>
      <c r="H39" s="445"/>
      <c r="I39" s="445" t="s">
        <v>981</v>
      </c>
      <c r="J39" s="445"/>
      <c r="K39" s="446">
        <v>41849</v>
      </c>
      <c r="L39" s="445"/>
      <c r="M39" s="445" t="s">
        <v>1014</v>
      </c>
      <c r="N39" s="445"/>
      <c r="O39" s="445" t="s">
        <v>982</v>
      </c>
      <c r="P39" s="445"/>
      <c r="Q39" s="445" t="s">
        <v>985</v>
      </c>
      <c r="R39" s="445"/>
      <c r="S39" s="445" t="s">
        <v>966</v>
      </c>
      <c r="T39" s="445"/>
      <c r="U39" s="445" t="s">
        <v>987</v>
      </c>
      <c r="V39" s="445"/>
      <c r="W39" s="447"/>
      <c r="X39" s="445"/>
      <c r="Y39" s="445" t="s">
        <v>988</v>
      </c>
      <c r="Z39" s="445"/>
      <c r="AA39" s="448">
        <v>19054.66</v>
      </c>
      <c r="AB39" s="445"/>
      <c r="AC39" s="448"/>
      <c r="AD39" s="445"/>
      <c r="AE39" s="448">
        <v>-161329.18</v>
      </c>
    </row>
    <row r="40" spans="1:31">
      <c r="A40" s="445"/>
      <c r="B40" s="445"/>
      <c r="C40" s="445"/>
      <c r="D40" s="445"/>
      <c r="E40" s="445"/>
      <c r="F40" s="445"/>
      <c r="G40" s="445"/>
      <c r="H40" s="445"/>
      <c r="I40" s="445" t="s">
        <v>981</v>
      </c>
      <c r="J40" s="445"/>
      <c r="K40" s="446">
        <v>41873</v>
      </c>
      <c r="L40" s="445"/>
      <c r="M40" s="445" t="s">
        <v>1015</v>
      </c>
      <c r="N40" s="445"/>
      <c r="O40" s="445" t="s">
        <v>982</v>
      </c>
      <c r="P40" s="445"/>
      <c r="Q40" s="445" t="s">
        <v>985</v>
      </c>
      <c r="R40" s="445"/>
      <c r="S40" s="445" t="s">
        <v>966</v>
      </c>
      <c r="T40" s="445"/>
      <c r="U40" s="445" t="s">
        <v>987</v>
      </c>
      <c r="V40" s="445"/>
      <c r="W40" s="447"/>
      <c r="X40" s="445"/>
      <c r="Y40" s="445" t="s">
        <v>988</v>
      </c>
      <c r="Z40" s="445"/>
      <c r="AA40" s="448">
        <v>22869.18</v>
      </c>
      <c r="AB40" s="445"/>
      <c r="AC40" s="448"/>
      <c r="AD40" s="445"/>
      <c r="AE40" s="448">
        <v>-184198.36</v>
      </c>
    </row>
    <row r="41" spans="1:31">
      <c r="A41" s="445"/>
      <c r="B41" s="445"/>
      <c r="C41" s="445"/>
      <c r="D41" s="445"/>
      <c r="E41" s="445"/>
      <c r="F41" s="445"/>
      <c r="G41" s="445"/>
      <c r="H41" s="445"/>
      <c r="I41" s="445" t="s">
        <v>981</v>
      </c>
      <c r="J41" s="445"/>
      <c r="K41" s="446">
        <v>41907</v>
      </c>
      <c r="L41" s="445"/>
      <c r="M41" s="445" t="s">
        <v>1016</v>
      </c>
      <c r="N41" s="445"/>
      <c r="O41" s="445" t="s">
        <v>982</v>
      </c>
      <c r="P41" s="445"/>
      <c r="Q41" s="445" t="s">
        <v>985</v>
      </c>
      <c r="R41" s="445"/>
      <c r="S41" s="445" t="s">
        <v>966</v>
      </c>
      <c r="T41" s="445"/>
      <c r="U41" s="445" t="s">
        <v>987</v>
      </c>
      <c r="V41" s="445"/>
      <c r="W41" s="447"/>
      <c r="X41" s="445"/>
      <c r="Y41" s="445" t="s">
        <v>988</v>
      </c>
      <c r="Z41" s="445"/>
      <c r="AA41" s="448">
        <v>20681.48</v>
      </c>
      <c r="AB41" s="445"/>
      <c r="AC41" s="448"/>
      <c r="AD41" s="445"/>
      <c r="AE41" s="448">
        <v>-204879.84</v>
      </c>
    </row>
    <row r="42" spans="1:31">
      <c r="A42" s="445"/>
      <c r="B42" s="445"/>
      <c r="C42" s="445"/>
      <c r="D42" s="445"/>
      <c r="E42" s="445"/>
      <c r="F42" s="445"/>
      <c r="G42" s="445"/>
      <c r="H42" s="445"/>
      <c r="I42" s="445" t="s">
        <v>981</v>
      </c>
      <c r="J42" s="445"/>
      <c r="K42" s="446">
        <v>41939</v>
      </c>
      <c r="L42" s="445"/>
      <c r="M42" s="445" t="s">
        <v>1017</v>
      </c>
      <c r="N42" s="445"/>
      <c r="O42" s="445" t="s">
        <v>982</v>
      </c>
      <c r="P42" s="445"/>
      <c r="Q42" s="445" t="s">
        <v>985</v>
      </c>
      <c r="R42" s="445"/>
      <c r="S42" s="445" t="s">
        <v>966</v>
      </c>
      <c r="T42" s="445"/>
      <c r="U42" s="445" t="s">
        <v>987</v>
      </c>
      <c r="V42" s="445"/>
      <c r="W42" s="447"/>
      <c r="X42" s="445"/>
      <c r="Y42" s="445" t="s">
        <v>988</v>
      </c>
      <c r="Z42" s="445"/>
      <c r="AA42" s="448">
        <v>19153.939999999999</v>
      </c>
      <c r="AB42" s="445"/>
      <c r="AC42" s="448"/>
      <c r="AD42" s="445"/>
      <c r="AE42" s="448">
        <v>-224033.78</v>
      </c>
    </row>
    <row r="43" spans="1:31">
      <c r="A43" s="445"/>
      <c r="B43" s="445"/>
      <c r="C43" s="445"/>
      <c r="D43" s="445"/>
      <c r="E43" s="445"/>
      <c r="F43" s="445"/>
      <c r="G43" s="445"/>
      <c r="H43" s="445"/>
      <c r="I43" s="445" t="s">
        <v>981</v>
      </c>
      <c r="J43" s="445"/>
      <c r="K43" s="446">
        <v>41967</v>
      </c>
      <c r="L43" s="445"/>
      <c r="M43" s="445" t="s">
        <v>1018</v>
      </c>
      <c r="N43" s="445"/>
      <c r="O43" s="445" t="s">
        <v>982</v>
      </c>
      <c r="P43" s="445"/>
      <c r="Q43" s="445" t="s">
        <v>985</v>
      </c>
      <c r="R43" s="445"/>
      <c r="S43" s="445" t="s">
        <v>966</v>
      </c>
      <c r="T43" s="445"/>
      <c r="U43" s="445" t="s">
        <v>987</v>
      </c>
      <c r="V43" s="445"/>
      <c r="W43" s="447"/>
      <c r="X43" s="445"/>
      <c r="Y43" s="445" t="s">
        <v>988</v>
      </c>
      <c r="Z43" s="445"/>
      <c r="AA43" s="448">
        <v>15325.34</v>
      </c>
      <c r="AB43" s="445"/>
      <c r="AC43" s="448"/>
      <c r="AD43" s="445"/>
      <c r="AE43" s="448">
        <v>-239359.12</v>
      </c>
    </row>
    <row r="44" spans="1:31" ht="13.5" thickBot="1">
      <c r="A44" s="445"/>
      <c r="B44" s="445"/>
      <c r="C44" s="445"/>
      <c r="D44" s="445"/>
      <c r="E44" s="445"/>
      <c r="F44" s="445"/>
      <c r="G44" s="445"/>
      <c r="H44" s="445"/>
      <c r="I44" s="445" t="s">
        <v>981</v>
      </c>
      <c r="J44" s="445"/>
      <c r="K44" s="446">
        <v>42004</v>
      </c>
      <c r="L44" s="445"/>
      <c r="M44" s="445" t="s">
        <v>1019</v>
      </c>
      <c r="N44" s="445"/>
      <c r="O44" s="445" t="s">
        <v>982</v>
      </c>
      <c r="P44" s="445"/>
      <c r="Q44" s="445" t="s">
        <v>985</v>
      </c>
      <c r="R44" s="445"/>
      <c r="S44" s="445" t="s">
        <v>966</v>
      </c>
      <c r="T44" s="445"/>
      <c r="U44" s="445" t="s">
        <v>987</v>
      </c>
      <c r="V44" s="445"/>
      <c r="W44" s="447"/>
      <c r="X44" s="445"/>
      <c r="Y44" s="445" t="s">
        <v>988</v>
      </c>
      <c r="Z44" s="445"/>
      <c r="AA44" s="450">
        <v>16553.04</v>
      </c>
      <c r="AB44" s="445"/>
      <c r="AC44" s="450"/>
      <c r="AD44" s="445"/>
      <c r="AE44" s="450">
        <v>-255912.16</v>
      </c>
    </row>
    <row r="45" spans="1:31" ht="13.5" thickBot="1">
      <c r="A45" s="445"/>
      <c r="B45" s="445"/>
      <c r="C45" s="445"/>
      <c r="D45" s="445" t="s">
        <v>967</v>
      </c>
      <c r="E45" s="445"/>
      <c r="F45" s="445"/>
      <c r="G45" s="445"/>
      <c r="H45" s="445"/>
      <c r="I45" s="445"/>
      <c r="J45" s="445"/>
      <c r="K45" s="446"/>
      <c r="L45" s="445"/>
      <c r="M45" s="445"/>
      <c r="N45" s="445"/>
      <c r="O45" s="445"/>
      <c r="P45" s="445"/>
      <c r="Q45" s="445"/>
      <c r="R45" s="445"/>
      <c r="S45" s="445"/>
      <c r="T45" s="445"/>
      <c r="U45" s="445"/>
      <c r="V45" s="445"/>
      <c r="W45" s="445"/>
      <c r="X45" s="445"/>
      <c r="Y45" s="445"/>
      <c r="Z45" s="445"/>
      <c r="AA45" s="451">
        <f>ROUND(SUM(AA32:AA44),5)</f>
        <v>255912.16</v>
      </c>
      <c r="AB45" s="445"/>
      <c r="AC45" s="451">
        <f>ROUND(SUM(AC32:AC44),5)</f>
        <v>0</v>
      </c>
      <c r="AD45" s="445"/>
      <c r="AE45" s="451">
        <f>AE44</f>
        <v>-255912.16</v>
      </c>
    </row>
    <row r="46" spans="1:31" ht="13.5" thickBot="1">
      <c r="A46" s="445"/>
      <c r="B46" s="445"/>
      <c r="C46" s="445" t="s">
        <v>968</v>
      </c>
      <c r="D46" s="445"/>
      <c r="E46" s="445"/>
      <c r="F46" s="445"/>
      <c r="G46" s="445"/>
      <c r="H46" s="445"/>
      <c r="I46" s="445"/>
      <c r="J46" s="445"/>
      <c r="K46" s="446"/>
      <c r="L46" s="445"/>
      <c r="M46" s="445"/>
      <c r="N46" s="445"/>
      <c r="O46" s="445"/>
      <c r="P46" s="445"/>
      <c r="Q46" s="445"/>
      <c r="R46" s="445"/>
      <c r="S46" s="445"/>
      <c r="T46" s="445"/>
      <c r="U46" s="445"/>
      <c r="V46" s="445"/>
      <c r="W46" s="445"/>
      <c r="X46" s="445"/>
      <c r="Y46" s="445"/>
      <c r="Z46" s="445"/>
      <c r="AA46" s="452">
        <f>ROUND(AA17+AA31+AA45,5)</f>
        <v>282324.46999999997</v>
      </c>
      <c r="AB46" s="445"/>
      <c r="AC46" s="452">
        <f>ROUND(AC17+AC31+AC45,5)</f>
        <v>0</v>
      </c>
      <c r="AD46" s="445"/>
      <c r="AE46" s="452">
        <f>ROUND(AE17+AE31+AE45,5)</f>
        <v>-282324.46999999997</v>
      </c>
    </row>
    <row r="47" spans="1:31">
      <c r="A47" s="445"/>
      <c r="B47" s="445" t="s">
        <v>969</v>
      </c>
      <c r="C47" s="445"/>
      <c r="D47" s="445"/>
      <c r="E47" s="445"/>
      <c r="F47" s="445"/>
      <c r="G47" s="445"/>
      <c r="H47" s="445"/>
      <c r="I47" s="445"/>
      <c r="J47" s="445"/>
      <c r="K47" s="446"/>
      <c r="L47" s="445"/>
      <c r="M47" s="445"/>
      <c r="N47" s="445"/>
      <c r="O47" s="445"/>
      <c r="P47" s="445"/>
      <c r="Q47" s="445"/>
      <c r="R47" s="445"/>
      <c r="S47" s="445"/>
      <c r="T47" s="445"/>
      <c r="U47" s="445"/>
      <c r="V47" s="445"/>
      <c r="W47" s="445"/>
      <c r="X47" s="445"/>
      <c r="Y47" s="445"/>
      <c r="Z47" s="445"/>
      <c r="AA47" s="448">
        <f>AA46</f>
        <v>282324.46999999997</v>
      </c>
      <c r="AB47" s="445"/>
      <c r="AC47" s="448">
        <f>AC46</f>
        <v>0</v>
      </c>
      <c r="AD47" s="445"/>
      <c r="AE47" s="448">
        <f>AE46</f>
        <v>-282324.46999999997</v>
      </c>
    </row>
    <row r="48" spans="1:31">
      <c r="A48" s="442"/>
      <c r="B48" s="442" t="s">
        <v>970</v>
      </c>
      <c r="C48" s="442"/>
      <c r="D48" s="442"/>
      <c r="E48" s="442"/>
      <c r="F48" s="442"/>
      <c r="G48" s="442"/>
      <c r="H48" s="442"/>
      <c r="I48" s="442"/>
      <c r="J48" s="442"/>
      <c r="K48" s="443"/>
      <c r="L48" s="442"/>
      <c r="M48" s="442"/>
      <c r="N48" s="442"/>
      <c r="O48" s="442"/>
      <c r="P48" s="442"/>
      <c r="Q48" s="442"/>
      <c r="R48" s="442"/>
      <c r="S48" s="442"/>
      <c r="T48" s="442"/>
      <c r="U48" s="442"/>
      <c r="V48" s="442"/>
      <c r="W48" s="442"/>
      <c r="X48" s="442"/>
      <c r="Y48" s="442"/>
      <c r="Z48" s="442"/>
      <c r="AA48" s="444"/>
      <c r="AB48" s="442"/>
      <c r="AC48" s="444"/>
      <c r="AD48" s="442"/>
      <c r="AE48" s="444"/>
    </row>
    <row r="49" spans="1:31">
      <c r="A49" s="442"/>
      <c r="B49" s="442"/>
      <c r="C49" s="442" t="s">
        <v>971</v>
      </c>
      <c r="D49" s="442"/>
      <c r="E49" s="442"/>
      <c r="F49" s="442"/>
      <c r="G49" s="442"/>
      <c r="H49" s="442"/>
      <c r="I49" s="442"/>
      <c r="J49" s="442"/>
      <c r="K49" s="443"/>
      <c r="L49" s="442"/>
      <c r="M49" s="442"/>
      <c r="N49" s="442"/>
      <c r="O49" s="442"/>
      <c r="P49" s="442"/>
      <c r="Q49" s="442"/>
      <c r="R49" s="442"/>
      <c r="S49" s="442"/>
      <c r="T49" s="442"/>
      <c r="U49" s="442"/>
      <c r="V49" s="442"/>
      <c r="W49" s="442"/>
      <c r="X49" s="442"/>
      <c r="Y49" s="442"/>
      <c r="Z49" s="442"/>
      <c r="AA49" s="444"/>
      <c r="AB49" s="442"/>
      <c r="AC49" s="444"/>
      <c r="AD49" s="442"/>
      <c r="AE49" s="444"/>
    </row>
    <row r="50" spans="1:31">
      <c r="A50" s="442"/>
      <c r="B50" s="442"/>
      <c r="C50" s="442"/>
      <c r="D50" s="442" t="s">
        <v>972</v>
      </c>
      <c r="E50" s="442"/>
      <c r="F50" s="442"/>
      <c r="G50" s="442"/>
      <c r="H50" s="442"/>
      <c r="I50" s="442"/>
      <c r="J50" s="442"/>
      <c r="K50" s="443"/>
      <c r="L50" s="442"/>
      <c r="M50" s="442"/>
      <c r="N50" s="442"/>
      <c r="O50" s="442"/>
      <c r="P50" s="442"/>
      <c r="Q50" s="442"/>
      <c r="R50" s="442"/>
      <c r="S50" s="442"/>
      <c r="T50" s="442"/>
      <c r="U50" s="442"/>
      <c r="V50" s="442"/>
      <c r="W50" s="442"/>
      <c r="X50" s="442"/>
      <c r="Y50" s="442"/>
      <c r="Z50" s="442"/>
      <c r="AA50" s="444"/>
      <c r="AB50" s="442"/>
      <c r="AC50" s="444"/>
      <c r="AD50" s="442"/>
      <c r="AE50" s="444"/>
    </row>
    <row r="51" spans="1:31">
      <c r="A51" s="442"/>
      <c r="B51" s="442"/>
      <c r="C51" s="442"/>
      <c r="D51" s="442"/>
      <c r="E51" s="442" t="s">
        <v>973</v>
      </c>
      <c r="F51" s="442"/>
      <c r="G51" s="442"/>
      <c r="H51" s="442"/>
      <c r="I51" s="442"/>
      <c r="J51" s="442"/>
      <c r="K51" s="443"/>
      <c r="L51" s="442"/>
      <c r="M51" s="442"/>
      <c r="N51" s="442"/>
      <c r="O51" s="442"/>
      <c r="P51" s="442"/>
      <c r="Q51" s="442"/>
      <c r="R51" s="442"/>
      <c r="S51" s="442"/>
      <c r="T51" s="442"/>
      <c r="U51" s="442"/>
      <c r="V51" s="442"/>
      <c r="W51" s="442"/>
      <c r="X51" s="442"/>
      <c r="Y51" s="442"/>
      <c r="Z51" s="442"/>
      <c r="AA51" s="444"/>
      <c r="AB51" s="442"/>
      <c r="AC51" s="444"/>
      <c r="AD51" s="442"/>
      <c r="AE51" s="444"/>
    </row>
    <row r="52" spans="1:31">
      <c r="A52" s="442"/>
      <c r="B52" s="442"/>
      <c r="C52" s="442"/>
      <c r="D52" s="442"/>
      <c r="E52" s="442"/>
      <c r="F52" s="442" t="s">
        <v>974</v>
      </c>
      <c r="G52" s="442"/>
      <c r="H52" s="442"/>
      <c r="I52" s="442"/>
      <c r="J52" s="442"/>
      <c r="K52" s="443"/>
      <c r="L52" s="442"/>
      <c r="M52" s="442"/>
      <c r="N52" s="442"/>
      <c r="O52" s="442"/>
      <c r="P52" s="442"/>
      <c r="Q52" s="442"/>
      <c r="R52" s="442"/>
      <c r="S52" s="442"/>
      <c r="T52" s="442"/>
      <c r="U52" s="442"/>
      <c r="V52" s="442"/>
      <c r="W52" s="442"/>
      <c r="X52" s="442"/>
      <c r="Y52" s="442"/>
      <c r="Z52" s="442"/>
      <c r="AA52" s="444"/>
      <c r="AB52" s="442"/>
      <c r="AC52" s="444"/>
      <c r="AD52" s="442"/>
      <c r="AE52" s="444"/>
    </row>
    <row r="53" spans="1:31">
      <c r="A53" s="445"/>
      <c r="B53" s="445"/>
      <c r="C53" s="445"/>
      <c r="D53" s="445"/>
      <c r="E53" s="445"/>
      <c r="F53" s="445"/>
      <c r="G53" s="445"/>
      <c r="H53" s="445"/>
      <c r="I53" s="445" t="s">
        <v>981</v>
      </c>
      <c r="J53" s="445"/>
      <c r="K53" s="446">
        <v>41666</v>
      </c>
      <c r="L53" s="445"/>
      <c r="M53" s="445" t="s">
        <v>1008</v>
      </c>
      <c r="N53" s="445"/>
      <c r="O53" s="445" t="s">
        <v>982</v>
      </c>
      <c r="P53" s="445"/>
      <c r="Q53" s="445" t="s">
        <v>986</v>
      </c>
      <c r="R53" s="445"/>
      <c r="S53" s="445" t="s">
        <v>974</v>
      </c>
      <c r="T53" s="445"/>
      <c r="U53" s="445" t="s">
        <v>987</v>
      </c>
      <c r="V53" s="445"/>
      <c r="W53" s="447"/>
      <c r="X53" s="445"/>
      <c r="Y53" s="445" t="s">
        <v>988</v>
      </c>
      <c r="Z53" s="445"/>
      <c r="AA53" s="448"/>
      <c r="AB53" s="445"/>
      <c r="AC53" s="448">
        <v>840.01</v>
      </c>
      <c r="AD53" s="445"/>
      <c r="AE53" s="448">
        <v>840.01</v>
      </c>
    </row>
    <row r="54" spans="1:31">
      <c r="A54" s="445"/>
      <c r="B54" s="445"/>
      <c r="C54" s="445"/>
      <c r="D54" s="445"/>
      <c r="E54" s="445"/>
      <c r="F54" s="445"/>
      <c r="G54" s="445"/>
      <c r="H54" s="445"/>
      <c r="I54" s="445" t="s">
        <v>981</v>
      </c>
      <c r="J54" s="445"/>
      <c r="K54" s="446">
        <v>41697</v>
      </c>
      <c r="L54" s="445"/>
      <c r="M54" s="445" t="s">
        <v>1009</v>
      </c>
      <c r="N54" s="445"/>
      <c r="O54" s="445" t="s">
        <v>982</v>
      </c>
      <c r="P54" s="445"/>
      <c r="Q54" s="445" t="s">
        <v>986</v>
      </c>
      <c r="R54" s="445"/>
      <c r="S54" s="445" t="s">
        <v>974</v>
      </c>
      <c r="T54" s="445"/>
      <c r="U54" s="445" t="s">
        <v>987</v>
      </c>
      <c r="V54" s="445"/>
      <c r="W54" s="447"/>
      <c r="X54" s="445"/>
      <c r="Y54" s="445" t="s">
        <v>988</v>
      </c>
      <c r="Z54" s="445"/>
      <c r="AA54" s="448"/>
      <c r="AB54" s="445"/>
      <c r="AC54" s="448">
        <v>835.64</v>
      </c>
      <c r="AD54" s="445"/>
      <c r="AE54" s="448">
        <v>1675.65</v>
      </c>
    </row>
    <row r="55" spans="1:31">
      <c r="A55" s="445"/>
      <c r="B55" s="445"/>
      <c r="C55" s="445"/>
      <c r="D55" s="445"/>
      <c r="E55" s="445"/>
      <c r="F55" s="445"/>
      <c r="G55" s="445"/>
      <c r="H55" s="445"/>
      <c r="I55" s="445" t="s">
        <v>981</v>
      </c>
      <c r="J55" s="445"/>
      <c r="K55" s="446">
        <v>41723</v>
      </c>
      <c r="L55" s="445"/>
      <c r="M55" s="445" t="s">
        <v>1010</v>
      </c>
      <c r="N55" s="445"/>
      <c r="O55" s="445" t="s">
        <v>982</v>
      </c>
      <c r="P55" s="445"/>
      <c r="Q55" s="445" t="s">
        <v>986</v>
      </c>
      <c r="R55" s="445"/>
      <c r="S55" s="445" t="s">
        <v>974</v>
      </c>
      <c r="T55" s="445"/>
      <c r="U55" s="445" t="s">
        <v>987</v>
      </c>
      <c r="V55" s="445"/>
      <c r="W55" s="447"/>
      <c r="X55" s="445"/>
      <c r="Y55" s="445" t="s">
        <v>988</v>
      </c>
      <c r="Z55" s="445"/>
      <c r="AA55" s="448"/>
      <c r="AB55" s="445"/>
      <c r="AC55" s="448">
        <v>716.56</v>
      </c>
      <c r="AD55" s="445"/>
      <c r="AE55" s="448">
        <v>2392.21</v>
      </c>
    </row>
    <row r="56" spans="1:31">
      <c r="A56" s="445"/>
      <c r="B56" s="445"/>
      <c r="C56" s="445"/>
      <c r="D56" s="445"/>
      <c r="E56" s="445"/>
      <c r="F56" s="445"/>
      <c r="G56" s="445"/>
      <c r="H56" s="445"/>
      <c r="I56" s="445" t="s">
        <v>1007</v>
      </c>
      <c r="J56" s="445"/>
      <c r="K56" s="446">
        <v>41729</v>
      </c>
      <c r="L56" s="445"/>
      <c r="M56" s="445" t="s">
        <v>1020</v>
      </c>
      <c r="N56" s="445"/>
      <c r="O56" s="445" t="s">
        <v>982</v>
      </c>
      <c r="P56" s="445"/>
      <c r="Q56" s="445" t="s">
        <v>986</v>
      </c>
      <c r="R56" s="445"/>
      <c r="S56" s="445" t="s">
        <v>974</v>
      </c>
      <c r="T56" s="445"/>
      <c r="U56" s="445"/>
      <c r="V56" s="445"/>
      <c r="W56" s="447"/>
      <c r="X56" s="445"/>
      <c r="Y56" s="445" t="s">
        <v>988</v>
      </c>
      <c r="Z56" s="445"/>
      <c r="AA56" s="448"/>
      <c r="AB56" s="445"/>
      <c r="AC56" s="448">
        <v>21350.92</v>
      </c>
      <c r="AD56" s="445"/>
      <c r="AE56" s="448">
        <v>23743.13</v>
      </c>
    </row>
    <row r="57" spans="1:31">
      <c r="A57" s="445"/>
      <c r="B57" s="445"/>
      <c r="C57" s="445"/>
      <c r="D57" s="445"/>
      <c r="E57" s="445"/>
      <c r="F57" s="445"/>
      <c r="G57" s="445"/>
      <c r="H57" s="445"/>
      <c r="I57" s="445" t="s">
        <v>981</v>
      </c>
      <c r="J57" s="445"/>
      <c r="K57" s="446">
        <v>41757</v>
      </c>
      <c r="L57" s="445"/>
      <c r="M57" s="445" t="s">
        <v>1011</v>
      </c>
      <c r="N57" s="445"/>
      <c r="O57" s="445" t="s">
        <v>982</v>
      </c>
      <c r="P57" s="445"/>
      <c r="Q57" s="445" t="s">
        <v>986</v>
      </c>
      <c r="R57" s="445"/>
      <c r="S57" s="445" t="s">
        <v>974</v>
      </c>
      <c r="T57" s="445"/>
      <c r="U57" s="445" t="s">
        <v>987</v>
      </c>
      <c r="V57" s="445"/>
      <c r="W57" s="447"/>
      <c r="X57" s="445"/>
      <c r="Y57" s="445" t="s">
        <v>988</v>
      </c>
      <c r="Z57" s="445"/>
      <c r="AA57" s="448"/>
      <c r="AB57" s="445"/>
      <c r="AC57" s="448">
        <v>767.47</v>
      </c>
      <c r="AD57" s="445"/>
      <c r="AE57" s="448">
        <v>24510.6</v>
      </c>
    </row>
    <row r="58" spans="1:31">
      <c r="A58" s="445"/>
      <c r="B58" s="445"/>
      <c r="C58" s="445"/>
      <c r="D58" s="445"/>
      <c r="E58" s="445"/>
      <c r="F58" s="445"/>
      <c r="G58" s="445"/>
      <c r="H58" s="445"/>
      <c r="I58" s="445" t="s">
        <v>981</v>
      </c>
      <c r="J58" s="445"/>
      <c r="K58" s="446">
        <v>41787</v>
      </c>
      <c r="L58" s="445"/>
      <c r="M58" s="445" t="s">
        <v>1012</v>
      </c>
      <c r="N58" s="445"/>
      <c r="O58" s="445" t="s">
        <v>982</v>
      </c>
      <c r="P58" s="445"/>
      <c r="Q58" s="445" t="s">
        <v>986</v>
      </c>
      <c r="R58" s="445"/>
      <c r="S58" s="445" t="s">
        <v>974</v>
      </c>
      <c r="T58" s="445"/>
      <c r="U58" s="445" t="s">
        <v>987</v>
      </c>
      <c r="V58" s="445"/>
      <c r="W58" s="447"/>
      <c r="X58" s="445"/>
      <c r="Y58" s="445" t="s">
        <v>988</v>
      </c>
      <c r="Z58" s="445"/>
      <c r="AA58" s="448"/>
      <c r="AB58" s="445"/>
      <c r="AC58" s="448">
        <v>664.88</v>
      </c>
      <c r="AD58" s="445"/>
      <c r="AE58" s="448">
        <v>25175.48</v>
      </c>
    </row>
    <row r="59" spans="1:31">
      <c r="A59" s="445"/>
      <c r="B59" s="445"/>
      <c r="C59" s="445"/>
      <c r="D59" s="445"/>
      <c r="E59" s="445"/>
      <c r="F59" s="445"/>
      <c r="G59" s="445"/>
      <c r="H59" s="445"/>
      <c r="I59" s="445" t="s">
        <v>981</v>
      </c>
      <c r="J59" s="445"/>
      <c r="K59" s="446">
        <v>41813</v>
      </c>
      <c r="L59" s="445"/>
      <c r="M59" s="445" t="s">
        <v>1013</v>
      </c>
      <c r="N59" s="445"/>
      <c r="O59" s="445" t="s">
        <v>982</v>
      </c>
      <c r="P59" s="445"/>
      <c r="Q59" s="445" t="s">
        <v>986</v>
      </c>
      <c r="R59" s="445"/>
      <c r="S59" s="445" t="s">
        <v>974</v>
      </c>
      <c r="T59" s="445"/>
      <c r="U59" s="445" t="s">
        <v>987</v>
      </c>
      <c r="V59" s="445"/>
      <c r="W59" s="447"/>
      <c r="X59" s="445"/>
      <c r="Y59" s="445" t="s">
        <v>988</v>
      </c>
      <c r="Z59" s="445"/>
      <c r="AA59" s="448"/>
      <c r="AB59" s="445"/>
      <c r="AC59" s="448">
        <v>871.78</v>
      </c>
      <c r="AD59" s="445"/>
      <c r="AE59" s="448">
        <v>26047.26</v>
      </c>
    </row>
    <row r="60" spans="1:31">
      <c r="A60" s="445"/>
      <c r="B60" s="445"/>
      <c r="C60" s="445"/>
      <c r="D60" s="445"/>
      <c r="E60" s="445"/>
      <c r="F60" s="445"/>
      <c r="G60" s="445"/>
      <c r="H60" s="445"/>
      <c r="I60" s="445" t="s">
        <v>981</v>
      </c>
      <c r="J60" s="445"/>
      <c r="K60" s="446">
        <v>41849</v>
      </c>
      <c r="L60" s="445"/>
      <c r="M60" s="445" t="s">
        <v>1014</v>
      </c>
      <c r="N60" s="445"/>
      <c r="O60" s="445" t="s">
        <v>982</v>
      </c>
      <c r="P60" s="445"/>
      <c r="Q60" s="445" t="s">
        <v>986</v>
      </c>
      <c r="R60" s="445"/>
      <c r="S60" s="445" t="s">
        <v>974</v>
      </c>
      <c r="T60" s="445"/>
      <c r="U60" s="445" t="s">
        <v>987</v>
      </c>
      <c r="V60" s="445"/>
      <c r="W60" s="447"/>
      <c r="X60" s="445"/>
      <c r="Y60" s="445" t="s">
        <v>988</v>
      </c>
      <c r="Z60" s="445"/>
      <c r="AA60" s="448"/>
      <c r="AB60" s="445"/>
      <c r="AC60" s="448">
        <v>633.13</v>
      </c>
      <c r="AD60" s="445"/>
      <c r="AE60" s="448">
        <v>26680.39</v>
      </c>
    </row>
    <row r="61" spans="1:31">
      <c r="A61" s="445"/>
      <c r="B61" s="445"/>
      <c r="C61" s="445"/>
      <c r="D61" s="445"/>
      <c r="E61" s="445"/>
      <c r="F61" s="445"/>
      <c r="G61" s="445"/>
      <c r="H61" s="445"/>
      <c r="I61" s="445" t="s">
        <v>981</v>
      </c>
      <c r="J61" s="445"/>
      <c r="K61" s="446">
        <v>41873</v>
      </c>
      <c r="L61" s="445"/>
      <c r="M61" s="445" t="s">
        <v>1015</v>
      </c>
      <c r="N61" s="445"/>
      <c r="O61" s="445" t="s">
        <v>982</v>
      </c>
      <c r="P61" s="445"/>
      <c r="Q61" s="445" t="s">
        <v>986</v>
      </c>
      <c r="R61" s="445"/>
      <c r="S61" s="445" t="s">
        <v>974</v>
      </c>
      <c r="T61" s="445"/>
      <c r="U61" s="445" t="s">
        <v>987</v>
      </c>
      <c r="V61" s="445"/>
      <c r="W61" s="447"/>
      <c r="X61" s="445"/>
      <c r="Y61" s="445" t="s">
        <v>988</v>
      </c>
      <c r="Z61" s="445"/>
      <c r="AA61" s="448"/>
      <c r="AB61" s="445"/>
      <c r="AC61" s="448">
        <v>755.8</v>
      </c>
      <c r="AD61" s="445"/>
      <c r="AE61" s="448">
        <v>27436.19</v>
      </c>
    </row>
    <row r="62" spans="1:31">
      <c r="A62" s="445"/>
      <c r="B62" s="445"/>
      <c r="C62" s="445"/>
      <c r="D62" s="445"/>
      <c r="E62" s="445"/>
      <c r="F62" s="445"/>
      <c r="G62" s="445"/>
      <c r="H62" s="445"/>
      <c r="I62" s="445" t="s">
        <v>981</v>
      </c>
      <c r="J62" s="445"/>
      <c r="K62" s="446">
        <v>41907</v>
      </c>
      <c r="L62" s="445"/>
      <c r="M62" s="445" t="s">
        <v>1016</v>
      </c>
      <c r="N62" s="445"/>
      <c r="O62" s="445" t="s">
        <v>982</v>
      </c>
      <c r="P62" s="445"/>
      <c r="Q62" s="445" t="s">
        <v>986</v>
      </c>
      <c r="R62" s="445"/>
      <c r="S62" s="445" t="s">
        <v>974</v>
      </c>
      <c r="T62" s="445"/>
      <c r="U62" s="445" t="s">
        <v>987</v>
      </c>
      <c r="V62" s="445"/>
      <c r="W62" s="447"/>
      <c r="X62" s="445"/>
      <c r="Y62" s="445" t="s">
        <v>988</v>
      </c>
      <c r="Z62" s="445"/>
      <c r="AA62" s="448"/>
      <c r="AB62" s="445"/>
      <c r="AC62" s="448">
        <v>685.15</v>
      </c>
      <c r="AD62" s="445"/>
      <c r="AE62" s="448">
        <v>28121.34</v>
      </c>
    </row>
    <row r="63" spans="1:31">
      <c r="A63" s="445"/>
      <c r="B63" s="445"/>
      <c r="C63" s="445"/>
      <c r="D63" s="445"/>
      <c r="E63" s="445"/>
      <c r="F63" s="445"/>
      <c r="G63" s="445"/>
      <c r="H63" s="445"/>
      <c r="I63" s="445" t="s">
        <v>981</v>
      </c>
      <c r="J63" s="445"/>
      <c r="K63" s="446">
        <v>41939</v>
      </c>
      <c r="L63" s="445"/>
      <c r="M63" s="445" t="s">
        <v>1017</v>
      </c>
      <c r="N63" s="445"/>
      <c r="O63" s="445" t="s">
        <v>982</v>
      </c>
      <c r="P63" s="445"/>
      <c r="Q63" s="445" t="s">
        <v>986</v>
      </c>
      <c r="R63" s="445"/>
      <c r="S63" s="445" t="s">
        <v>974</v>
      </c>
      <c r="T63" s="445"/>
      <c r="U63" s="445" t="s">
        <v>987</v>
      </c>
      <c r="V63" s="445"/>
      <c r="W63" s="447"/>
      <c r="X63" s="445"/>
      <c r="Y63" s="445" t="s">
        <v>988</v>
      </c>
      <c r="Z63" s="445"/>
      <c r="AA63" s="448"/>
      <c r="AB63" s="445"/>
      <c r="AC63" s="448">
        <v>633.71</v>
      </c>
      <c r="AD63" s="445"/>
      <c r="AE63" s="448">
        <v>28755.05</v>
      </c>
    </row>
    <row r="64" spans="1:31">
      <c r="A64" s="445"/>
      <c r="B64" s="445"/>
      <c r="C64" s="445"/>
      <c r="D64" s="445"/>
      <c r="E64" s="445"/>
      <c r="F64" s="445"/>
      <c r="G64" s="445"/>
      <c r="H64" s="445"/>
      <c r="I64" s="445" t="s">
        <v>981</v>
      </c>
      <c r="J64" s="445"/>
      <c r="K64" s="446">
        <v>41967</v>
      </c>
      <c r="L64" s="445"/>
      <c r="M64" s="445" t="s">
        <v>1018</v>
      </c>
      <c r="N64" s="445"/>
      <c r="O64" s="445" t="s">
        <v>982</v>
      </c>
      <c r="P64" s="445"/>
      <c r="Q64" s="445" t="s">
        <v>986</v>
      </c>
      <c r="R64" s="445"/>
      <c r="S64" s="445" t="s">
        <v>974</v>
      </c>
      <c r="T64" s="445"/>
      <c r="U64" s="445" t="s">
        <v>987</v>
      </c>
      <c r="V64" s="445"/>
      <c r="W64" s="447"/>
      <c r="X64" s="445"/>
      <c r="Y64" s="445" t="s">
        <v>988</v>
      </c>
      <c r="Z64" s="445"/>
      <c r="AA64" s="448"/>
      <c r="AB64" s="445"/>
      <c r="AC64" s="448">
        <v>514.46</v>
      </c>
      <c r="AD64" s="445"/>
      <c r="AE64" s="448">
        <v>29269.51</v>
      </c>
    </row>
    <row r="65" spans="1:31" ht="13.5" thickBot="1">
      <c r="A65" s="445"/>
      <c r="B65" s="445"/>
      <c r="C65" s="445"/>
      <c r="D65" s="445"/>
      <c r="E65" s="445"/>
      <c r="F65" s="445"/>
      <c r="G65" s="445"/>
      <c r="H65" s="445"/>
      <c r="I65" s="445" t="s">
        <v>981</v>
      </c>
      <c r="J65" s="445"/>
      <c r="K65" s="446">
        <v>42004</v>
      </c>
      <c r="L65" s="445"/>
      <c r="M65" s="445" t="s">
        <v>1019</v>
      </c>
      <c r="N65" s="445"/>
      <c r="O65" s="445" t="s">
        <v>982</v>
      </c>
      <c r="P65" s="445"/>
      <c r="Q65" s="445" t="s">
        <v>986</v>
      </c>
      <c r="R65" s="445"/>
      <c r="S65" s="445" t="s">
        <v>974</v>
      </c>
      <c r="T65" s="445"/>
      <c r="U65" s="445" t="s">
        <v>987</v>
      </c>
      <c r="V65" s="445"/>
      <c r="W65" s="447"/>
      <c r="X65" s="445"/>
      <c r="Y65" s="445" t="s">
        <v>988</v>
      </c>
      <c r="Z65" s="445"/>
      <c r="AA65" s="450"/>
      <c r="AB65" s="445"/>
      <c r="AC65" s="450">
        <v>551.16</v>
      </c>
      <c r="AD65" s="445"/>
      <c r="AE65" s="450">
        <v>29820.67</v>
      </c>
    </row>
    <row r="66" spans="1:31" ht="13.5" thickBot="1">
      <c r="A66" s="445"/>
      <c r="B66" s="445"/>
      <c r="C66" s="445"/>
      <c r="D66" s="445"/>
      <c r="E66" s="445"/>
      <c r="F66" s="445" t="s">
        <v>975</v>
      </c>
      <c r="G66" s="445"/>
      <c r="H66" s="445"/>
      <c r="I66" s="445"/>
      <c r="J66" s="445"/>
      <c r="K66" s="446"/>
      <c r="L66" s="445"/>
      <c r="M66" s="445"/>
      <c r="N66" s="445"/>
      <c r="O66" s="445"/>
      <c r="P66" s="445"/>
      <c r="Q66" s="445"/>
      <c r="R66" s="445"/>
      <c r="S66" s="445"/>
      <c r="T66" s="445"/>
      <c r="U66" s="445"/>
      <c r="V66" s="445"/>
      <c r="W66" s="445"/>
      <c r="X66" s="445"/>
      <c r="Y66" s="445"/>
      <c r="Z66" s="445"/>
      <c r="AA66" s="451">
        <f>ROUND(SUM(AA52:AA65),5)</f>
        <v>0</v>
      </c>
      <c r="AB66" s="445"/>
      <c r="AC66" s="451">
        <f>ROUND(SUM(AC52:AC65),5)</f>
        <v>29820.67</v>
      </c>
      <c r="AD66" s="445"/>
      <c r="AE66" s="451">
        <f>AE65</f>
        <v>29820.67</v>
      </c>
    </row>
    <row r="67" spans="1:31" ht="13.5" thickBot="1">
      <c r="A67" s="445"/>
      <c r="B67" s="445"/>
      <c r="C67" s="445"/>
      <c r="D67" s="445"/>
      <c r="E67" s="445" t="s">
        <v>976</v>
      </c>
      <c r="F67" s="445"/>
      <c r="G67" s="445"/>
      <c r="H67" s="445"/>
      <c r="I67" s="445"/>
      <c r="J67" s="445"/>
      <c r="K67" s="446"/>
      <c r="L67" s="445"/>
      <c r="M67" s="445"/>
      <c r="N67" s="445"/>
      <c r="O67" s="445"/>
      <c r="P67" s="445"/>
      <c r="Q67" s="445"/>
      <c r="R67" s="445"/>
      <c r="S67" s="445"/>
      <c r="T67" s="445"/>
      <c r="U67" s="445"/>
      <c r="V67" s="445"/>
      <c r="W67" s="445"/>
      <c r="X67" s="445"/>
      <c r="Y67" s="445"/>
      <c r="Z67" s="445"/>
      <c r="AA67" s="451">
        <f>AA66</f>
        <v>0</v>
      </c>
      <c r="AB67" s="445"/>
      <c r="AC67" s="451">
        <f>AC66</f>
        <v>29820.67</v>
      </c>
      <c r="AD67" s="445"/>
      <c r="AE67" s="451">
        <f>AE66</f>
        <v>29820.67</v>
      </c>
    </row>
    <row r="68" spans="1:31" ht="13.5" thickBot="1">
      <c r="A68" s="445"/>
      <c r="B68" s="445"/>
      <c r="C68" s="445"/>
      <c r="D68" s="445" t="s">
        <v>977</v>
      </c>
      <c r="E68" s="445"/>
      <c r="F68" s="445"/>
      <c r="G68" s="445"/>
      <c r="H68" s="445"/>
      <c r="I68" s="445"/>
      <c r="J68" s="445"/>
      <c r="K68" s="446"/>
      <c r="L68" s="445"/>
      <c r="M68" s="445"/>
      <c r="N68" s="445"/>
      <c r="O68" s="445"/>
      <c r="P68" s="445"/>
      <c r="Q68" s="445"/>
      <c r="R68" s="445"/>
      <c r="S68" s="445"/>
      <c r="T68" s="445"/>
      <c r="U68" s="445"/>
      <c r="V68" s="445"/>
      <c r="W68" s="445"/>
      <c r="X68" s="445"/>
      <c r="Y68" s="445"/>
      <c r="Z68" s="445"/>
      <c r="AA68" s="451">
        <f>AA67</f>
        <v>0</v>
      </c>
      <c r="AB68" s="445"/>
      <c r="AC68" s="451">
        <f>AC67</f>
        <v>29820.67</v>
      </c>
      <c r="AD68" s="445"/>
      <c r="AE68" s="451">
        <f>AE67</f>
        <v>29820.67</v>
      </c>
    </row>
    <row r="69" spans="1:31" ht="13.5" thickBot="1">
      <c r="A69" s="445"/>
      <c r="B69" s="445"/>
      <c r="C69" s="445" t="s">
        <v>978</v>
      </c>
      <c r="D69" s="445"/>
      <c r="E69" s="445"/>
      <c r="F69" s="445"/>
      <c r="G69" s="445"/>
      <c r="H69" s="445"/>
      <c r="I69" s="445"/>
      <c r="J69" s="445"/>
      <c r="K69" s="446"/>
      <c r="L69" s="445"/>
      <c r="M69" s="445"/>
      <c r="N69" s="445"/>
      <c r="O69" s="445"/>
      <c r="P69" s="445"/>
      <c r="Q69" s="445"/>
      <c r="R69" s="445"/>
      <c r="S69" s="445"/>
      <c r="T69" s="445"/>
      <c r="U69" s="445"/>
      <c r="V69" s="445"/>
      <c r="W69" s="445"/>
      <c r="X69" s="445"/>
      <c r="Y69" s="445"/>
      <c r="Z69" s="445"/>
      <c r="AA69" s="451">
        <f>AA68</f>
        <v>0</v>
      </c>
      <c r="AB69" s="445"/>
      <c r="AC69" s="451">
        <f>AC68</f>
        <v>29820.67</v>
      </c>
      <c r="AD69" s="445"/>
      <c r="AE69" s="451">
        <f>AE68</f>
        <v>29820.67</v>
      </c>
    </row>
    <row r="70" spans="1:31" s="454" customFormat="1" ht="12" thickBot="1">
      <c r="A70" s="445"/>
      <c r="B70" s="445" t="s">
        <v>979</v>
      </c>
      <c r="C70" s="445"/>
      <c r="D70" s="445"/>
      <c r="E70" s="445"/>
      <c r="F70" s="445"/>
      <c r="G70" s="445"/>
      <c r="H70" s="445"/>
      <c r="I70" s="445"/>
      <c r="J70" s="445"/>
      <c r="K70" s="446"/>
      <c r="L70" s="445"/>
      <c r="M70" s="445"/>
      <c r="N70" s="445"/>
      <c r="O70" s="445"/>
      <c r="P70" s="445"/>
      <c r="Q70" s="445"/>
      <c r="R70" s="445"/>
      <c r="S70" s="445"/>
      <c r="T70" s="445"/>
      <c r="U70" s="445"/>
      <c r="V70" s="445"/>
      <c r="W70" s="445"/>
      <c r="X70" s="445"/>
      <c r="Y70" s="445"/>
      <c r="Z70" s="445"/>
      <c r="AA70" s="451">
        <f>AA69</f>
        <v>0</v>
      </c>
      <c r="AB70" s="445"/>
      <c r="AC70" s="451">
        <f>AC69</f>
        <v>29820.67</v>
      </c>
      <c r="AD70" s="445"/>
      <c r="AE70" s="451">
        <f>AE69</f>
        <v>29820.67</v>
      </c>
    </row>
    <row r="71" spans="1:31" s="454" customFormat="1" ht="12" thickBot="1">
      <c r="A71" s="442" t="s">
        <v>980</v>
      </c>
      <c r="B71" s="442"/>
      <c r="C71" s="442"/>
      <c r="D71" s="442"/>
      <c r="E71" s="442"/>
      <c r="F71" s="442"/>
      <c r="G71" s="442"/>
      <c r="H71" s="442"/>
      <c r="I71" s="442"/>
      <c r="J71" s="442"/>
      <c r="K71" s="443"/>
      <c r="L71" s="442"/>
      <c r="M71" s="442"/>
      <c r="N71" s="442"/>
      <c r="O71" s="442"/>
      <c r="P71" s="442"/>
      <c r="Q71" s="442"/>
      <c r="R71" s="442"/>
      <c r="S71" s="442"/>
      <c r="T71" s="442"/>
      <c r="U71" s="442"/>
      <c r="V71" s="442"/>
      <c r="W71" s="442"/>
      <c r="X71" s="442"/>
      <c r="Y71" s="442"/>
      <c r="Z71" s="442"/>
      <c r="AA71" s="453">
        <f>ROUND(AA47+AA70,5)</f>
        <v>282324.46999999997</v>
      </c>
      <c r="AB71" s="442"/>
      <c r="AC71" s="453">
        <f>ROUND(AC47+AC70,5)</f>
        <v>29820.67</v>
      </c>
      <c r="AD71" s="442"/>
      <c r="AE71" s="453">
        <f>ROUND(AE47+AE70,5)</f>
        <v>-252503.8</v>
      </c>
    </row>
    <row r="72" spans="1:31" ht="13.5" thickTop="1"/>
  </sheetData>
  <pageMargins left="0.7" right="0.7" top="0.75" bottom="0.75" header="0.1" footer="0.3"/>
  <pageSetup orientation="portrait" r:id="rId1"/>
  <headerFooter>
    <oddHeader>&amp;L&amp;"Arial,Bold"&amp;8 10:19 AM
&amp;"Arial,Bold"&amp;8 02/10/16
&amp;"Arial,Bold"&amp;8 Accrual Basis&amp;C&amp;"Arial,Bold"&amp;12 CENTRAL MUNICIPAL POWER AGENCY AND SERVICES
&amp;"Arial,Bold"&amp;14 Custom Transaction Detail Report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3077" r:id="rId4" name="FILTER">
          <controlPr defaultSize="0" autoLine="0" r:id="rId5">
            <anchor moveWithCells="1">
              <from>
                <xdr:col>0</xdr:col>
                <xdr:colOff>0</xdr:colOff>
                <xdr:row>0</xdr:row>
                <xdr:rowOff>0</xdr:rowOff>
              </from>
              <to>
                <xdr:col>4</xdr:col>
                <xdr:colOff>114300</xdr:colOff>
                <xdr:row>1</xdr:row>
                <xdr:rowOff>57150</xdr:rowOff>
              </to>
            </anchor>
          </controlPr>
        </control>
      </mc:Choice>
      <mc:Fallback>
        <control shapeId="3077" r:id="rId4" name="FILTER"/>
      </mc:Fallback>
    </mc:AlternateContent>
    <mc:AlternateContent xmlns:mc="http://schemas.openxmlformats.org/markup-compatibility/2006">
      <mc:Choice Requires="x14">
        <control shapeId="3078" r:id="rId6" name="HEADER">
          <controlPr defaultSize="0" autoLine="0" r:id="rId7">
            <anchor moveWithCells="1">
              <from>
                <xdr:col>0</xdr:col>
                <xdr:colOff>0</xdr:colOff>
                <xdr:row>0</xdr:row>
                <xdr:rowOff>0</xdr:rowOff>
              </from>
              <to>
                <xdr:col>4</xdr:col>
                <xdr:colOff>114300</xdr:colOff>
                <xdr:row>1</xdr:row>
                <xdr:rowOff>57150</xdr:rowOff>
              </to>
            </anchor>
          </controlPr>
        </control>
      </mc:Choice>
      <mc:Fallback>
        <control shapeId="3078" r:id="rId6" name="HEADER"/>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47" workbookViewId="0">
      <selection activeCell="F60" sqref="F60"/>
    </sheetView>
  </sheetViews>
  <sheetFormatPr defaultRowHeight="12.75"/>
  <cols>
    <col min="1" max="1" width="6.7109375" customWidth="1"/>
    <col min="2" max="2" width="40.85546875" customWidth="1"/>
    <col min="3" max="3" width="16.7109375" customWidth="1"/>
    <col min="4" max="4" width="6.7109375" customWidth="1"/>
    <col min="5" max="5" width="42.28515625" customWidth="1"/>
    <col min="6" max="6" width="16.7109375" customWidth="1"/>
  </cols>
  <sheetData>
    <row r="1" spans="1:6" ht="15">
      <c r="A1" s="631" t="s">
        <v>579</v>
      </c>
      <c r="B1" s="631"/>
      <c r="C1" s="631"/>
      <c r="D1" s="631"/>
      <c r="E1" s="631"/>
      <c r="F1" s="631"/>
    </row>
    <row r="2" spans="1:6" ht="15">
      <c r="A2" s="632" t="s">
        <v>54</v>
      </c>
      <c r="B2" s="632"/>
      <c r="C2" s="632"/>
      <c r="D2" s="632"/>
      <c r="E2" s="632"/>
      <c r="F2" s="632"/>
    </row>
    <row r="3" spans="1:6" ht="15">
      <c r="A3" s="633">
        <v>42004</v>
      </c>
      <c r="B3" s="633"/>
      <c r="C3" s="633"/>
      <c r="D3" s="633"/>
      <c r="E3" s="633"/>
      <c r="F3" s="633"/>
    </row>
    <row r="4" spans="1:6">
      <c r="C4" s="246" t="s">
        <v>364</v>
      </c>
    </row>
    <row r="5" spans="1:6" ht="15">
      <c r="A5" s="634" t="s">
        <v>55</v>
      </c>
      <c r="B5" s="634"/>
      <c r="C5" s="634"/>
      <c r="D5" s="634"/>
      <c r="E5" s="634"/>
      <c r="F5" s="634"/>
    </row>
    <row r="6" spans="1:6">
      <c r="A6" s="169" t="s">
        <v>593</v>
      </c>
      <c r="B6" s="170"/>
      <c r="C6" s="169" t="s">
        <v>56</v>
      </c>
      <c r="D6" s="169" t="s">
        <v>593</v>
      </c>
      <c r="E6" s="170"/>
      <c r="F6" s="169" t="s">
        <v>56</v>
      </c>
    </row>
    <row r="7" spans="1:6" ht="13.5" thickBot="1">
      <c r="A7" s="171" t="s">
        <v>595</v>
      </c>
      <c r="B7" s="169" t="s">
        <v>57</v>
      </c>
      <c r="C7" s="171" t="s">
        <v>58</v>
      </c>
      <c r="D7" s="171" t="s">
        <v>59</v>
      </c>
      <c r="E7" s="169" t="s">
        <v>60</v>
      </c>
      <c r="F7" s="171" t="s">
        <v>58</v>
      </c>
    </row>
    <row r="8" spans="1:6" ht="14.25" thickTop="1" thickBot="1">
      <c r="A8" s="1"/>
      <c r="B8" s="172" t="s">
        <v>61</v>
      </c>
      <c r="C8" s="173"/>
      <c r="D8" s="174"/>
      <c r="E8" s="172" t="s">
        <v>62</v>
      </c>
      <c r="F8" s="173"/>
    </row>
    <row r="9" spans="1:6" ht="13.5" thickTop="1">
      <c r="A9" s="1">
        <v>1</v>
      </c>
      <c r="B9" s="175" t="s">
        <v>63</v>
      </c>
      <c r="C9" s="176"/>
      <c r="D9" s="177"/>
      <c r="E9" s="175"/>
      <c r="F9" s="176"/>
    </row>
    <row r="10" spans="1:6">
      <c r="A10" s="178"/>
      <c r="B10" s="179" t="s">
        <v>64</v>
      </c>
      <c r="C10" s="180">
        <f>'EIA412 ELECTRIC PLANT'!G25</f>
        <v>19065695.950000003</v>
      </c>
      <c r="D10" s="181">
        <v>29</v>
      </c>
      <c r="E10" s="179" t="s">
        <v>65</v>
      </c>
      <c r="F10" s="182">
        <v>0</v>
      </c>
    </row>
    <row r="11" spans="1:6">
      <c r="A11" s="167">
        <v>2</v>
      </c>
      <c r="B11" s="183" t="s">
        <v>66</v>
      </c>
      <c r="C11" s="184">
        <f>'EIA412 ELECTRIC PLANT'!G27</f>
        <v>514371</v>
      </c>
      <c r="D11" s="185">
        <v>30</v>
      </c>
      <c r="E11" s="186" t="s">
        <v>67</v>
      </c>
      <c r="F11" s="187">
        <f>11257692</f>
        <v>11257692</v>
      </c>
    </row>
    <row r="12" spans="1:6">
      <c r="A12" s="1">
        <v>3</v>
      </c>
      <c r="B12" s="175" t="s">
        <v>68</v>
      </c>
      <c r="C12" s="176"/>
      <c r="D12" s="177"/>
      <c r="E12" s="175"/>
      <c r="F12" s="176"/>
    </row>
    <row r="13" spans="1:6">
      <c r="A13" s="1"/>
      <c r="B13" s="175" t="s">
        <v>69</v>
      </c>
      <c r="C13" s="176"/>
      <c r="D13" s="177">
        <v>31</v>
      </c>
      <c r="E13" s="175" t="s">
        <v>70</v>
      </c>
      <c r="F13" s="176"/>
    </row>
    <row r="14" spans="1:6">
      <c r="A14" s="178"/>
      <c r="B14" s="179" t="s">
        <v>71</v>
      </c>
      <c r="C14" s="180">
        <f>-'EIA412 ELECTRIC PLANT'!I19</f>
        <v>-8665965.695957562</v>
      </c>
      <c r="D14" s="181"/>
      <c r="E14" s="179" t="s">
        <v>72</v>
      </c>
      <c r="F14" s="182">
        <v>0</v>
      </c>
    </row>
    <row r="15" spans="1:6" ht="26.25" thickBot="1">
      <c r="A15" s="167">
        <v>4</v>
      </c>
      <c r="B15" s="188" t="s">
        <v>73</v>
      </c>
      <c r="C15" s="189">
        <f>+C10+C11+C14</f>
        <v>10914101.254042441</v>
      </c>
      <c r="D15" s="190">
        <v>32</v>
      </c>
      <c r="E15" s="191" t="s">
        <v>74</v>
      </c>
      <c r="F15" s="192">
        <f>+F14+F11+F10</f>
        <v>11257692</v>
      </c>
    </row>
    <row r="16" spans="1:6" ht="14.25" thickTop="1" thickBot="1">
      <c r="A16" s="193">
        <v>5</v>
      </c>
      <c r="B16" s="186" t="s">
        <v>75</v>
      </c>
      <c r="C16" s="187"/>
      <c r="D16" s="177"/>
      <c r="E16" s="194" t="s">
        <v>76</v>
      </c>
      <c r="F16" s="176"/>
    </row>
    <row r="17" spans="1:6" ht="13.5" thickTop="1">
      <c r="A17" s="195">
        <v>6</v>
      </c>
      <c r="B17" s="175" t="s">
        <v>68</v>
      </c>
      <c r="C17" s="176"/>
      <c r="D17" s="177"/>
      <c r="E17" s="175"/>
      <c r="F17" s="176"/>
    </row>
    <row r="18" spans="1:6">
      <c r="A18" s="1"/>
      <c r="B18" s="175" t="s">
        <v>77</v>
      </c>
      <c r="C18" s="176"/>
      <c r="D18" s="177"/>
      <c r="E18" s="175" t="s">
        <v>78</v>
      </c>
      <c r="F18" s="176"/>
    </row>
    <row r="19" spans="1:6">
      <c r="A19" s="178"/>
      <c r="B19" s="179" t="s">
        <v>79</v>
      </c>
      <c r="C19" s="182">
        <v>0</v>
      </c>
      <c r="D19" s="181">
        <v>33</v>
      </c>
      <c r="E19" s="179" t="s">
        <v>80</v>
      </c>
      <c r="F19" s="196">
        <f>+F20+F21+F22+F23</f>
        <v>465000</v>
      </c>
    </row>
    <row r="20" spans="1:6">
      <c r="A20" s="1">
        <v>7</v>
      </c>
      <c r="B20" s="197" t="s">
        <v>81</v>
      </c>
      <c r="C20" s="176"/>
      <c r="D20" s="198" t="s">
        <v>82</v>
      </c>
      <c r="E20" s="186" t="s">
        <v>83</v>
      </c>
      <c r="F20" s="182">
        <v>0</v>
      </c>
    </row>
    <row r="21" spans="1:6" ht="13.5" thickBot="1">
      <c r="A21" s="178"/>
      <c r="B21" s="197" t="s">
        <v>84</v>
      </c>
      <c r="C21" s="199">
        <f>+C15+C16+C19</f>
        <v>10914101.254042441</v>
      </c>
      <c r="D21" s="185" t="s">
        <v>85</v>
      </c>
      <c r="E21" s="183" t="s">
        <v>86</v>
      </c>
      <c r="F21" s="182">
        <f>435000+30000</f>
        <v>465000</v>
      </c>
    </row>
    <row r="22" spans="1:6" ht="14.25" thickTop="1" thickBot="1">
      <c r="A22" s="1"/>
      <c r="B22" s="172" t="s">
        <v>87</v>
      </c>
      <c r="C22" s="176"/>
      <c r="D22" s="185" t="s">
        <v>88</v>
      </c>
      <c r="E22" s="183" t="s">
        <v>89</v>
      </c>
      <c r="F22" s="182">
        <v>0</v>
      </c>
    </row>
    <row r="23" spans="1:6" ht="13.5" thickTop="1">
      <c r="A23" s="178">
        <v>8</v>
      </c>
      <c r="B23" s="179" t="s">
        <v>90</v>
      </c>
      <c r="C23" s="182">
        <v>0</v>
      </c>
      <c r="D23" s="185" t="s">
        <v>91</v>
      </c>
      <c r="E23" s="183" t="s">
        <v>92</v>
      </c>
      <c r="F23" s="182">
        <v>0</v>
      </c>
    </row>
    <row r="24" spans="1:6">
      <c r="A24" s="1">
        <v>9</v>
      </c>
      <c r="B24" s="175" t="s">
        <v>68</v>
      </c>
      <c r="C24" s="176"/>
      <c r="D24" s="185"/>
      <c r="E24" s="183"/>
      <c r="F24" s="183"/>
    </row>
    <row r="25" spans="1:6">
      <c r="A25" s="178"/>
      <c r="B25" s="179" t="s">
        <v>93</v>
      </c>
      <c r="C25" s="182">
        <v>0</v>
      </c>
      <c r="D25" s="185"/>
      <c r="E25" s="183"/>
      <c r="F25" s="183"/>
    </row>
    <row r="26" spans="1:6">
      <c r="A26" s="1">
        <v>10</v>
      </c>
      <c r="B26" s="175" t="s">
        <v>94</v>
      </c>
      <c r="C26" s="176"/>
      <c r="D26" s="174">
        <v>34</v>
      </c>
      <c r="E26" s="200" t="s">
        <v>95</v>
      </c>
      <c r="F26" s="201"/>
    </row>
    <row r="27" spans="1:6">
      <c r="A27" s="178"/>
      <c r="B27" s="179" t="s">
        <v>96</v>
      </c>
      <c r="C27" s="182">
        <v>0</v>
      </c>
      <c r="D27" s="181"/>
      <c r="E27" s="179" t="s">
        <v>97</v>
      </c>
      <c r="F27" s="182">
        <v>0</v>
      </c>
    </row>
    <row r="28" spans="1:6" ht="25.5">
      <c r="A28" s="167">
        <v>11</v>
      </c>
      <c r="B28" s="202" t="s">
        <v>98</v>
      </c>
      <c r="C28" s="203">
        <f>+C29+C30+C31+C32</f>
        <v>0</v>
      </c>
      <c r="D28" s="174">
        <v>35</v>
      </c>
      <c r="E28" s="200" t="s">
        <v>99</v>
      </c>
      <c r="F28" s="176"/>
    </row>
    <row r="29" spans="1:6">
      <c r="A29" s="204" t="s">
        <v>100</v>
      </c>
      <c r="B29" s="183" t="s">
        <v>101</v>
      </c>
      <c r="C29" s="187">
        <v>0</v>
      </c>
      <c r="D29" s="181"/>
      <c r="E29" s="205" t="s">
        <v>102</v>
      </c>
      <c r="F29" s="182">
        <v>0</v>
      </c>
    </row>
    <row r="30" spans="1:6">
      <c r="A30" s="167" t="s">
        <v>103</v>
      </c>
      <c r="B30" s="183" t="s">
        <v>104</v>
      </c>
      <c r="C30" s="187">
        <v>0</v>
      </c>
      <c r="D30" s="177">
        <v>36</v>
      </c>
      <c r="E30" s="206" t="s">
        <v>105</v>
      </c>
      <c r="F30" s="176"/>
    </row>
    <row r="31" spans="1:6">
      <c r="A31" s="167" t="s">
        <v>106</v>
      </c>
      <c r="B31" s="183" t="s">
        <v>107</v>
      </c>
      <c r="C31" s="187">
        <v>0</v>
      </c>
      <c r="D31" s="181"/>
      <c r="E31" s="179" t="s">
        <v>108</v>
      </c>
      <c r="F31" s="182">
        <v>0</v>
      </c>
    </row>
    <row r="32" spans="1:6" ht="13.5" thickBot="1">
      <c r="A32" s="167" t="s">
        <v>109</v>
      </c>
      <c r="B32" s="183" t="s">
        <v>110</v>
      </c>
      <c r="C32" s="207">
        <v>0</v>
      </c>
      <c r="D32" s="181">
        <v>37</v>
      </c>
      <c r="E32" s="208" t="s">
        <v>111</v>
      </c>
      <c r="F32" s="209">
        <f>+F19+F27+F29+F31</f>
        <v>465000</v>
      </c>
    </row>
    <row r="33" spans="1:10" ht="27" thickTop="1" thickBot="1">
      <c r="A33" s="167">
        <v>12</v>
      </c>
      <c r="B33" s="210" t="s">
        <v>112</v>
      </c>
      <c r="C33" s="189">
        <f>+C23+C25+C27+C28</f>
        <v>0</v>
      </c>
      <c r="D33" s="181"/>
      <c r="E33" s="172" t="s">
        <v>113</v>
      </c>
      <c r="F33" s="211"/>
    </row>
    <row r="34" spans="1:10" ht="14.25" thickTop="1" thickBot="1">
      <c r="A34" s="1"/>
      <c r="B34" s="172" t="s">
        <v>114</v>
      </c>
      <c r="C34" s="176"/>
      <c r="D34" s="185">
        <v>38</v>
      </c>
      <c r="E34" s="205" t="s">
        <v>115</v>
      </c>
      <c r="F34" s="187">
        <v>0</v>
      </c>
    </row>
    <row r="35" spans="1:10" ht="13.5" thickTop="1">
      <c r="A35" s="1">
        <v>13</v>
      </c>
      <c r="B35" s="175" t="s">
        <v>116</v>
      </c>
      <c r="C35" s="176"/>
      <c r="D35" s="185">
        <v>39</v>
      </c>
      <c r="E35" s="186" t="s">
        <v>117</v>
      </c>
      <c r="F35" s="187">
        <v>0</v>
      </c>
    </row>
    <row r="36" spans="1:10">
      <c r="A36" s="178"/>
      <c r="B36" s="179" t="s">
        <v>118</v>
      </c>
      <c r="C36" s="182">
        <f>586966</f>
        <v>586966</v>
      </c>
      <c r="D36" s="181">
        <v>40</v>
      </c>
      <c r="E36" s="212" t="s">
        <v>119</v>
      </c>
      <c r="F36" s="199">
        <f>+F35+F34</f>
        <v>0</v>
      </c>
    </row>
    <row r="37" spans="1:10" ht="13.5" thickBot="1">
      <c r="A37" s="1">
        <v>14</v>
      </c>
      <c r="B37" s="175" t="s">
        <v>120</v>
      </c>
      <c r="C37" s="176" t="s">
        <v>364</v>
      </c>
      <c r="D37" s="177"/>
      <c r="E37" s="175"/>
      <c r="F37" s="176"/>
    </row>
    <row r="38" spans="1:10" ht="14.25" thickTop="1" thickBot="1">
      <c r="A38" s="178"/>
      <c r="B38" s="179" t="s">
        <v>121</v>
      </c>
      <c r="C38" s="213">
        <f>95880+337570</f>
        <v>433450</v>
      </c>
      <c r="D38" s="181"/>
      <c r="E38" s="172" t="s">
        <v>122</v>
      </c>
      <c r="F38" s="211"/>
    </row>
    <row r="39" spans="1:10" ht="13.5" thickTop="1">
      <c r="A39" s="167">
        <v>15</v>
      </c>
      <c r="B39" s="183" t="s">
        <v>123</v>
      </c>
      <c r="C39" s="187">
        <v>481505</v>
      </c>
      <c r="D39" s="181">
        <v>41</v>
      </c>
      <c r="E39" s="179" t="s">
        <v>124</v>
      </c>
      <c r="F39" s="211"/>
    </row>
    <row r="40" spans="1:10">
      <c r="A40" s="1">
        <v>16</v>
      </c>
      <c r="B40" s="175" t="s">
        <v>68</v>
      </c>
      <c r="C40" s="176"/>
      <c r="D40" s="177"/>
      <c r="E40" s="175"/>
      <c r="F40" s="176"/>
    </row>
    <row r="41" spans="1:10">
      <c r="A41" s="178"/>
      <c r="B41" s="179" t="s">
        <v>125</v>
      </c>
      <c r="C41" s="182">
        <v>0</v>
      </c>
      <c r="D41" s="181">
        <v>42</v>
      </c>
      <c r="E41" s="179" t="s">
        <v>126</v>
      </c>
      <c r="F41" s="182">
        <v>339185</v>
      </c>
    </row>
    <row r="42" spans="1:10">
      <c r="A42" s="1">
        <v>17</v>
      </c>
      <c r="B42" s="175" t="s">
        <v>127</v>
      </c>
      <c r="C42" s="176"/>
      <c r="D42" s="177">
        <v>43</v>
      </c>
      <c r="E42" s="206" t="s">
        <v>128</v>
      </c>
      <c r="F42" s="176"/>
    </row>
    <row r="43" spans="1:10">
      <c r="A43" s="178"/>
      <c r="B43" s="179" t="s">
        <v>129</v>
      </c>
      <c r="C43" s="182">
        <v>0</v>
      </c>
      <c r="D43" s="181"/>
      <c r="E43" s="179" t="s">
        <v>130</v>
      </c>
      <c r="F43" s="182">
        <v>0</v>
      </c>
    </row>
    <row r="44" spans="1:10">
      <c r="A44" s="167">
        <v>18</v>
      </c>
      <c r="B44" s="183" t="s">
        <v>131</v>
      </c>
      <c r="C44" s="187">
        <f>752500-2</f>
        <v>752498</v>
      </c>
      <c r="D44" s="181">
        <v>44</v>
      </c>
      <c r="E44" s="179" t="s">
        <v>132</v>
      </c>
      <c r="F44" s="182">
        <v>87685</v>
      </c>
    </row>
    <row r="45" spans="1:10">
      <c r="A45" s="167">
        <v>19</v>
      </c>
      <c r="B45" s="183" t="s">
        <v>133</v>
      </c>
      <c r="C45" s="187">
        <v>0</v>
      </c>
      <c r="D45" s="181">
        <v>45</v>
      </c>
      <c r="E45" s="179" t="s">
        <v>134</v>
      </c>
      <c r="F45" s="182">
        <v>0</v>
      </c>
      <c r="J45" t="s">
        <v>364</v>
      </c>
    </row>
    <row r="46" spans="1:10">
      <c r="A46" s="167">
        <v>20</v>
      </c>
      <c r="B46" s="183" t="s">
        <v>135</v>
      </c>
      <c r="C46" s="207">
        <v>7051</v>
      </c>
      <c r="D46" s="181">
        <v>46</v>
      </c>
      <c r="E46" s="179" t="s">
        <v>136</v>
      </c>
      <c r="F46" s="182">
        <v>0</v>
      </c>
    </row>
    <row r="47" spans="1:10">
      <c r="A47" s="193">
        <v>21</v>
      </c>
      <c r="B47" s="183" t="s">
        <v>137</v>
      </c>
      <c r="C47" s="187">
        <v>0</v>
      </c>
      <c r="D47" s="181">
        <v>47</v>
      </c>
      <c r="E47" s="179" t="s">
        <v>138</v>
      </c>
      <c r="F47" s="182">
        <f>33073+99219</f>
        <v>132292</v>
      </c>
    </row>
    <row r="48" spans="1:10" ht="26.25" thickBot="1">
      <c r="A48" s="193">
        <v>22</v>
      </c>
      <c r="B48" s="183" t="s">
        <v>139</v>
      </c>
      <c r="C48" s="187">
        <v>0</v>
      </c>
      <c r="D48" s="181">
        <v>48</v>
      </c>
      <c r="E48" s="214" t="s">
        <v>140</v>
      </c>
      <c r="F48" s="199">
        <f>+F47+F46+F45+F44+F43+F41+F39</f>
        <v>559162</v>
      </c>
    </row>
    <row r="49" spans="1:8" ht="27" thickTop="1" thickBot="1">
      <c r="A49" s="193">
        <v>23</v>
      </c>
      <c r="B49" s="210" t="s">
        <v>141</v>
      </c>
      <c r="C49" s="189">
        <f>+C36+C38+C39+C41+C43+C44+C45+C46+C47+C48</f>
        <v>2261470</v>
      </c>
      <c r="D49" s="181"/>
      <c r="E49" s="172" t="s">
        <v>142</v>
      </c>
      <c r="F49" s="211"/>
      <c r="H49" t="s">
        <v>364</v>
      </c>
    </row>
    <row r="50" spans="1:8" ht="14.25" thickTop="1" thickBot="1">
      <c r="B50" s="172" t="s">
        <v>143</v>
      </c>
      <c r="C50" s="176"/>
      <c r="D50" s="215">
        <v>49</v>
      </c>
      <c r="E50" s="206" t="s">
        <v>144</v>
      </c>
      <c r="F50" s="176"/>
    </row>
    <row r="51" spans="1:8" ht="13.5" thickTop="1">
      <c r="A51" s="216">
        <v>24</v>
      </c>
      <c r="B51" s="179" t="s">
        <v>145</v>
      </c>
      <c r="C51" s="182">
        <v>0</v>
      </c>
      <c r="D51" s="181"/>
      <c r="E51" s="217" t="s">
        <v>146</v>
      </c>
      <c r="F51" s="182">
        <v>0</v>
      </c>
    </row>
    <row r="52" spans="1:8">
      <c r="A52" s="195">
        <v>25</v>
      </c>
      <c r="B52" s="175" t="s">
        <v>147</v>
      </c>
      <c r="C52" s="176"/>
      <c r="D52" s="215">
        <v>50</v>
      </c>
      <c r="E52" s="175" t="s">
        <v>148</v>
      </c>
      <c r="F52" s="176"/>
    </row>
    <row r="53" spans="1:8">
      <c r="A53" s="218"/>
      <c r="B53" s="179" t="s">
        <v>149</v>
      </c>
      <c r="C53" s="182">
        <v>0</v>
      </c>
      <c r="D53" s="181"/>
      <c r="E53" s="179" t="s">
        <v>150</v>
      </c>
      <c r="F53" s="182">
        <v>893717</v>
      </c>
    </row>
    <row r="54" spans="1:8">
      <c r="A54" s="195">
        <v>26</v>
      </c>
      <c r="B54" s="175" t="s">
        <v>151</v>
      </c>
      <c r="C54" s="176"/>
      <c r="D54" s="177"/>
      <c r="E54" s="175"/>
      <c r="F54" s="176"/>
    </row>
    <row r="55" spans="1:8">
      <c r="A55" s="1"/>
      <c r="B55" s="175" t="s">
        <v>152</v>
      </c>
      <c r="C55" s="176"/>
      <c r="D55" s="177">
        <v>51</v>
      </c>
      <c r="E55" s="175" t="s">
        <v>153</v>
      </c>
      <c r="F55" s="176"/>
    </row>
    <row r="56" spans="1:8">
      <c r="A56" s="178"/>
      <c r="B56" s="179" t="s">
        <v>154</v>
      </c>
      <c r="C56" s="182">
        <v>0</v>
      </c>
      <c r="D56" s="181"/>
      <c r="E56" s="217" t="s">
        <v>155</v>
      </c>
      <c r="F56" s="211">
        <v>0</v>
      </c>
    </row>
    <row r="57" spans="1:8">
      <c r="A57" s="167">
        <v>27</v>
      </c>
      <c r="B57" s="219" t="s">
        <v>156</v>
      </c>
      <c r="C57" s="189">
        <f>+C51+C53+C56</f>
        <v>0</v>
      </c>
      <c r="D57" s="181">
        <v>52</v>
      </c>
      <c r="E57" s="212" t="s">
        <v>157</v>
      </c>
      <c r="F57" s="199">
        <f>+F56+F53+F51</f>
        <v>893717</v>
      </c>
    </row>
    <row r="58" spans="1:8" ht="26.25" thickBot="1">
      <c r="A58" s="27">
        <v>28</v>
      </c>
      <c r="B58" s="220" t="s">
        <v>158</v>
      </c>
      <c r="C58" s="221">
        <f>+C57+C49+C21+C33</f>
        <v>13175571.254042441</v>
      </c>
      <c r="D58" s="222">
        <v>53</v>
      </c>
      <c r="E58" s="223" t="s">
        <v>159</v>
      </c>
      <c r="F58" s="221">
        <f>+F57+F48+F36+F32+F15</f>
        <v>13175571</v>
      </c>
    </row>
    <row r="59" spans="1:8">
      <c r="A59" s="5"/>
      <c r="B59" s="5"/>
      <c r="C59" s="224"/>
      <c r="D59" s="5"/>
      <c r="E59" s="5"/>
      <c r="F59" s="225" t="s">
        <v>364</v>
      </c>
      <c r="G59" t="s">
        <v>364</v>
      </c>
    </row>
    <row r="60" spans="1:8">
      <c r="A60" s="5"/>
      <c r="B60" s="226" t="s">
        <v>160</v>
      </c>
      <c r="C60" s="224"/>
      <c r="D60" s="5"/>
      <c r="E60" s="5"/>
      <c r="F60" s="457">
        <f>C58-F58</f>
        <v>0.25404244102537632</v>
      </c>
    </row>
    <row r="61" spans="1:8">
      <c r="A61" s="5"/>
      <c r="B61" s="226" t="s">
        <v>161</v>
      </c>
      <c r="C61" s="227"/>
      <c r="D61" s="5"/>
      <c r="E61" s="5"/>
      <c r="F61" s="225"/>
    </row>
    <row r="62" spans="1:8">
      <c r="A62" s="5"/>
      <c r="B62" s="226" t="s">
        <v>162</v>
      </c>
      <c r="C62" s="227"/>
      <c r="D62" s="5"/>
      <c r="E62" s="5"/>
      <c r="F62" s="225"/>
    </row>
    <row r="63" spans="1:8">
      <c r="A63" s="5"/>
      <c r="B63" s="226" t="s">
        <v>163</v>
      </c>
      <c r="C63" s="227"/>
      <c r="D63" s="5"/>
      <c r="E63" s="5"/>
      <c r="F63" s="225"/>
    </row>
    <row r="64" spans="1:8">
      <c r="A64" s="5"/>
      <c r="B64" s="5"/>
      <c r="C64" s="227"/>
      <c r="D64" s="5"/>
      <c r="E64" s="5"/>
      <c r="F64" s="225"/>
    </row>
    <row r="65" spans="1:6">
      <c r="A65" s="5"/>
      <c r="B65" s="5"/>
      <c r="C65" s="227"/>
      <c r="D65" s="5"/>
      <c r="E65" s="5"/>
      <c r="F65" s="225"/>
    </row>
    <row r="66" spans="1:6">
      <c r="A66" s="5"/>
      <c r="B66" s="5"/>
      <c r="C66" s="227"/>
      <c r="D66" s="5"/>
      <c r="E66" s="5"/>
      <c r="F66" s="5"/>
    </row>
    <row r="67" spans="1:6">
      <c r="A67" s="5"/>
      <c r="B67" s="5"/>
      <c r="C67" s="227"/>
      <c r="D67" s="5"/>
      <c r="E67" s="5"/>
      <c r="F67" s="5"/>
    </row>
    <row r="68" spans="1:6">
      <c r="A68" s="5"/>
      <c r="B68" s="5"/>
      <c r="C68" s="227"/>
      <c r="D68" s="5"/>
      <c r="E68" s="5"/>
      <c r="F68" s="5"/>
    </row>
    <row r="69" spans="1:6">
      <c r="A69" s="5"/>
      <c r="B69" s="5"/>
      <c r="C69" s="227"/>
      <c r="D69" s="5"/>
      <c r="E69" s="5"/>
      <c r="F69" s="5"/>
    </row>
    <row r="70" spans="1:6">
      <c r="A70" s="5"/>
      <c r="B70" s="5"/>
      <c r="C70" s="227"/>
      <c r="D70" s="5"/>
      <c r="E70" s="5"/>
      <c r="F70" s="5"/>
    </row>
    <row r="71" spans="1:6">
      <c r="A71" s="5"/>
      <c r="B71" s="5"/>
      <c r="C71" s="5"/>
      <c r="D71" s="5"/>
      <c r="E71" s="5"/>
      <c r="F71" s="5"/>
    </row>
    <row r="72" spans="1:6">
      <c r="A72" s="5"/>
      <c r="B72" s="5"/>
      <c r="C72" s="5"/>
      <c r="D72" s="5"/>
      <c r="E72" s="5"/>
      <c r="F72" s="5"/>
    </row>
    <row r="73" spans="1:6">
      <c r="A73" s="5"/>
      <c r="B73" s="5"/>
      <c r="C73" s="5"/>
      <c r="D73" s="5"/>
      <c r="E73" s="5"/>
      <c r="F73" s="5"/>
    </row>
    <row r="74" spans="1:6">
      <c r="A74" s="5"/>
      <c r="B74" s="5"/>
      <c r="C74" s="5"/>
      <c r="D74" s="5"/>
      <c r="E74" s="5"/>
      <c r="F74" s="5"/>
    </row>
    <row r="75" spans="1:6">
      <c r="A75" s="5"/>
      <c r="B75" s="5"/>
      <c r="C75" s="5"/>
      <c r="D75" s="5"/>
      <c r="E75" s="5"/>
      <c r="F75" s="5"/>
    </row>
    <row r="76" spans="1:6">
      <c r="A76" s="5"/>
      <c r="B76" s="5"/>
      <c r="C76" s="5"/>
      <c r="D76" s="5"/>
      <c r="E76" s="5"/>
      <c r="F76" s="5"/>
    </row>
    <row r="77" spans="1:6">
      <c r="A77" s="5"/>
      <c r="B77" s="5"/>
      <c r="C77" s="5"/>
      <c r="D77" s="5"/>
      <c r="E77" s="5"/>
      <c r="F77" s="5"/>
    </row>
    <row r="78" spans="1:6">
      <c r="A78" s="5"/>
      <c r="B78" s="5"/>
      <c r="C78" s="5"/>
      <c r="D78" s="5"/>
      <c r="E78" s="5"/>
      <c r="F78" s="5"/>
    </row>
  </sheetData>
  <mergeCells count="4">
    <mergeCell ref="A1:F1"/>
    <mergeCell ref="A2:F2"/>
    <mergeCell ref="A3:F3"/>
    <mergeCell ref="A5:F5"/>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17" workbookViewId="0">
      <selection activeCell="E39" sqref="E39"/>
    </sheetView>
  </sheetViews>
  <sheetFormatPr defaultRowHeight="12.75"/>
  <cols>
    <col min="1" max="1" width="6.7109375" customWidth="1"/>
    <col min="2" max="2" width="77.140625" customWidth="1"/>
    <col min="3" max="3" width="16.7109375" style="249" customWidth="1"/>
    <col min="6" max="6" width="9.28515625" bestFit="1" customWidth="1"/>
  </cols>
  <sheetData>
    <row r="1" spans="1:6" ht="15">
      <c r="A1" s="635" t="str">
        <f>'EIA412 BALANCE SHEET'!A1:F1</f>
        <v>Delano</v>
      </c>
      <c r="B1" s="635"/>
      <c r="C1" s="635"/>
      <c r="D1" s="229"/>
      <c r="E1" s="229"/>
      <c r="F1" s="229"/>
    </row>
    <row r="2" spans="1:6" ht="15">
      <c r="A2" s="632" t="s">
        <v>54</v>
      </c>
      <c r="B2" s="632"/>
      <c r="C2" s="632"/>
      <c r="D2" s="229"/>
      <c r="E2" s="229"/>
      <c r="F2" s="229"/>
    </row>
    <row r="3" spans="1:6" ht="15">
      <c r="A3" s="635">
        <f>'EIA412 BALANCE SHEET'!A3:F3</f>
        <v>42004</v>
      </c>
      <c r="B3" s="635"/>
      <c r="C3" s="635"/>
      <c r="D3" s="230"/>
      <c r="E3" s="230"/>
      <c r="F3" s="230"/>
    </row>
    <row r="4" spans="1:6">
      <c r="A4" s="26"/>
      <c r="B4" s="26"/>
      <c r="C4" s="231"/>
      <c r="D4" s="26"/>
      <c r="E4" s="26"/>
      <c r="F4" s="26"/>
    </row>
    <row r="5" spans="1:6" ht="15">
      <c r="A5" s="634" t="s">
        <v>164</v>
      </c>
      <c r="B5" s="634"/>
      <c r="C5" s="634"/>
      <c r="D5" s="232"/>
      <c r="E5" s="232"/>
      <c r="F5" s="232"/>
    </row>
    <row r="6" spans="1:6">
      <c r="A6" s="233" t="s">
        <v>593</v>
      </c>
      <c r="B6" s="233"/>
      <c r="C6" s="234" t="s">
        <v>596</v>
      </c>
    </row>
    <row r="7" spans="1:6">
      <c r="A7" s="235" t="s">
        <v>595</v>
      </c>
      <c r="B7" s="235"/>
      <c r="C7" s="236" t="s">
        <v>58</v>
      </c>
    </row>
    <row r="8" spans="1:6">
      <c r="A8" s="171">
        <v>1</v>
      </c>
      <c r="B8" s="235" t="s">
        <v>165</v>
      </c>
      <c r="C8" s="237">
        <f>4971938-16410</f>
        <v>4955528</v>
      </c>
    </row>
    <row r="9" spans="1:6">
      <c r="A9" s="171">
        <v>2</v>
      </c>
      <c r="B9" s="235" t="s">
        <v>166</v>
      </c>
      <c r="C9" s="238">
        <f>'EIA412 OP &amp; MAINT'!C31+'EIA412 OP &amp; MAINT'!D31</f>
        <v>4353777.32</v>
      </c>
    </row>
    <row r="10" spans="1:6">
      <c r="A10" s="171">
        <v>3</v>
      </c>
      <c r="B10" s="235" t="s">
        <v>167</v>
      </c>
      <c r="C10" s="238">
        <f>'EIA412 OP &amp; MAINT'!E31</f>
        <v>170179.68</v>
      </c>
    </row>
    <row r="11" spans="1:6">
      <c r="A11" s="168">
        <v>4</v>
      </c>
      <c r="B11" s="239" t="s">
        <v>168</v>
      </c>
      <c r="C11" s="240">
        <f>'EIA412 ELECTRIC PLANT'!J19</f>
        <v>618918.14</v>
      </c>
      <c r="E11" t="s">
        <v>364</v>
      </c>
      <c r="F11" s="246" t="s">
        <v>364</v>
      </c>
    </row>
    <row r="12" spans="1:6">
      <c r="A12" s="171">
        <v>5</v>
      </c>
      <c r="B12" s="235" t="s">
        <v>169</v>
      </c>
      <c r="C12" s="237">
        <v>0</v>
      </c>
      <c r="E12" t="s">
        <v>364</v>
      </c>
    </row>
    <row r="13" spans="1:6">
      <c r="A13" s="171">
        <v>6</v>
      </c>
      <c r="B13" s="235" t="s">
        <v>170</v>
      </c>
      <c r="C13" s="238">
        <f>'EIA412 TAXES'!C18</f>
        <v>106000</v>
      </c>
    </row>
    <row r="14" spans="1:6">
      <c r="A14" s="171">
        <v>7</v>
      </c>
      <c r="B14" s="235" t="s">
        <v>171</v>
      </c>
      <c r="C14" s="238">
        <f>SUM(C9:C13)</f>
        <v>5248875.1399999997</v>
      </c>
    </row>
    <row r="15" spans="1:6">
      <c r="A15" s="168">
        <v>8</v>
      </c>
      <c r="B15" s="241" t="s">
        <v>172</v>
      </c>
      <c r="C15" s="242">
        <f>+C8-C14</f>
        <v>-293347.13999999966</v>
      </c>
    </row>
    <row r="16" spans="1:6">
      <c r="A16" s="171">
        <v>9</v>
      </c>
      <c r="B16" s="235" t="s">
        <v>173</v>
      </c>
      <c r="C16" s="243">
        <v>0</v>
      </c>
    </row>
    <row r="17" spans="1:7">
      <c r="A17" s="171">
        <v>10</v>
      </c>
      <c r="B17" s="235" t="s">
        <v>174</v>
      </c>
      <c r="C17" s="238">
        <f>+C16+C15</f>
        <v>-293347.13999999966</v>
      </c>
    </row>
    <row r="18" spans="1:7" ht="25.5">
      <c r="A18" s="171">
        <v>11</v>
      </c>
      <c r="B18" s="244" t="s">
        <v>175</v>
      </c>
      <c r="C18" s="237">
        <v>246098</v>
      </c>
    </row>
    <row r="19" spans="1:7">
      <c r="A19" s="171">
        <v>12</v>
      </c>
      <c r="B19" s="235" t="s">
        <v>176</v>
      </c>
      <c r="C19" s="243">
        <f>C36</f>
        <v>0</v>
      </c>
    </row>
    <row r="20" spans="1:7">
      <c r="A20" s="171">
        <v>13</v>
      </c>
      <c r="B20" s="235" t="s">
        <v>177</v>
      </c>
      <c r="C20" s="243">
        <v>0</v>
      </c>
    </row>
    <row r="21" spans="1:7">
      <c r="A21" s="171">
        <v>14</v>
      </c>
      <c r="B21" s="235" t="s">
        <v>178</v>
      </c>
      <c r="C21" s="243">
        <v>0</v>
      </c>
    </row>
    <row r="22" spans="1:7">
      <c r="A22" s="171">
        <v>15</v>
      </c>
      <c r="B22" s="245" t="s">
        <v>179</v>
      </c>
      <c r="C22" s="238">
        <f>+C17+C18-C19+C20-C21</f>
        <v>-47249.139999999665</v>
      </c>
    </row>
    <row r="23" spans="1:7">
      <c r="A23" s="171">
        <v>16</v>
      </c>
      <c r="B23" s="235" t="s">
        <v>180</v>
      </c>
      <c r="C23" s="237">
        <v>24632</v>
      </c>
    </row>
    <row r="24" spans="1:7">
      <c r="A24" s="171">
        <v>17</v>
      </c>
      <c r="B24" s="235" t="s">
        <v>181</v>
      </c>
      <c r="C24" s="237">
        <f>245960-C23-C13</f>
        <v>115328</v>
      </c>
    </row>
    <row r="25" spans="1:7">
      <c r="A25" s="171">
        <v>18</v>
      </c>
      <c r="B25" s="235" t="s">
        <v>182</v>
      </c>
      <c r="C25" s="243">
        <v>0</v>
      </c>
    </row>
    <row r="26" spans="1:7">
      <c r="A26" s="171">
        <v>19</v>
      </c>
      <c r="B26" s="245" t="s">
        <v>183</v>
      </c>
      <c r="C26" s="238">
        <f>SUM(C23:C25)</f>
        <v>139960</v>
      </c>
    </row>
    <row r="27" spans="1:7">
      <c r="A27" s="171">
        <v>20</v>
      </c>
      <c r="B27" s="245" t="s">
        <v>184</v>
      </c>
      <c r="C27" s="238">
        <f>+C22-C26</f>
        <v>-187209.13999999966</v>
      </c>
      <c r="E27" s="335" t="s">
        <v>364</v>
      </c>
    </row>
    <row r="28" spans="1:7">
      <c r="A28" s="171">
        <v>21</v>
      </c>
      <c r="B28" s="235" t="s">
        <v>185</v>
      </c>
      <c r="C28" s="243">
        <v>0</v>
      </c>
      <c r="F28" t="s">
        <v>364</v>
      </c>
      <c r="G28" t="s">
        <v>364</v>
      </c>
    </row>
    <row r="29" spans="1:7">
      <c r="A29" s="171">
        <v>22</v>
      </c>
      <c r="B29" s="235" t="s">
        <v>186</v>
      </c>
      <c r="C29" s="243">
        <v>0</v>
      </c>
      <c r="E29" t="s">
        <v>364</v>
      </c>
      <c r="F29" t="s">
        <v>364</v>
      </c>
      <c r="G29" t="s">
        <v>364</v>
      </c>
    </row>
    <row r="30" spans="1:7">
      <c r="A30" s="171">
        <v>23</v>
      </c>
      <c r="B30" s="245" t="s">
        <v>187</v>
      </c>
      <c r="C30" s="247">
        <f>+C27+C28-C29</f>
        <v>-187209.13999999966</v>
      </c>
      <c r="D30" t="s">
        <v>364</v>
      </c>
      <c r="E30" s="430">
        <f>-187209-C30</f>
        <v>0.13999999966472387</v>
      </c>
      <c r="F30" s="256" t="s">
        <v>364</v>
      </c>
      <c r="G30" s="246" t="s">
        <v>364</v>
      </c>
    </row>
    <row r="31" spans="1:7">
      <c r="A31" s="171">
        <v>24</v>
      </c>
      <c r="B31" s="235" t="s">
        <v>188</v>
      </c>
      <c r="C31" s="243">
        <v>0</v>
      </c>
    </row>
    <row r="32" spans="1:7">
      <c r="A32" s="171">
        <v>25</v>
      </c>
      <c r="B32" s="235" t="s">
        <v>189</v>
      </c>
      <c r="C32" s="243">
        <f>C23+30000</f>
        <v>54632</v>
      </c>
    </row>
    <row r="33" spans="1:3">
      <c r="A33" s="171">
        <v>26</v>
      </c>
      <c r="B33" s="235" t="s">
        <v>190</v>
      </c>
      <c r="C33" s="243">
        <v>0</v>
      </c>
    </row>
    <row r="34" spans="1:3">
      <c r="A34" s="171">
        <v>27</v>
      </c>
      <c r="B34" s="235" t="s">
        <v>191</v>
      </c>
      <c r="C34" s="243">
        <v>0</v>
      </c>
    </row>
    <row r="35" spans="1:3">
      <c r="A35" s="171">
        <v>28</v>
      </c>
      <c r="B35" s="235" t="s">
        <v>192</v>
      </c>
      <c r="C35" s="387">
        <f>+C31+C32+C33+C34</f>
        <v>54632</v>
      </c>
    </row>
    <row r="36" spans="1:3">
      <c r="A36" s="171">
        <v>29</v>
      </c>
      <c r="B36" s="235" t="s">
        <v>193</v>
      </c>
      <c r="C36" s="243">
        <v>0</v>
      </c>
    </row>
    <row r="37" spans="1:3">
      <c r="C37"/>
    </row>
    <row r="38" spans="1:3">
      <c r="A38" t="s">
        <v>194</v>
      </c>
      <c r="C38"/>
    </row>
    <row r="39" spans="1:3">
      <c r="A39" t="s">
        <v>195</v>
      </c>
      <c r="C39"/>
    </row>
    <row r="40" spans="1:3">
      <c r="C40"/>
    </row>
    <row r="41" spans="1:3">
      <c r="C41"/>
    </row>
    <row r="42" spans="1:3">
      <c r="B42" s="386" t="s">
        <v>364</v>
      </c>
      <c r="C42"/>
    </row>
    <row r="43" spans="1:3">
      <c r="C43" s="248"/>
    </row>
    <row r="44" spans="1:3">
      <c r="C44" s="248"/>
    </row>
    <row r="45" spans="1:3">
      <c r="B45" t="s">
        <v>364</v>
      </c>
      <c r="C45" s="248"/>
    </row>
    <row r="46" spans="1:3">
      <c r="C46" s="248"/>
    </row>
    <row r="47" spans="1:3">
      <c r="C47" s="248"/>
    </row>
    <row r="48" spans="1:3">
      <c r="C48" s="248"/>
    </row>
    <row r="49" spans="3:3">
      <c r="C49" s="248"/>
    </row>
    <row r="50" spans="3:3">
      <c r="C50" s="248"/>
    </row>
    <row r="51" spans="3:3">
      <c r="C51" s="248"/>
    </row>
    <row r="52" spans="3:3">
      <c r="C52" s="248"/>
    </row>
  </sheetData>
  <mergeCells count="4">
    <mergeCell ref="A1:C1"/>
    <mergeCell ref="A2:C2"/>
    <mergeCell ref="A3:C3"/>
    <mergeCell ref="A5:C5"/>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workbookViewId="0">
      <selection activeCell="I5" sqref="I4:I5"/>
    </sheetView>
  </sheetViews>
  <sheetFormatPr defaultRowHeight="12.75"/>
  <cols>
    <col min="1" max="1" width="6.7109375" customWidth="1"/>
    <col min="2" max="2" width="38.5703125" customWidth="1"/>
    <col min="3" max="3" width="18.28515625" customWidth="1"/>
    <col min="4" max="6" width="15.7109375" customWidth="1"/>
    <col min="7" max="7" width="18.28515625" customWidth="1"/>
    <col min="8" max="8" width="10.7109375" bestFit="1" customWidth="1"/>
    <col min="9" max="9" width="12.85546875" bestFit="1" customWidth="1"/>
    <col min="10" max="10" width="11.28515625" bestFit="1" customWidth="1"/>
  </cols>
  <sheetData>
    <row r="1" spans="1:10" ht="15">
      <c r="A1" s="635" t="str">
        <f>'EIA412 BALANCE SHEET'!A1:F1</f>
        <v>Delano</v>
      </c>
      <c r="B1" s="635"/>
      <c r="C1" s="635"/>
      <c r="D1" s="635"/>
      <c r="E1" s="635"/>
      <c r="F1" s="635"/>
      <c r="G1" s="635"/>
    </row>
    <row r="2" spans="1:10" ht="15">
      <c r="A2" s="632" t="s">
        <v>54</v>
      </c>
      <c r="B2" s="632"/>
      <c r="C2" s="632"/>
      <c r="D2" s="632"/>
      <c r="E2" s="632"/>
      <c r="F2" s="632"/>
      <c r="G2" s="632"/>
    </row>
    <row r="3" spans="1:10" ht="15">
      <c r="A3" s="549"/>
      <c r="B3" s="549"/>
      <c r="C3" s="632" t="s">
        <v>1077</v>
      </c>
      <c r="D3" s="632"/>
      <c r="E3" s="549"/>
      <c r="F3" s="549"/>
      <c r="G3" s="549"/>
    </row>
    <row r="4" spans="1:10" ht="15">
      <c r="A4" s="635">
        <f>'EIA412 BALANCE SHEET'!A3:F3</f>
        <v>42004</v>
      </c>
      <c r="B4" s="635"/>
      <c r="C4" s="635"/>
      <c r="D4" s="635"/>
      <c r="E4" s="635"/>
      <c r="F4" s="635"/>
      <c r="G4" s="635"/>
    </row>
    <row r="5" spans="1:10">
      <c r="A5" s="26"/>
      <c r="B5" s="26"/>
      <c r="C5" s="26"/>
    </row>
    <row r="6" spans="1:10" ht="15">
      <c r="A6" s="634" t="s">
        <v>61</v>
      </c>
      <c r="B6" s="634"/>
      <c r="C6" s="634"/>
      <c r="D6" s="634"/>
      <c r="E6" s="634"/>
      <c r="F6" s="634"/>
      <c r="G6" s="634"/>
    </row>
    <row r="7" spans="1:10">
      <c r="A7" s="250" t="s">
        <v>593</v>
      </c>
      <c r="B7" s="250"/>
      <c r="C7" s="250" t="s">
        <v>196</v>
      </c>
      <c r="D7" s="250"/>
      <c r="E7" s="250"/>
      <c r="F7" s="250"/>
      <c r="G7" s="250" t="s">
        <v>197</v>
      </c>
    </row>
    <row r="8" spans="1:10">
      <c r="A8" s="171" t="s">
        <v>595</v>
      </c>
      <c r="B8" s="171"/>
      <c r="C8" s="171" t="s">
        <v>198</v>
      </c>
      <c r="D8" s="171" t="s">
        <v>373</v>
      </c>
      <c r="E8" s="171" t="s">
        <v>199</v>
      </c>
      <c r="F8" s="171" t="s">
        <v>200</v>
      </c>
      <c r="G8" s="171" t="s">
        <v>198</v>
      </c>
    </row>
    <row r="9" spans="1:10" ht="20.100000000000001" customHeight="1">
      <c r="A9" s="185">
        <v>1</v>
      </c>
      <c r="B9" s="183" t="s">
        <v>201</v>
      </c>
      <c r="C9" s="251">
        <v>0</v>
      </c>
      <c r="D9" s="296">
        <v>0</v>
      </c>
      <c r="E9" s="296">
        <v>0</v>
      </c>
      <c r="F9" s="296">
        <v>0</v>
      </c>
      <c r="G9" s="253">
        <f>+C9+D9+E9+F9</f>
        <v>0</v>
      </c>
    </row>
    <row r="10" spans="1:10" s="600" customFormat="1" ht="8.25" customHeight="1">
      <c r="A10" s="602"/>
      <c r="B10" s="183"/>
      <c r="C10" s="251"/>
      <c r="D10" s="296"/>
      <c r="E10" s="296"/>
      <c r="F10" s="296"/>
      <c r="G10" s="253"/>
    </row>
    <row r="11" spans="1:10" ht="20.100000000000001" customHeight="1">
      <c r="A11" s="185">
        <v>2</v>
      </c>
      <c r="B11" s="183" t="s">
        <v>202</v>
      </c>
      <c r="C11" s="255">
        <v>0</v>
      </c>
      <c r="D11" s="296">
        <v>0</v>
      </c>
      <c r="E11" s="296">
        <v>0</v>
      </c>
      <c r="F11" s="296">
        <v>0</v>
      </c>
      <c r="G11" s="253">
        <f>+C11+D11+E11+F11</f>
        <v>0</v>
      </c>
      <c r="J11" s="1">
        <v>2014</v>
      </c>
    </row>
    <row r="12" spans="1:10" ht="20.100000000000001" customHeight="1">
      <c r="A12" s="185">
        <v>3</v>
      </c>
      <c r="B12" s="183" t="s">
        <v>203</v>
      </c>
      <c r="C12" s="251">
        <v>0</v>
      </c>
      <c r="D12" s="296">
        <v>0</v>
      </c>
      <c r="E12" s="296">
        <v>0</v>
      </c>
      <c r="F12" s="296">
        <v>0</v>
      </c>
      <c r="G12" s="253">
        <f t="shared" ref="G12:G24" si="0">+C12+D12+E12+F12</f>
        <v>0</v>
      </c>
      <c r="I12" t="s">
        <v>205</v>
      </c>
      <c r="J12" s="1" t="s">
        <v>320</v>
      </c>
    </row>
    <row r="13" spans="1:10" ht="15.75" customHeight="1">
      <c r="A13" s="185">
        <v>4</v>
      </c>
      <c r="B13" s="183" t="s">
        <v>204</v>
      </c>
      <c r="C13" s="251">
        <v>0</v>
      </c>
      <c r="D13" s="296">
        <v>0</v>
      </c>
      <c r="E13" s="296">
        <v>0</v>
      </c>
      <c r="F13" s="296">
        <v>0</v>
      </c>
      <c r="G13" s="253">
        <f t="shared" si="0"/>
        <v>0</v>
      </c>
      <c r="I13" s="256">
        <v>0</v>
      </c>
    </row>
    <row r="14" spans="1:10" ht="20.100000000000001" customHeight="1">
      <c r="A14" s="185">
        <v>5</v>
      </c>
      <c r="B14" s="202" t="s">
        <v>1076</v>
      </c>
      <c r="C14" s="440">
        <v>8561084.3100000005</v>
      </c>
      <c r="D14" s="552">
        <f>'DS5_Plant Detail 2014'!C413</f>
        <v>46650.700000000004</v>
      </c>
      <c r="E14" s="296">
        <f>-'DS5_Plant Detail 2014'!C436</f>
        <v>0</v>
      </c>
      <c r="F14" s="296">
        <v>0</v>
      </c>
      <c r="G14" s="253">
        <f>C14+D14+E14+F14</f>
        <v>8607735.0099999998</v>
      </c>
      <c r="I14" s="554">
        <f>'DS5_Plant Detail 2014'!G382</f>
        <v>4235944.5357142854</v>
      </c>
      <c r="J14" s="555">
        <f>DS3_Depreciation!G10</f>
        <v>259693.20000000004</v>
      </c>
    </row>
    <row r="15" spans="1:10" ht="20.100000000000001" customHeight="1">
      <c r="A15" s="185">
        <v>6</v>
      </c>
      <c r="B15" s="219" t="s">
        <v>206</v>
      </c>
      <c r="C15" s="257">
        <v>8561084.3100000005</v>
      </c>
      <c r="D15" s="552">
        <f>SUM(D11:D14)</f>
        <v>46650.700000000004</v>
      </c>
      <c r="E15" s="552">
        <f>SUM(E11:E14)</f>
        <v>0</v>
      </c>
      <c r="F15" s="552">
        <f>SUM(F11:F14)</f>
        <v>0</v>
      </c>
      <c r="G15" s="258">
        <f>SUM(G11:G14)</f>
        <v>8607735.0099999998</v>
      </c>
      <c r="I15" s="554">
        <f>'DS5_Plant Detail 2014'!G383</f>
        <v>1687057.1</v>
      </c>
      <c r="J15" s="555">
        <f>DS3_Depreciation!G11</f>
        <v>89470.199999999983</v>
      </c>
    </row>
    <row r="16" spans="1:10" s="600" customFormat="1" ht="9.75" customHeight="1">
      <c r="A16" s="602"/>
      <c r="B16" s="219"/>
      <c r="C16" s="257"/>
      <c r="D16" s="552"/>
      <c r="E16" s="552"/>
      <c r="F16" s="552"/>
      <c r="G16" s="258"/>
      <c r="I16" s="554"/>
      <c r="J16" s="555"/>
    </row>
    <row r="17" spans="1:10" ht="20.100000000000001" customHeight="1">
      <c r="A17" s="185">
        <v>7</v>
      </c>
      <c r="B17" s="183" t="s">
        <v>207</v>
      </c>
      <c r="C17" s="440">
        <v>2738706</v>
      </c>
      <c r="D17" s="552">
        <f>'DS5_Plant Detail 2014'!C414</f>
        <v>0</v>
      </c>
      <c r="E17" s="296">
        <f>-'DS5_Plant Detail 2014'!C437</f>
        <v>0</v>
      </c>
      <c r="F17" s="296">
        <v>0</v>
      </c>
      <c r="G17" s="253">
        <f>C17+D17+E17+F17</f>
        <v>2738706</v>
      </c>
      <c r="I17" s="554">
        <f>'DS5_Plant Detail 2014'!G384</f>
        <v>1629188.7640000002</v>
      </c>
      <c r="J17" s="555">
        <f>DS3_Depreciation!G12</f>
        <v>156307.14999999997</v>
      </c>
    </row>
    <row r="18" spans="1:10" ht="20.100000000000001" customHeight="1">
      <c r="A18" s="185">
        <v>8</v>
      </c>
      <c r="B18" s="183" t="s">
        <v>208</v>
      </c>
      <c r="C18" s="440">
        <v>5610967.5300000003</v>
      </c>
      <c r="D18" s="552">
        <f>'DS5_Plant Detail 2014'!C415-F18</f>
        <v>253525.3</v>
      </c>
      <c r="E18" s="296">
        <f>-'DS5_Plant Detail 2014'!C438</f>
        <v>0</v>
      </c>
      <c r="F18" s="296">
        <f>-F27</f>
        <v>0</v>
      </c>
      <c r="G18" s="253">
        <f>C18+D18+E18+F18</f>
        <v>5864492.8300000001</v>
      </c>
      <c r="I18" s="554">
        <f>'DS5_Plant Detail 2014'!G385</f>
        <v>1113775.2962432767</v>
      </c>
      <c r="J18" s="555">
        <f>DS3_Depreciation!G13</f>
        <v>113447.58999999998</v>
      </c>
    </row>
    <row r="19" spans="1:10">
      <c r="A19" s="185">
        <v>9</v>
      </c>
      <c r="B19" s="183" t="s">
        <v>209</v>
      </c>
      <c r="C19" s="440">
        <v>1830577.49</v>
      </c>
      <c r="D19" s="552">
        <f>'DS5_Plant Detail 2014'!C416</f>
        <v>105572.28</v>
      </c>
      <c r="E19" s="296">
        <f>-'DS5_Plant Detail 2014'!C439</f>
        <v>-81387.66</v>
      </c>
      <c r="F19" s="296">
        <v>0</v>
      </c>
      <c r="G19" s="253">
        <f>C19+D19+E19+F19</f>
        <v>1854762.11</v>
      </c>
      <c r="I19" s="256">
        <f>SUM(I14:I18)</f>
        <v>8665965.695957562</v>
      </c>
      <c r="J19" s="256">
        <f>SUM(J14:J18)</f>
        <v>618918.14</v>
      </c>
    </row>
    <row r="20" spans="1:10" ht="28.5" customHeight="1">
      <c r="A20" s="185">
        <v>10</v>
      </c>
      <c r="B20" s="259" t="s">
        <v>210</v>
      </c>
      <c r="C20" s="257">
        <v>18741335.330000002</v>
      </c>
      <c r="D20" s="552">
        <f>SUM(D15:D19)</f>
        <v>405748.28</v>
      </c>
      <c r="E20" s="552">
        <f>SUM(E15:E19)</f>
        <v>-81387.66</v>
      </c>
      <c r="F20" s="552">
        <f>SUM(F15:F19)</f>
        <v>0</v>
      </c>
      <c r="G20" s="253">
        <f>SUM(C20:F20)</f>
        <v>19065695.950000003</v>
      </c>
      <c r="I20" s="246" t="s">
        <v>364</v>
      </c>
      <c r="J20" t="s">
        <v>364</v>
      </c>
    </row>
    <row r="21" spans="1:10" s="600" customFormat="1" ht="8.25" customHeight="1">
      <c r="A21" s="602"/>
      <c r="B21" s="259"/>
      <c r="C21" s="257"/>
      <c r="D21" s="552"/>
      <c r="E21" s="552"/>
      <c r="F21" s="552"/>
      <c r="G21" s="253"/>
      <c r="I21" s="246"/>
    </row>
    <row r="22" spans="1:10" ht="20.100000000000001" customHeight="1">
      <c r="A22" s="185">
        <v>11</v>
      </c>
      <c r="B22" s="183" t="s">
        <v>211</v>
      </c>
      <c r="C22" s="251">
        <v>0</v>
      </c>
      <c r="D22" s="296">
        <v>0</v>
      </c>
      <c r="E22" s="296">
        <v>0</v>
      </c>
      <c r="F22" s="296">
        <v>0</v>
      </c>
      <c r="G22" s="253">
        <f t="shared" si="0"/>
        <v>0</v>
      </c>
      <c r="I22" s="246" t="s">
        <v>364</v>
      </c>
      <c r="J22" t="s">
        <v>364</v>
      </c>
    </row>
    <row r="23" spans="1:10">
      <c r="A23" s="185">
        <v>12</v>
      </c>
      <c r="B23" s="183" t="s">
        <v>212</v>
      </c>
      <c r="C23" s="251">
        <v>0</v>
      </c>
      <c r="D23" s="296">
        <v>0</v>
      </c>
      <c r="E23" s="296">
        <v>0</v>
      </c>
      <c r="F23" s="296">
        <v>0</v>
      </c>
      <c r="G23" s="258">
        <f t="shared" si="0"/>
        <v>0</v>
      </c>
      <c r="I23" s="246" t="s">
        <v>364</v>
      </c>
    </row>
    <row r="24" spans="1:10" ht="25.5">
      <c r="A24" s="185">
        <v>13</v>
      </c>
      <c r="B24" s="202" t="s">
        <v>213</v>
      </c>
      <c r="C24" s="251">
        <v>0</v>
      </c>
      <c r="D24" s="296">
        <v>0</v>
      </c>
      <c r="E24" s="296">
        <v>0</v>
      </c>
      <c r="F24" s="296">
        <v>0</v>
      </c>
      <c r="G24" s="253">
        <f t="shared" si="0"/>
        <v>0</v>
      </c>
      <c r="I24" s="246" t="s">
        <v>364</v>
      </c>
    </row>
    <row r="25" spans="1:10" ht="30" customHeight="1">
      <c r="A25" s="185">
        <v>14</v>
      </c>
      <c r="B25" s="259" t="s">
        <v>214</v>
      </c>
      <c r="C25" s="255">
        <v>18741335.330000002</v>
      </c>
      <c r="D25" s="553">
        <f>SUM(D20:D24)</f>
        <v>405748.28</v>
      </c>
      <c r="E25" s="553">
        <f>SUM(E20:E24)</f>
        <v>-81387.66</v>
      </c>
      <c r="F25" s="553">
        <f>SUM(F20:F24)</f>
        <v>0</v>
      </c>
      <c r="G25" s="253">
        <f>+C25+D25+E25+F25</f>
        <v>19065695.950000003</v>
      </c>
      <c r="H25" s="397"/>
      <c r="I25" s="400"/>
    </row>
    <row r="26" spans="1:10" s="600" customFormat="1" ht="11.25" customHeight="1">
      <c r="A26" s="602"/>
      <c r="B26" s="259"/>
      <c r="C26" s="255"/>
      <c r="D26" s="553"/>
      <c r="E26" s="553"/>
      <c r="F26" s="553"/>
      <c r="G26" s="253"/>
      <c r="H26" s="643"/>
      <c r="I26" s="400"/>
    </row>
    <row r="27" spans="1:10">
      <c r="A27" s="185">
        <v>15</v>
      </c>
      <c r="B27" s="183" t="s">
        <v>215</v>
      </c>
      <c r="C27" s="252">
        <v>529864</v>
      </c>
      <c r="D27" s="296">
        <v>276876</v>
      </c>
      <c r="E27" s="296">
        <v>-292369</v>
      </c>
      <c r="F27" s="296">
        <f>529864-C27</f>
        <v>0</v>
      </c>
      <c r="G27" s="253">
        <f>+C27+D27+E27+F27</f>
        <v>514371</v>
      </c>
      <c r="I27" s="246">
        <f>G28-I19</f>
        <v>10914101.254042441</v>
      </c>
      <c r="J27" t="s">
        <v>948</v>
      </c>
    </row>
    <row r="28" spans="1:10" ht="28.5" customHeight="1">
      <c r="A28" s="185">
        <v>16</v>
      </c>
      <c r="B28" s="259" t="s">
        <v>216</v>
      </c>
      <c r="C28" s="253">
        <v>19271199.330000002</v>
      </c>
      <c r="D28" s="253">
        <f>SUM(D25:D27)</f>
        <v>682624.28</v>
      </c>
      <c r="E28" s="253">
        <f>SUM(E25:E27)</f>
        <v>-373756.66000000003</v>
      </c>
      <c r="F28" s="253">
        <f>SUM(F25:F27)</f>
        <v>0</v>
      </c>
      <c r="G28" s="253">
        <f>+C28+D28+E28+F28</f>
        <v>19580066.950000003</v>
      </c>
    </row>
    <row r="29" spans="1:10">
      <c r="B29" s="600" t="s">
        <v>1075</v>
      </c>
      <c r="G29" s="246" t="s">
        <v>364</v>
      </c>
    </row>
    <row r="30" spans="1:10">
      <c r="C30" t="s">
        <v>364</v>
      </c>
      <c r="F30" s="246" t="s">
        <v>364</v>
      </c>
      <c r="G30" s="246" t="s">
        <v>364</v>
      </c>
    </row>
    <row r="31" spans="1:10">
      <c r="G31" t="s">
        <v>364</v>
      </c>
    </row>
    <row r="32" spans="1:10">
      <c r="G32" s="246" t="s">
        <v>364</v>
      </c>
    </row>
  </sheetData>
  <mergeCells count="5">
    <mergeCell ref="A1:G1"/>
    <mergeCell ref="A2:G2"/>
    <mergeCell ref="A4:G4"/>
    <mergeCell ref="A6:G6"/>
    <mergeCell ref="C3:D3"/>
  </mergeCells>
  <phoneticPr fontId="2" type="noConversion"/>
  <pageMargins left="0.75" right="0.75" top="1" bottom="1" header="0.5" footer="0.5"/>
  <pageSetup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C18" sqref="C18"/>
    </sheetView>
  </sheetViews>
  <sheetFormatPr defaultRowHeight="12.75"/>
  <cols>
    <col min="2" max="2" width="86.140625" customWidth="1"/>
    <col min="3" max="3" width="15.7109375" bestFit="1" customWidth="1"/>
  </cols>
  <sheetData>
    <row r="1" spans="1:7" ht="15">
      <c r="A1" s="635" t="str">
        <f>'EIA412 BALANCE SHEET'!A1:F1</f>
        <v>Delano</v>
      </c>
      <c r="B1" s="635"/>
      <c r="C1" s="635"/>
      <c r="D1" s="260"/>
      <c r="E1" s="260"/>
      <c r="F1" s="260"/>
      <c r="G1" s="260"/>
    </row>
    <row r="2" spans="1:7" ht="15">
      <c r="A2" s="632" t="s">
        <v>54</v>
      </c>
      <c r="B2" s="632"/>
      <c r="C2" s="632"/>
      <c r="D2" s="58"/>
      <c r="E2" s="58"/>
      <c r="F2" s="58"/>
      <c r="G2" s="58"/>
    </row>
    <row r="3" spans="1:7" ht="15">
      <c r="A3" s="635">
        <f>'EIA412 BALANCE SHEET'!A3:F3</f>
        <v>42004</v>
      </c>
      <c r="B3" s="635"/>
      <c r="C3" s="635"/>
      <c r="D3" s="260"/>
      <c r="E3" s="260"/>
      <c r="F3" s="260"/>
      <c r="G3" s="260"/>
    </row>
    <row r="4" spans="1:7" ht="15">
      <c r="A4" s="228"/>
      <c r="B4" s="228"/>
      <c r="C4" s="228"/>
      <c r="D4" s="228"/>
      <c r="E4" s="228"/>
      <c r="F4" s="228"/>
      <c r="G4" s="228"/>
    </row>
    <row r="5" spans="1:7" ht="15">
      <c r="A5" s="228"/>
      <c r="B5" s="228"/>
      <c r="C5" s="228"/>
      <c r="D5" s="228"/>
      <c r="E5" s="228"/>
      <c r="F5" s="228"/>
      <c r="G5" s="228"/>
    </row>
    <row r="6" spans="1:7">
      <c r="A6" s="636" t="s">
        <v>217</v>
      </c>
      <c r="B6" s="637"/>
      <c r="C6" s="638"/>
    </row>
    <row r="7" spans="1:7">
      <c r="A7" s="1" t="s">
        <v>218</v>
      </c>
    </row>
    <row r="8" spans="1:7">
      <c r="A8" s="1" t="s">
        <v>59</v>
      </c>
    </row>
    <row r="9" spans="1:7">
      <c r="A9" s="636" t="s">
        <v>219</v>
      </c>
      <c r="B9" s="637"/>
      <c r="C9" s="638"/>
    </row>
    <row r="10" spans="1:7">
      <c r="A10" s="261">
        <v>1</v>
      </c>
      <c r="B10" s="261" t="s">
        <v>220</v>
      </c>
      <c r="C10" s="262">
        <v>106000</v>
      </c>
    </row>
    <row r="11" spans="1:7">
      <c r="A11" s="175">
        <v>2</v>
      </c>
      <c r="B11" s="175" t="s">
        <v>221</v>
      </c>
      <c r="C11" s="175"/>
    </row>
    <row r="12" spans="1:7">
      <c r="A12" s="175">
        <v>3</v>
      </c>
      <c r="B12" s="175" t="s">
        <v>222</v>
      </c>
      <c r="C12" s="263">
        <f>C10+C11</f>
        <v>106000</v>
      </c>
    </row>
    <row r="13" spans="1:7">
      <c r="A13" s="175">
        <v>4</v>
      </c>
      <c r="B13" s="175" t="s">
        <v>223</v>
      </c>
      <c r="C13" s="175"/>
    </row>
    <row r="14" spans="1:7">
      <c r="A14" s="175">
        <v>5</v>
      </c>
      <c r="B14" s="175" t="s">
        <v>224</v>
      </c>
      <c r="C14" s="175"/>
    </row>
    <row r="15" spans="1:7">
      <c r="A15" s="175">
        <v>6</v>
      </c>
      <c r="B15" s="175" t="s">
        <v>225</v>
      </c>
      <c r="C15" s="175">
        <f>C13+C14</f>
        <v>0</v>
      </c>
    </row>
    <row r="16" spans="1:7">
      <c r="A16" s="175">
        <v>7</v>
      </c>
      <c r="B16" s="175" t="s">
        <v>226</v>
      </c>
      <c r="C16" s="175"/>
    </row>
    <row r="17" spans="1:3">
      <c r="A17" s="175">
        <v>8</v>
      </c>
      <c r="B17" s="175" t="s">
        <v>227</v>
      </c>
      <c r="C17" s="175"/>
    </row>
    <row r="18" spans="1:3">
      <c r="A18" s="179">
        <v>9</v>
      </c>
      <c r="B18" s="179" t="s">
        <v>228</v>
      </c>
      <c r="C18" s="264">
        <f>C12+C15+C16+C17</f>
        <v>106000</v>
      </c>
    </row>
    <row r="19" spans="1:3">
      <c r="A19" s="636" t="s">
        <v>229</v>
      </c>
      <c r="B19" s="637"/>
      <c r="C19" s="638"/>
    </row>
    <row r="20" spans="1:3">
      <c r="A20" s="261">
        <v>10</v>
      </c>
      <c r="B20" s="265" t="s">
        <v>230</v>
      </c>
      <c r="C20" s="233"/>
    </row>
    <row r="21" spans="1:3">
      <c r="A21" s="175">
        <v>11</v>
      </c>
      <c r="B21" s="266" t="s">
        <v>231</v>
      </c>
      <c r="C21" s="170"/>
    </row>
    <row r="22" spans="1:3">
      <c r="A22" s="175">
        <v>12</v>
      </c>
      <c r="B22" s="266" t="s">
        <v>232</v>
      </c>
      <c r="C22" s="170"/>
    </row>
    <row r="23" spans="1:3">
      <c r="A23" s="175">
        <v>13</v>
      </c>
      <c r="B23" s="266" t="s">
        <v>233</v>
      </c>
      <c r="C23" s="170"/>
    </row>
    <row r="24" spans="1:3">
      <c r="A24" s="179">
        <v>14</v>
      </c>
      <c r="B24" s="267" t="s">
        <v>234</v>
      </c>
      <c r="C24" s="235">
        <f>SUM(C20:C23)</f>
        <v>0</v>
      </c>
    </row>
    <row r="25" spans="1:3">
      <c r="A25" s="636" t="s">
        <v>235</v>
      </c>
      <c r="B25" s="637"/>
      <c r="C25" s="638"/>
    </row>
    <row r="26" spans="1:3">
      <c r="A26" s="261">
        <v>15</v>
      </c>
      <c r="B26" s="261" t="s">
        <v>236</v>
      </c>
      <c r="C26" s="261"/>
    </row>
    <row r="27" spans="1:3">
      <c r="A27" s="175">
        <v>16</v>
      </c>
      <c r="B27" s="175" t="s">
        <v>237</v>
      </c>
      <c r="C27" s="175"/>
    </row>
    <row r="28" spans="1:3">
      <c r="A28" s="175">
        <v>17</v>
      </c>
      <c r="B28" s="175" t="s">
        <v>238</v>
      </c>
      <c r="C28" s="175"/>
    </row>
    <row r="29" spans="1:3">
      <c r="A29" s="175">
        <v>18</v>
      </c>
      <c r="B29" s="175" t="s">
        <v>233</v>
      </c>
      <c r="C29" s="175"/>
    </row>
    <row r="30" spans="1:3">
      <c r="A30" s="175">
        <v>19</v>
      </c>
      <c r="B30" s="175" t="s">
        <v>239</v>
      </c>
      <c r="C30" s="175">
        <f>SUM(C26:C29)</f>
        <v>0</v>
      </c>
    </row>
    <row r="31" spans="1:3" ht="27" customHeight="1">
      <c r="A31" s="179">
        <v>20</v>
      </c>
      <c r="B31" s="268" t="s">
        <v>240</v>
      </c>
      <c r="C31" s="179">
        <f>C24-C30</f>
        <v>0</v>
      </c>
    </row>
  </sheetData>
  <mergeCells count="7">
    <mergeCell ref="A9:C9"/>
    <mergeCell ref="A19:C19"/>
    <mergeCell ref="A25:C25"/>
    <mergeCell ref="A1:C1"/>
    <mergeCell ref="A2:C2"/>
    <mergeCell ref="A3:C3"/>
    <mergeCell ref="A6:C6"/>
  </mergeCells>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19" zoomScale="120" zoomScaleNormal="120" workbookViewId="0">
      <selection activeCell="I31" sqref="I31"/>
    </sheetView>
  </sheetViews>
  <sheetFormatPr defaultRowHeight="12.75"/>
  <cols>
    <col min="1" max="1" width="6.7109375" customWidth="1"/>
    <col min="2" max="2" width="29.5703125" customWidth="1"/>
    <col min="3" max="3" width="18.7109375" customWidth="1"/>
    <col min="4" max="4" width="18.5703125" customWidth="1"/>
    <col min="5" max="6" width="15.7109375" customWidth="1"/>
  </cols>
  <sheetData>
    <row r="1" spans="1:7" ht="15">
      <c r="A1" s="635" t="str">
        <f>'EIA412 BALANCE SHEET'!A1:F1</f>
        <v>Delano</v>
      </c>
      <c r="B1" s="635"/>
      <c r="C1" s="635"/>
      <c r="D1" s="635"/>
      <c r="E1" s="635"/>
      <c r="F1" s="635"/>
      <c r="G1" s="67"/>
    </row>
    <row r="2" spans="1:7" ht="15">
      <c r="A2" s="632" t="s">
        <v>54</v>
      </c>
      <c r="B2" s="632"/>
      <c r="C2" s="632"/>
      <c r="D2" s="632"/>
      <c r="E2" s="632"/>
      <c r="F2" s="632"/>
      <c r="G2" s="67"/>
    </row>
    <row r="3" spans="1:7" ht="15">
      <c r="A3" s="635">
        <f>'EIA412 BALANCE SHEET'!A3:F3</f>
        <v>42004</v>
      </c>
      <c r="B3" s="635"/>
      <c r="C3" s="635"/>
      <c r="D3" s="635"/>
      <c r="E3" s="635"/>
      <c r="F3" s="635"/>
      <c r="G3" s="228"/>
    </row>
    <row r="5" spans="1:7">
      <c r="A5" s="641" t="s">
        <v>241</v>
      </c>
      <c r="B5" s="641"/>
      <c r="C5" s="641"/>
      <c r="D5" s="641"/>
      <c r="E5" s="641"/>
      <c r="F5" s="641"/>
    </row>
    <row r="6" spans="1:7">
      <c r="A6" s="169" t="s">
        <v>593</v>
      </c>
      <c r="B6" s="169"/>
      <c r="C6" s="169"/>
      <c r="D6" s="169"/>
      <c r="E6" s="169"/>
      <c r="F6" s="169"/>
    </row>
    <row r="7" spans="1:7" ht="13.5" thickBot="1">
      <c r="A7" s="171" t="s">
        <v>59</v>
      </c>
      <c r="B7" s="171"/>
      <c r="C7" s="169" t="s">
        <v>242</v>
      </c>
      <c r="D7" s="171" t="s">
        <v>243</v>
      </c>
      <c r="E7" s="171" t="s">
        <v>244</v>
      </c>
      <c r="F7" s="171" t="s">
        <v>324</v>
      </c>
    </row>
    <row r="8" spans="1:7">
      <c r="A8" s="170">
        <v>1</v>
      </c>
      <c r="B8" s="5" t="s">
        <v>245</v>
      </c>
      <c r="C8" s="269"/>
      <c r="D8" s="270"/>
      <c r="E8" s="270"/>
      <c r="F8" s="270"/>
    </row>
    <row r="9" spans="1:7">
      <c r="A9" s="235"/>
      <c r="B9" s="218" t="s">
        <v>246</v>
      </c>
      <c r="C9" s="271">
        <v>0</v>
      </c>
      <c r="D9" s="272">
        <v>0</v>
      </c>
      <c r="E9" s="272">
        <v>0</v>
      </c>
      <c r="F9" s="273">
        <f>SUM(C9:E9)</f>
        <v>0</v>
      </c>
    </row>
    <row r="10" spans="1:7" ht="25.5">
      <c r="A10" s="235">
        <v>2</v>
      </c>
      <c r="B10" s="274" t="s">
        <v>247</v>
      </c>
      <c r="C10" s="271">
        <v>0</v>
      </c>
      <c r="D10" s="272">
        <v>0</v>
      </c>
      <c r="E10" s="272">
        <v>0</v>
      </c>
      <c r="F10" s="273">
        <f>SUM(C10:E10)</f>
        <v>0</v>
      </c>
    </row>
    <row r="11" spans="1:7">
      <c r="A11" s="170">
        <v>3</v>
      </c>
      <c r="B11" s="5" t="s">
        <v>248</v>
      </c>
      <c r="C11" s="275"/>
      <c r="D11" s="270"/>
      <c r="E11" s="270"/>
      <c r="F11" s="270"/>
    </row>
    <row r="12" spans="1:7">
      <c r="A12" s="235"/>
      <c r="B12" s="218" t="s">
        <v>249</v>
      </c>
      <c r="C12" s="271">
        <v>0</v>
      </c>
      <c r="D12" s="272">
        <v>0</v>
      </c>
      <c r="E12" s="272">
        <v>0</v>
      </c>
      <c r="F12" s="273">
        <f>SUM(C12:E12)</f>
        <v>0</v>
      </c>
    </row>
    <row r="13" spans="1:7">
      <c r="A13" s="276">
        <v>4</v>
      </c>
      <c r="B13" s="277" t="s">
        <v>250</v>
      </c>
      <c r="C13" s="275"/>
      <c r="D13" s="270"/>
      <c r="E13" s="270"/>
      <c r="F13" s="270"/>
    </row>
    <row r="14" spans="1:7">
      <c r="A14" s="276"/>
      <c r="B14" s="278" t="s">
        <v>251</v>
      </c>
      <c r="C14" s="275"/>
      <c r="D14" s="270"/>
      <c r="E14" s="270"/>
      <c r="F14" s="270"/>
    </row>
    <row r="15" spans="1:7">
      <c r="A15" s="235"/>
      <c r="B15" s="279" t="s">
        <v>252</v>
      </c>
      <c r="C15" s="271">
        <f>324+6602</f>
        <v>6926</v>
      </c>
      <c r="D15" s="272">
        <v>0</v>
      </c>
      <c r="E15" s="272">
        <v>0</v>
      </c>
      <c r="F15" s="273">
        <f>SUM(C15:E15)</f>
        <v>6926</v>
      </c>
    </row>
    <row r="16" spans="1:7">
      <c r="A16" s="280">
        <v>5</v>
      </c>
      <c r="B16" s="281" t="s">
        <v>253</v>
      </c>
      <c r="C16" s="282">
        <f>'EIA412 POWER PURCHASES'!G44</f>
        <v>3195533</v>
      </c>
      <c r="D16" s="283">
        <v>0</v>
      </c>
      <c r="E16" s="283">
        <v>0</v>
      </c>
      <c r="F16" s="284">
        <f>SUM(C16:E16)</f>
        <v>3195533</v>
      </c>
    </row>
    <row r="17" spans="1:9">
      <c r="A17" s="170">
        <v>6</v>
      </c>
      <c r="B17" s="5" t="s">
        <v>254</v>
      </c>
      <c r="C17" s="275"/>
      <c r="D17" s="270"/>
      <c r="E17" s="270"/>
      <c r="F17" s="270"/>
    </row>
    <row r="18" spans="1:9" ht="13.5" thickBot="1">
      <c r="A18" s="235"/>
      <c r="B18" s="218" t="s">
        <v>255</v>
      </c>
      <c r="C18" s="285">
        <v>0</v>
      </c>
      <c r="D18" s="272">
        <f>3413056-16410-E18-C16-C15</f>
        <v>115487</v>
      </c>
      <c r="E18" s="272">
        <f>54003+8276+16421</f>
        <v>78700</v>
      </c>
      <c r="F18" s="273">
        <f>SUM(C18:E18)</f>
        <v>194187</v>
      </c>
      <c r="H18" t="s">
        <v>364</v>
      </c>
    </row>
    <row r="19" spans="1:9">
      <c r="A19" s="239">
        <v>7</v>
      </c>
      <c r="B19" s="239" t="s">
        <v>256</v>
      </c>
      <c r="C19" s="286">
        <f>C9+C10+C12+C15+C16+C18</f>
        <v>3202459</v>
      </c>
      <c r="D19" s="287">
        <f>SUM(D9:D18)</f>
        <v>115487</v>
      </c>
      <c r="E19" s="287">
        <f>SUM(E9:E18)</f>
        <v>78700</v>
      </c>
      <c r="F19" s="287">
        <f>SUM(C19:E19)</f>
        <v>3396646</v>
      </c>
      <c r="G19" t="s">
        <v>364</v>
      </c>
      <c r="H19" s="246" t="s">
        <v>364</v>
      </c>
      <c r="I19" s="246" t="s">
        <v>364</v>
      </c>
    </row>
    <row r="20" spans="1:9">
      <c r="A20" s="170">
        <v>8</v>
      </c>
      <c r="B20" s="170" t="s">
        <v>257</v>
      </c>
      <c r="C20" s="270"/>
      <c r="D20" s="270"/>
      <c r="E20" s="270"/>
      <c r="F20" s="270"/>
    </row>
    <row r="21" spans="1:9">
      <c r="A21" s="235"/>
      <c r="B21" s="235" t="s">
        <v>258</v>
      </c>
      <c r="C21" s="288" t="s">
        <v>259</v>
      </c>
      <c r="D21" s="272">
        <v>0</v>
      </c>
      <c r="E21" s="272">
        <f>'DS1_Wages &amp; Salary Allocator'!F9+'TRANS TARIFF REV + EXP'!AC66</f>
        <v>35385.68</v>
      </c>
      <c r="F21" s="238">
        <f>SUM(D21:E21)</f>
        <v>35385.68</v>
      </c>
      <c r="H21" t="s">
        <v>364</v>
      </c>
    </row>
    <row r="22" spans="1:9">
      <c r="A22" s="170">
        <v>9</v>
      </c>
      <c r="B22" s="170" t="s">
        <v>260</v>
      </c>
      <c r="C22" s="270"/>
      <c r="D22" s="270"/>
      <c r="E22" s="270"/>
      <c r="F22" s="270"/>
    </row>
    <row r="23" spans="1:9">
      <c r="A23" s="235"/>
      <c r="B23" s="235" t="s">
        <v>261</v>
      </c>
      <c r="C23" s="288" t="s">
        <v>259</v>
      </c>
      <c r="D23" s="272">
        <f>64709-E21</f>
        <v>29323.32</v>
      </c>
      <c r="E23" s="272">
        <f>30992+9307-760+424</f>
        <v>39963</v>
      </c>
      <c r="F23" s="273">
        <f>SUM(D23:E23)</f>
        <v>69286.320000000007</v>
      </c>
    </row>
    <row r="24" spans="1:9">
      <c r="A24" s="170">
        <v>10</v>
      </c>
      <c r="B24" s="170" t="s">
        <v>262</v>
      </c>
      <c r="C24" s="270"/>
      <c r="D24" s="270"/>
      <c r="E24" s="270"/>
      <c r="F24" s="270"/>
    </row>
    <row r="25" spans="1:9">
      <c r="A25" s="235"/>
      <c r="B25" s="235" t="s">
        <v>263</v>
      </c>
      <c r="C25" s="288" t="s">
        <v>259</v>
      </c>
      <c r="D25" s="272">
        <f>20099</f>
        <v>20099</v>
      </c>
      <c r="E25" s="272">
        <v>0</v>
      </c>
      <c r="F25" s="273">
        <f>SUM(D25:E25)</f>
        <v>20099</v>
      </c>
    </row>
    <row r="26" spans="1:9">
      <c r="A26" s="170">
        <v>11</v>
      </c>
      <c r="B26" s="170" t="s">
        <v>264</v>
      </c>
      <c r="C26" s="270"/>
      <c r="D26" s="270"/>
      <c r="E26" s="270"/>
      <c r="F26" s="270"/>
    </row>
    <row r="27" spans="1:9">
      <c r="A27" s="235"/>
      <c r="B27" s="235" t="s">
        <v>265</v>
      </c>
      <c r="C27" s="288" t="s">
        <v>259</v>
      </c>
      <c r="D27" s="272">
        <v>0</v>
      </c>
      <c r="E27" s="272">
        <v>0</v>
      </c>
      <c r="F27" s="273">
        <f>SUM(D27:E27)</f>
        <v>0</v>
      </c>
    </row>
    <row r="28" spans="1:9">
      <c r="A28" s="239">
        <v>12</v>
      </c>
      <c r="B28" s="239" t="s">
        <v>266</v>
      </c>
      <c r="C28" s="288" t="s">
        <v>259</v>
      </c>
      <c r="D28" s="242">
        <v>0</v>
      </c>
      <c r="E28" s="284"/>
      <c r="F28" s="273">
        <f>SUM(D28:E28)</f>
        <v>0</v>
      </c>
    </row>
    <row r="29" spans="1:9">
      <c r="A29" s="239">
        <v>13</v>
      </c>
      <c r="B29" s="239" t="s">
        <v>267</v>
      </c>
      <c r="C29" s="288" t="s">
        <v>259</v>
      </c>
      <c r="D29" s="289">
        <f>1022639-D25-D27-E29</f>
        <v>986409</v>
      </c>
      <c r="E29" s="283">
        <v>16131</v>
      </c>
      <c r="F29" s="242">
        <f>SUM(D29:E29)</f>
        <v>1002540</v>
      </c>
      <c r="G29" s="246" t="s">
        <v>364</v>
      </c>
    </row>
    <row r="30" spans="1:9">
      <c r="A30" s="170">
        <v>14</v>
      </c>
      <c r="B30" s="170" t="s">
        <v>268</v>
      </c>
      <c r="C30" s="270"/>
      <c r="D30" s="270"/>
      <c r="E30" s="270"/>
      <c r="F30" s="270"/>
    </row>
    <row r="31" spans="1:9">
      <c r="A31" s="235"/>
      <c r="B31" s="235" t="s">
        <v>269</v>
      </c>
      <c r="C31" s="290">
        <f>C19</f>
        <v>3202459</v>
      </c>
      <c r="D31" s="291">
        <f>SUM(D19:D30)</f>
        <v>1151318.32</v>
      </c>
      <c r="E31" s="291">
        <f>SUM(E19:E30)</f>
        <v>170179.68</v>
      </c>
      <c r="F31" s="291">
        <f>SUM(F19:F30)</f>
        <v>4523957</v>
      </c>
      <c r="G31" t="s">
        <v>364</v>
      </c>
    </row>
    <row r="32" spans="1:9">
      <c r="C32" s="246"/>
      <c r="D32" s="246"/>
      <c r="E32" s="246"/>
      <c r="F32" s="246"/>
    </row>
    <row r="33" spans="2:6">
      <c r="B33" s="639" t="s">
        <v>270</v>
      </c>
      <c r="C33" s="640"/>
      <c r="D33" s="551">
        <v>13</v>
      </c>
      <c r="E33" s="246"/>
      <c r="F33" s="246" t="s">
        <v>364</v>
      </c>
    </row>
    <row r="34" spans="2:6">
      <c r="B34" s="267" t="s">
        <v>271</v>
      </c>
      <c r="C34" s="292"/>
      <c r="D34" s="243">
        <v>6</v>
      </c>
      <c r="E34" s="246"/>
      <c r="F34" s="246" t="s">
        <v>364</v>
      </c>
    </row>
    <row r="35" spans="2:6">
      <c r="C35" s="246"/>
      <c r="D35" s="246"/>
      <c r="E35" s="246"/>
      <c r="F35" s="246"/>
    </row>
  </sheetData>
  <mergeCells count="5">
    <mergeCell ref="B33:C33"/>
    <mergeCell ref="A1:F1"/>
    <mergeCell ref="A2:F2"/>
    <mergeCell ref="A3:F3"/>
    <mergeCell ref="A5:F5"/>
  </mergeCells>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0" workbookViewId="0">
      <selection activeCell="I28" sqref="I28"/>
    </sheetView>
  </sheetViews>
  <sheetFormatPr defaultRowHeight="12.75"/>
  <cols>
    <col min="2" max="2" width="21.7109375" customWidth="1"/>
    <col min="3" max="3" width="5.7109375" customWidth="1"/>
    <col min="4" max="8" width="12.7109375" customWidth="1"/>
    <col min="10" max="10" width="13.7109375" customWidth="1"/>
    <col min="12" max="12" width="14.7109375" customWidth="1"/>
  </cols>
  <sheetData>
    <row r="1" spans="1:11" ht="15">
      <c r="A1" s="635" t="str">
        <f>'EIA412 BALANCE SHEET'!A1:F1</f>
        <v>Delano</v>
      </c>
      <c r="B1" s="635"/>
      <c r="C1" s="635"/>
      <c r="D1" s="635"/>
      <c r="E1" s="635"/>
      <c r="F1" s="635"/>
      <c r="G1" s="635"/>
      <c r="H1" s="635"/>
    </row>
    <row r="2" spans="1:11" ht="15">
      <c r="A2" s="632" t="s">
        <v>54</v>
      </c>
      <c r="B2" s="632"/>
      <c r="C2" s="632"/>
      <c r="D2" s="632"/>
      <c r="E2" s="632"/>
      <c r="F2" s="632"/>
      <c r="G2" s="632"/>
      <c r="H2" s="632"/>
    </row>
    <row r="3" spans="1:11" ht="15">
      <c r="A3" s="635">
        <f>'EIA412 BALANCE SHEET'!A3:F3</f>
        <v>42004</v>
      </c>
      <c r="B3" s="635"/>
      <c r="C3" s="635"/>
      <c r="D3" s="635"/>
      <c r="E3" s="635"/>
      <c r="F3" s="635"/>
      <c r="G3" s="635"/>
      <c r="H3" s="635"/>
    </row>
    <row r="4" spans="1:11">
      <c r="A4" s="31"/>
    </row>
    <row r="5" spans="1:11">
      <c r="A5" s="641" t="s">
        <v>272</v>
      </c>
      <c r="B5" s="641"/>
      <c r="C5" s="641"/>
      <c r="D5" s="641"/>
      <c r="E5" s="641"/>
      <c r="F5" s="641"/>
      <c r="G5" s="641"/>
      <c r="H5" s="641"/>
    </row>
    <row r="6" spans="1:11">
      <c r="A6" s="250"/>
      <c r="B6" s="250"/>
      <c r="C6" s="250"/>
      <c r="D6" s="250" t="s">
        <v>273</v>
      </c>
      <c r="E6" s="250" t="s">
        <v>274</v>
      </c>
      <c r="F6" s="250" t="s">
        <v>275</v>
      </c>
      <c r="G6" s="250" t="s">
        <v>276</v>
      </c>
      <c r="H6" s="250" t="s">
        <v>277</v>
      </c>
    </row>
    <row r="7" spans="1:11">
      <c r="A7" s="169" t="s">
        <v>593</v>
      </c>
      <c r="B7" s="169"/>
      <c r="C7" s="169" t="s">
        <v>278</v>
      </c>
      <c r="D7" s="169" t="s">
        <v>279</v>
      </c>
      <c r="E7" s="169" t="s">
        <v>280</v>
      </c>
      <c r="F7" s="169" t="s">
        <v>281</v>
      </c>
      <c r="G7" s="169" t="s">
        <v>282</v>
      </c>
      <c r="H7" s="169" t="s">
        <v>283</v>
      </c>
    </row>
    <row r="8" spans="1:11">
      <c r="A8" s="171" t="s">
        <v>595</v>
      </c>
      <c r="B8" s="171" t="s">
        <v>284</v>
      </c>
      <c r="C8" s="171" t="s">
        <v>285</v>
      </c>
      <c r="D8" s="171" t="s">
        <v>286</v>
      </c>
      <c r="E8" s="171" t="s">
        <v>287</v>
      </c>
      <c r="F8" s="171" t="s">
        <v>288</v>
      </c>
      <c r="G8" s="171" t="s">
        <v>289</v>
      </c>
      <c r="H8" s="171" t="s">
        <v>288</v>
      </c>
    </row>
    <row r="9" spans="1:11">
      <c r="A9" s="185">
        <v>1</v>
      </c>
      <c r="B9" s="293"/>
      <c r="C9" s="294"/>
      <c r="D9" s="295">
        <v>0</v>
      </c>
      <c r="E9" s="296">
        <v>0</v>
      </c>
      <c r="F9" s="296">
        <v>0</v>
      </c>
      <c r="G9" s="295">
        <v>0</v>
      </c>
      <c r="H9" s="254">
        <f>SUM(F9:G9)</f>
        <v>0</v>
      </c>
      <c r="K9" s="297"/>
    </row>
    <row r="10" spans="1:11">
      <c r="A10" s="185">
        <v>2</v>
      </c>
      <c r="B10" s="293"/>
      <c r="C10" s="298"/>
      <c r="D10" s="295">
        <v>0</v>
      </c>
      <c r="E10" s="296">
        <v>0</v>
      </c>
      <c r="F10" s="296">
        <v>0</v>
      </c>
      <c r="G10" s="295">
        <v>0</v>
      </c>
      <c r="H10" s="254">
        <f>SUM(F10:G10)</f>
        <v>0</v>
      </c>
      <c r="K10" s="297"/>
    </row>
    <row r="11" spans="1:11">
      <c r="A11" s="185">
        <v>3</v>
      </c>
      <c r="B11" s="293"/>
      <c r="C11" s="294"/>
      <c r="D11" s="295">
        <v>0</v>
      </c>
      <c r="E11" s="296">
        <v>0</v>
      </c>
      <c r="F11" s="296">
        <v>0</v>
      </c>
      <c r="G11" s="295">
        <v>0</v>
      </c>
      <c r="H11" s="254">
        <f t="shared" ref="H11:H43" si="0">SUM(F11:G11)</f>
        <v>0</v>
      </c>
      <c r="K11" s="297"/>
    </row>
    <row r="12" spans="1:11">
      <c r="A12" s="185">
        <v>4</v>
      </c>
      <c r="B12" s="293"/>
      <c r="C12" s="294"/>
      <c r="D12" s="295">
        <v>0</v>
      </c>
      <c r="E12" s="296">
        <v>0</v>
      </c>
      <c r="F12" s="296">
        <v>0</v>
      </c>
      <c r="G12" s="295">
        <v>0</v>
      </c>
      <c r="H12" s="254">
        <f t="shared" si="0"/>
        <v>0</v>
      </c>
      <c r="K12" s="297"/>
    </row>
    <row r="13" spans="1:11">
      <c r="A13" s="185">
        <v>5</v>
      </c>
      <c r="B13" s="293"/>
      <c r="C13" s="294"/>
      <c r="D13" s="295">
        <v>0</v>
      </c>
      <c r="E13" s="296">
        <v>0</v>
      </c>
      <c r="F13" s="296">
        <v>0</v>
      </c>
      <c r="G13" s="295">
        <v>0</v>
      </c>
      <c r="H13" s="254">
        <f t="shared" si="0"/>
        <v>0</v>
      </c>
      <c r="K13" s="297"/>
    </row>
    <row r="14" spans="1:11">
      <c r="A14" s="185">
        <v>6</v>
      </c>
      <c r="B14" s="293"/>
      <c r="C14" s="294"/>
      <c r="D14" s="295">
        <v>0</v>
      </c>
      <c r="E14" s="296">
        <v>0</v>
      </c>
      <c r="F14" s="296">
        <v>0</v>
      </c>
      <c r="G14" s="296">
        <v>0</v>
      </c>
      <c r="H14" s="254">
        <f t="shared" si="0"/>
        <v>0</v>
      </c>
      <c r="K14" s="297"/>
    </row>
    <row r="15" spans="1:11">
      <c r="A15" s="185">
        <v>7</v>
      </c>
      <c r="B15" s="293"/>
      <c r="C15" s="294"/>
      <c r="D15" s="295">
        <v>0</v>
      </c>
      <c r="E15" s="296">
        <v>0</v>
      </c>
      <c r="F15" s="296">
        <v>0</v>
      </c>
      <c r="G15" s="296">
        <v>0</v>
      </c>
      <c r="H15" s="254">
        <f t="shared" si="0"/>
        <v>0</v>
      </c>
      <c r="K15" s="297"/>
    </row>
    <row r="16" spans="1:11">
      <c r="A16" s="185">
        <v>8</v>
      </c>
      <c r="B16" s="293"/>
      <c r="C16" s="294"/>
      <c r="D16" s="295">
        <v>0</v>
      </c>
      <c r="E16" s="296">
        <v>0</v>
      </c>
      <c r="F16" s="296">
        <v>0</v>
      </c>
      <c r="G16" s="296">
        <v>0</v>
      </c>
      <c r="H16" s="254">
        <f t="shared" si="0"/>
        <v>0</v>
      </c>
      <c r="K16" s="297"/>
    </row>
    <row r="17" spans="1:11">
      <c r="A17" s="185">
        <v>9</v>
      </c>
      <c r="B17" s="293"/>
      <c r="C17" s="294"/>
      <c r="D17" s="295">
        <v>0</v>
      </c>
      <c r="E17" s="296">
        <v>0</v>
      </c>
      <c r="F17" s="296">
        <v>0</v>
      </c>
      <c r="G17" s="296">
        <v>0</v>
      </c>
      <c r="H17" s="254">
        <f t="shared" si="0"/>
        <v>0</v>
      </c>
      <c r="K17" s="297"/>
    </row>
    <row r="18" spans="1:11">
      <c r="A18" s="185">
        <v>10</v>
      </c>
      <c r="B18" s="293"/>
      <c r="C18" s="294"/>
      <c r="D18" s="295">
        <v>0</v>
      </c>
      <c r="E18" s="296">
        <v>0</v>
      </c>
      <c r="F18" s="296">
        <v>0</v>
      </c>
      <c r="G18" s="296">
        <v>0</v>
      </c>
      <c r="H18" s="254">
        <f t="shared" si="0"/>
        <v>0</v>
      </c>
      <c r="K18" s="297"/>
    </row>
    <row r="19" spans="1:11">
      <c r="A19" s="185">
        <v>11</v>
      </c>
      <c r="B19" s="293"/>
      <c r="C19" s="294"/>
      <c r="D19" s="295">
        <v>0</v>
      </c>
      <c r="E19" s="296">
        <v>0</v>
      </c>
      <c r="F19" s="296">
        <v>0</v>
      </c>
      <c r="G19" s="296">
        <v>0</v>
      </c>
      <c r="H19" s="254">
        <f t="shared" si="0"/>
        <v>0</v>
      </c>
      <c r="K19" s="297"/>
    </row>
    <row r="20" spans="1:11">
      <c r="A20" s="185">
        <v>12</v>
      </c>
      <c r="B20" s="293"/>
      <c r="C20" s="294"/>
      <c r="D20" s="295">
        <v>0</v>
      </c>
      <c r="E20" s="296">
        <v>0</v>
      </c>
      <c r="F20" s="296">
        <v>0</v>
      </c>
      <c r="G20" s="296">
        <v>0</v>
      </c>
      <c r="H20" s="254">
        <f t="shared" si="0"/>
        <v>0</v>
      </c>
      <c r="K20" s="297"/>
    </row>
    <row r="21" spans="1:11">
      <c r="A21" s="185">
        <v>13</v>
      </c>
      <c r="B21" s="293"/>
      <c r="C21" s="294"/>
      <c r="D21" s="295">
        <v>0</v>
      </c>
      <c r="E21" s="296">
        <v>0</v>
      </c>
      <c r="F21" s="296">
        <v>0</v>
      </c>
      <c r="G21" s="296">
        <v>0</v>
      </c>
      <c r="H21" s="254">
        <f t="shared" si="0"/>
        <v>0</v>
      </c>
      <c r="K21" s="297"/>
    </row>
    <row r="22" spans="1:11">
      <c r="A22" s="185">
        <v>14</v>
      </c>
      <c r="B22" s="293"/>
      <c r="C22" s="294"/>
      <c r="D22" s="295">
        <v>0</v>
      </c>
      <c r="E22" s="296">
        <v>0</v>
      </c>
      <c r="F22" s="296">
        <v>0</v>
      </c>
      <c r="G22" s="296">
        <v>0</v>
      </c>
      <c r="H22" s="254">
        <f t="shared" si="0"/>
        <v>0</v>
      </c>
      <c r="J22" s="299"/>
    </row>
    <row r="23" spans="1:11">
      <c r="A23" s="185">
        <v>15</v>
      </c>
      <c r="B23" s="293"/>
      <c r="C23" s="294"/>
      <c r="D23" s="295">
        <v>0</v>
      </c>
      <c r="E23" s="296">
        <v>0</v>
      </c>
      <c r="F23" s="296">
        <v>0</v>
      </c>
      <c r="G23" s="296">
        <v>0</v>
      </c>
      <c r="H23" s="254">
        <f t="shared" si="0"/>
        <v>0</v>
      </c>
    </row>
    <row r="24" spans="1:11">
      <c r="A24" s="185">
        <v>16</v>
      </c>
      <c r="B24" s="293"/>
      <c r="C24" s="294"/>
      <c r="D24" s="295">
        <v>0</v>
      </c>
      <c r="E24" s="296">
        <v>0</v>
      </c>
      <c r="F24" s="296">
        <v>0</v>
      </c>
      <c r="G24" s="296">
        <v>0</v>
      </c>
      <c r="H24" s="254">
        <f t="shared" si="0"/>
        <v>0</v>
      </c>
    </row>
    <row r="25" spans="1:11">
      <c r="A25" s="185">
        <v>17</v>
      </c>
      <c r="B25" s="293"/>
      <c r="C25" s="294"/>
      <c r="D25" s="295">
        <v>0</v>
      </c>
      <c r="E25" s="296">
        <v>0</v>
      </c>
      <c r="F25" s="296">
        <v>0</v>
      </c>
      <c r="G25" s="296">
        <v>0</v>
      </c>
      <c r="H25" s="254">
        <f t="shared" si="0"/>
        <v>0</v>
      </c>
    </row>
    <row r="26" spans="1:11">
      <c r="A26" s="185">
        <v>18</v>
      </c>
      <c r="B26" s="293"/>
      <c r="C26" s="294"/>
      <c r="D26" s="295">
        <v>0</v>
      </c>
      <c r="E26" s="296">
        <v>0</v>
      </c>
      <c r="F26" s="296">
        <v>0</v>
      </c>
      <c r="G26" s="296">
        <v>0</v>
      </c>
      <c r="H26" s="254">
        <f t="shared" si="0"/>
        <v>0</v>
      </c>
    </row>
    <row r="27" spans="1:11">
      <c r="A27" s="185">
        <v>19</v>
      </c>
      <c r="B27" s="293"/>
      <c r="C27" s="294"/>
      <c r="D27" s="295">
        <v>0</v>
      </c>
      <c r="E27" s="296">
        <v>0</v>
      </c>
      <c r="F27" s="296">
        <v>0</v>
      </c>
      <c r="G27" s="296">
        <v>0</v>
      </c>
      <c r="H27" s="254">
        <f t="shared" si="0"/>
        <v>0</v>
      </c>
    </row>
    <row r="28" spans="1:11">
      <c r="A28" s="185">
        <v>20</v>
      </c>
      <c r="B28" s="293"/>
      <c r="C28" s="294"/>
      <c r="D28" s="295">
        <v>0</v>
      </c>
      <c r="E28" s="296">
        <v>0</v>
      </c>
      <c r="F28" s="296">
        <v>0</v>
      </c>
      <c r="G28" s="296">
        <v>0</v>
      </c>
      <c r="H28" s="254">
        <f t="shared" si="0"/>
        <v>0</v>
      </c>
    </row>
    <row r="29" spans="1:11">
      <c r="A29" s="185">
        <v>21</v>
      </c>
      <c r="B29" s="293"/>
      <c r="C29" s="294"/>
      <c r="D29" s="295">
        <v>0</v>
      </c>
      <c r="E29" s="296">
        <v>0</v>
      </c>
      <c r="F29" s="296">
        <v>0</v>
      </c>
      <c r="G29" s="296">
        <v>0</v>
      </c>
      <c r="H29" s="254">
        <f t="shared" si="0"/>
        <v>0</v>
      </c>
    </row>
    <row r="30" spans="1:11">
      <c r="A30" s="185">
        <v>22</v>
      </c>
      <c r="B30" s="293"/>
      <c r="C30" s="294"/>
      <c r="D30" s="296">
        <v>0</v>
      </c>
      <c r="E30" s="296">
        <v>0</v>
      </c>
      <c r="F30" s="296">
        <v>0</v>
      </c>
      <c r="G30" s="296">
        <v>0</v>
      </c>
      <c r="H30" s="254">
        <f t="shared" si="0"/>
        <v>0</v>
      </c>
    </row>
    <row r="31" spans="1:11">
      <c r="A31" s="185">
        <v>23</v>
      </c>
      <c r="B31" s="293"/>
      <c r="C31" s="294"/>
      <c r="D31" s="296">
        <v>0</v>
      </c>
      <c r="E31" s="296">
        <v>0</v>
      </c>
      <c r="F31" s="296">
        <v>0</v>
      </c>
      <c r="G31" s="296">
        <v>0</v>
      </c>
      <c r="H31" s="254">
        <f t="shared" si="0"/>
        <v>0</v>
      </c>
    </row>
    <row r="32" spans="1:11">
      <c r="A32" s="185">
        <v>24</v>
      </c>
      <c r="B32" s="293"/>
      <c r="C32" s="294"/>
      <c r="D32" s="296">
        <v>0</v>
      </c>
      <c r="E32" s="296">
        <v>0</v>
      </c>
      <c r="F32" s="296">
        <v>0</v>
      </c>
      <c r="G32" s="296">
        <v>0</v>
      </c>
      <c r="H32" s="254">
        <f t="shared" si="0"/>
        <v>0</v>
      </c>
    </row>
    <row r="33" spans="1:8">
      <c r="A33" s="185">
        <v>25</v>
      </c>
      <c r="B33" s="293"/>
      <c r="C33" s="294"/>
      <c r="D33" s="296">
        <v>0</v>
      </c>
      <c r="E33" s="296">
        <v>0</v>
      </c>
      <c r="F33" s="296">
        <v>0</v>
      </c>
      <c r="G33" s="296">
        <v>0</v>
      </c>
      <c r="H33" s="254">
        <f t="shared" si="0"/>
        <v>0</v>
      </c>
    </row>
    <row r="34" spans="1:8">
      <c r="A34" s="185">
        <v>26</v>
      </c>
      <c r="B34" s="293"/>
      <c r="C34" s="294"/>
      <c r="D34" s="296">
        <v>0</v>
      </c>
      <c r="E34" s="296">
        <v>0</v>
      </c>
      <c r="F34" s="296">
        <v>0</v>
      </c>
      <c r="G34" s="296">
        <v>0</v>
      </c>
      <c r="H34" s="254">
        <f t="shared" si="0"/>
        <v>0</v>
      </c>
    </row>
    <row r="35" spans="1:8">
      <c r="A35" s="185">
        <v>27</v>
      </c>
      <c r="B35" s="293"/>
      <c r="C35" s="294"/>
      <c r="D35" s="296">
        <v>0</v>
      </c>
      <c r="E35" s="296">
        <v>0</v>
      </c>
      <c r="F35" s="296">
        <v>0</v>
      </c>
      <c r="G35" s="296">
        <v>0</v>
      </c>
      <c r="H35" s="254">
        <f t="shared" si="0"/>
        <v>0</v>
      </c>
    </row>
    <row r="36" spans="1:8">
      <c r="A36" s="185">
        <v>28</v>
      </c>
      <c r="B36" s="293"/>
      <c r="C36" s="294"/>
      <c r="D36" s="296">
        <v>0</v>
      </c>
      <c r="E36" s="296">
        <v>0</v>
      </c>
      <c r="F36" s="296">
        <v>0</v>
      </c>
      <c r="G36" s="296">
        <v>0</v>
      </c>
      <c r="H36" s="254">
        <f t="shared" si="0"/>
        <v>0</v>
      </c>
    </row>
    <row r="37" spans="1:8">
      <c r="A37" s="185">
        <v>29</v>
      </c>
      <c r="B37" s="293"/>
      <c r="C37" s="294"/>
      <c r="D37" s="296">
        <v>0</v>
      </c>
      <c r="E37" s="296">
        <v>0</v>
      </c>
      <c r="F37" s="296">
        <v>0</v>
      </c>
      <c r="G37" s="296">
        <v>0</v>
      </c>
      <c r="H37" s="254">
        <f t="shared" si="0"/>
        <v>0</v>
      </c>
    </row>
    <row r="38" spans="1:8">
      <c r="A38" s="185">
        <v>30</v>
      </c>
      <c r="B38" s="293"/>
      <c r="C38" s="294"/>
      <c r="D38" s="296">
        <v>0</v>
      </c>
      <c r="E38" s="296">
        <v>0</v>
      </c>
      <c r="F38" s="296">
        <v>0</v>
      </c>
      <c r="G38" s="296">
        <v>0</v>
      </c>
      <c r="H38" s="254">
        <f t="shared" si="0"/>
        <v>0</v>
      </c>
    </row>
    <row r="39" spans="1:8">
      <c r="A39" s="185">
        <v>31</v>
      </c>
      <c r="B39" s="293"/>
      <c r="C39" s="294"/>
      <c r="D39" s="296">
        <v>0</v>
      </c>
      <c r="E39" s="296">
        <v>0</v>
      </c>
      <c r="F39" s="296">
        <v>0</v>
      </c>
      <c r="G39" s="296">
        <v>0</v>
      </c>
      <c r="H39" s="254">
        <f t="shared" si="0"/>
        <v>0</v>
      </c>
    </row>
    <row r="40" spans="1:8">
      <c r="A40" s="185">
        <v>32</v>
      </c>
      <c r="B40" s="293"/>
      <c r="C40" s="294"/>
      <c r="D40" s="296">
        <v>0</v>
      </c>
      <c r="E40" s="296">
        <v>0</v>
      </c>
      <c r="F40" s="296">
        <v>0</v>
      </c>
      <c r="G40" s="296">
        <v>0</v>
      </c>
      <c r="H40" s="254">
        <f t="shared" si="0"/>
        <v>0</v>
      </c>
    </row>
    <row r="41" spans="1:8">
      <c r="A41" s="185">
        <v>33</v>
      </c>
      <c r="B41" s="293"/>
      <c r="C41" s="294"/>
      <c r="D41" s="296">
        <v>0</v>
      </c>
      <c r="E41" s="296">
        <v>0</v>
      </c>
      <c r="F41" s="296">
        <v>0</v>
      </c>
      <c r="G41" s="296">
        <v>0</v>
      </c>
      <c r="H41" s="254">
        <f t="shared" si="0"/>
        <v>0</v>
      </c>
    </row>
    <row r="42" spans="1:8">
      <c r="A42" s="185">
        <v>34</v>
      </c>
      <c r="B42" s="293"/>
      <c r="C42" s="294"/>
      <c r="D42" s="296">
        <v>0</v>
      </c>
      <c r="E42" s="296">
        <v>0</v>
      </c>
      <c r="F42" s="296">
        <v>0</v>
      </c>
      <c r="G42" s="296">
        <v>0</v>
      </c>
      <c r="H42" s="254">
        <f t="shared" si="0"/>
        <v>0</v>
      </c>
    </row>
    <row r="43" spans="1:8">
      <c r="A43" s="185">
        <v>35</v>
      </c>
      <c r="B43" s="293"/>
      <c r="C43" s="294"/>
      <c r="D43" s="295">
        <v>0</v>
      </c>
      <c r="E43" s="295">
        <v>0</v>
      </c>
      <c r="F43" s="295">
        <v>0</v>
      </c>
      <c r="G43" s="295">
        <v>0</v>
      </c>
      <c r="H43" s="254">
        <f t="shared" si="0"/>
        <v>0</v>
      </c>
    </row>
    <row r="44" spans="1:8">
      <c r="A44" s="183"/>
      <c r="B44" s="183"/>
      <c r="C44" s="185"/>
      <c r="D44" s="254">
        <f>SUM(D9:D43)</f>
        <v>0</v>
      </c>
      <c r="E44" s="254">
        <f>SUM(E9:E43)</f>
        <v>0</v>
      </c>
      <c r="F44" s="254">
        <f>SUM(F9:F43)</f>
        <v>0</v>
      </c>
      <c r="G44" s="254">
        <f>SUM(G9:G43)</f>
        <v>0</v>
      </c>
      <c r="H44" s="254">
        <f>SUM(H9:H43)</f>
        <v>0</v>
      </c>
    </row>
    <row r="45" spans="1:8">
      <c r="D45" s="246"/>
      <c r="E45" s="246"/>
      <c r="F45" s="246"/>
      <c r="G45" s="246"/>
      <c r="H45" s="246"/>
    </row>
    <row r="46" spans="1:8">
      <c r="B46" s="5"/>
      <c r="D46" s="246"/>
      <c r="E46" s="246"/>
      <c r="F46" s="246" t="s">
        <v>364</v>
      </c>
      <c r="G46" s="246" t="s">
        <v>364</v>
      </c>
      <c r="H46" s="246"/>
    </row>
    <row r="47" spans="1:8">
      <c r="D47" s="246"/>
      <c r="E47" s="246"/>
      <c r="F47" s="246"/>
      <c r="G47" s="246"/>
      <c r="H47" s="246"/>
    </row>
    <row r="48" spans="1:8">
      <c r="D48" s="246"/>
      <c r="E48" s="246"/>
      <c r="F48" s="246"/>
      <c r="G48" s="246"/>
      <c r="H48" s="246"/>
    </row>
  </sheetData>
  <mergeCells count="4">
    <mergeCell ref="A1:H1"/>
    <mergeCell ref="A2:H2"/>
    <mergeCell ref="A3:H3"/>
    <mergeCell ref="A5:H5"/>
  </mergeCells>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16" workbookViewId="0">
      <selection activeCell="G50" sqref="G50"/>
    </sheetView>
  </sheetViews>
  <sheetFormatPr defaultRowHeight="12.75"/>
  <cols>
    <col min="2" max="2" width="21.7109375" customWidth="1"/>
    <col min="3" max="3" width="5.7109375" customWidth="1"/>
    <col min="4" max="7" width="12.7109375" customWidth="1"/>
    <col min="8" max="8" width="14" customWidth="1"/>
    <col min="9" max="9" width="11.28515625" bestFit="1" customWidth="1"/>
  </cols>
  <sheetData>
    <row r="1" spans="1:9" ht="15">
      <c r="A1" s="635" t="str">
        <f>'EIA412 BALANCE SHEET'!A1:F1</f>
        <v>Delano</v>
      </c>
      <c r="B1" s="635"/>
      <c r="C1" s="635"/>
      <c r="D1" s="635"/>
      <c r="E1" s="635"/>
      <c r="F1" s="635"/>
      <c r="G1" s="635"/>
      <c r="H1" s="635"/>
    </row>
    <row r="2" spans="1:9" ht="15">
      <c r="A2" s="632" t="s">
        <v>54</v>
      </c>
      <c r="B2" s="632"/>
      <c r="C2" s="632"/>
      <c r="D2" s="632"/>
      <c r="E2" s="632"/>
      <c r="F2" s="632"/>
      <c r="G2" s="632"/>
      <c r="H2" s="632"/>
    </row>
    <row r="3" spans="1:9" ht="15">
      <c r="A3" s="635">
        <f>'EIA412 BALANCE SHEET'!A3:F3</f>
        <v>42004</v>
      </c>
      <c r="B3" s="635"/>
      <c r="C3" s="635"/>
      <c r="D3" s="635"/>
      <c r="E3" s="635"/>
      <c r="F3" s="635"/>
      <c r="G3" s="635"/>
      <c r="H3" s="635"/>
    </row>
    <row r="4" spans="1:9">
      <c r="A4" s="31"/>
    </row>
    <row r="5" spans="1:9">
      <c r="A5" s="641" t="s">
        <v>290</v>
      </c>
      <c r="B5" s="641"/>
      <c r="C5" s="641"/>
      <c r="D5" s="641"/>
      <c r="E5" s="641"/>
      <c r="F5" s="641"/>
      <c r="G5" s="641"/>
      <c r="H5" s="641"/>
    </row>
    <row r="6" spans="1:9">
      <c r="A6" s="250"/>
      <c r="B6" s="250"/>
      <c r="C6" s="250"/>
      <c r="D6" s="250" t="s">
        <v>273</v>
      </c>
      <c r="E6" s="250" t="s">
        <v>274</v>
      </c>
      <c r="F6" s="250" t="s">
        <v>275</v>
      </c>
      <c r="G6" s="250" t="s">
        <v>276</v>
      </c>
      <c r="H6" s="250" t="s">
        <v>277</v>
      </c>
    </row>
    <row r="7" spans="1:9">
      <c r="A7" s="169" t="s">
        <v>593</v>
      </c>
      <c r="B7" s="169"/>
      <c r="C7" s="169" t="s">
        <v>278</v>
      </c>
      <c r="D7" s="169" t="s">
        <v>291</v>
      </c>
      <c r="E7" s="169" t="s">
        <v>280</v>
      </c>
      <c r="F7" s="169" t="s">
        <v>281</v>
      </c>
      <c r="G7" s="169" t="s">
        <v>282</v>
      </c>
      <c r="H7" s="169" t="s">
        <v>283</v>
      </c>
    </row>
    <row r="8" spans="1:9">
      <c r="A8" s="171" t="s">
        <v>595</v>
      </c>
      <c r="B8" s="171" t="s">
        <v>292</v>
      </c>
      <c r="C8" s="171" t="s">
        <v>285</v>
      </c>
      <c r="D8" s="171" t="s">
        <v>286</v>
      </c>
      <c r="E8" s="171" t="s">
        <v>287</v>
      </c>
      <c r="F8" s="171" t="s">
        <v>288</v>
      </c>
      <c r="G8" s="171" t="s">
        <v>289</v>
      </c>
      <c r="H8" s="171" t="s">
        <v>288</v>
      </c>
    </row>
    <row r="9" spans="1:9">
      <c r="A9" s="185">
        <v>1</v>
      </c>
      <c r="B9" s="293" t="s">
        <v>293</v>
      </c>
      <c r="C9" s="294" t="s">
        <v>294</v>
      </c>
      <c r="D9" s="296">
        <v>0</v>
      </c>
      <c r="E9" s="296">
        <v>0</v>
      </c>
      <c r="F9" s="296">
        <v>0</v>
      </c>
      <c r="G9" s="296">
        <f>3211943-16410</f>
        <v>3195533</v>
      </c>
      <c r="H9" s="247">
        <f>SUM(F9:G9)</f>
        <v>3195533</v>
      </c>
      <c r="I9" t="s">
        <v>1021</v>
      </c>
    </row>
    <row r="10" spans="1:9">
      <c r="A10" s="185">
        <v>2</v>
      </c>
      <c r="B10" s="293"/>
      <c r="C10" s="294"/>
      <c r="D10" s="296">
        <v>0</v>
      </c>
      <c r="E10" s="296">
        <v>0</v>
      </c>
      <c r="F10" s="296">
        <v>0</v>
      </c>
      <c r="G10" s="296">
        <v>0</v>
      </c>
      <c r="H10" s="247">
        <f>SUM(F10:G10)</f>
        <v>0</v>
      </c>
    </row>
    <row r="11" spans="1:9">
      <c r="A11" s="185">
        <v>3</v>
      </c>
      <c r="B11" s="293"/>
      <c r="C11" s="294"/>
      <c r="D11" s="296">
        <v>0</v>
      </c>
      <c r="E11" s="296">
        <v>0</v>
      </c>
      <c r="F11" s="296">
        <v>0</v>
      </c>
      <c r="G11" s="296">
        <v>0</v>
      </c>
      <c r="H11" s="247">
        <f t="shared" ref="H11:H43" si="0">SUM(F11:G11)</f>
        <v>0</v>
      </c>
    </row>
    <row r="12" spans="1:9">
      <c r="A12" s="185">
        <v>4</v>
      </c>
      <c r="B12" s="293"/>
      <c r="C12" s="294"/>
      <c r="D12" s="296">
        <v>0</v>
      </c>
      <c r="E12" s="296">
        <v>0</v>
      </c>
      <c r="F12" s="296">
        <v>0</v>
      </c>
      <c r="G12" s="296">
        <v>0</v>
      </c>
      <c r="H12" s="247">
        <f t="shared" si="0"/>
        <v>0</v>
      </c>
    </row>
    <row r="13" spans="1:9">
      <c r="A13" s="185">
        <v>5</v>
      </c>
      <c r="B13" s="293"/>
      <c r="C13" s="294"/>
      <c r="D13" s="296">
        <v>0</v>
      </c>
      <c r="E13" s="296">
        <v>0</v>
      </c>
      <c r="F13" s="296">
        <v>0</v>
      </c>
      <c r="G13" s="296">
        <v>0</v>
      </c>
      <c r="H13" s="247">
        <f t="shared" si="0"/>
        <v>0</v>
      </c>
    </row>
    <row r="14" spans="1:9">
      <c r="A14" s="185">
        <v>6</v>
      </c>
      <c r="B14" s="293"/>
      <c r="C14" s="294"/>
      <c r="D14" s="296">
        <v>0</v>
      </c>
      <c r="E14" s="296">
        <v>0</v>
      </c>
      <c r="F14" s="296">
        <v>0</v>
      </c>
      <c r="G14" s="296">
        <v>0</v>
      </c>
      <c r="H14" s="247">
        <f t="shared" si="0"/>
        <v>0</v>
      </c>
    </row>
    <row r="15" spans="1:9">
      <c r="A15" s="185">
        <v>7</v>
      </c>
      <c r="B15" s="293"/>
      <c r="C15" s="294"/>
      <c r="D15" s="296">
        <v>0</v>
      </c>
      <c r="E15" s="296">
        <v>0</v>
      </c>
      <c r="F15" s="296">
        <v>0</v>
      </c>
      <c r="G15" s="296">
        <v>0</v>
      </c>
      <c r="H15" s="247">
        <f t="shared" si="0"/>
        <v>0</v>
      </c>
    </row>
    <row r="16" spans="1:9">
      <c r="A16" s="185">
        <v>8</v>
      </c>
      <c r="B16" s="293"/>
      <c r="C16" s="294"/>
      <c r="D16" s="296">
        <v>0</v>
      </c>
      <c r="E16" s="296">
        <v>0</v>
      </c>
      <c r="F16" s="296">
        <v>0</v>
      </c>
      <c r="G16" s="296">
        <v>0</v>
      </c>
      <c r="H16" s="247">
        <f t="shared" si="0"/>
        <v>0</v>
      </c>
    </row>
    <row r="17" spans="1:8">
      <c r="A17" s="185">
        <v>9</v>
      </c>
      <c r="B17" s="300"/>
      <c r="C17" s="301"/>
      <c r="D17" s="296">
        <v>0</v>
      </c>
      <c r="E17" s="296">
        <v>0</v>
      </c>
      <c r="F17" s="296">
        <v>0</v>
      </c>
      <c r="G17" s="296">
        <v>0</v>
      </c>
      <c r="H17" s="247">
        <f t="shared" si="0"/>
        <v>0</v>
      </c>
    </row>
    <row r="18" spans="1:8">
      <c r="A18" s="185">
        <v>10</v>
      </c>
      <c r="B18" s="293"/>
      <c r="C18" s="294"/>
      <c r="D18" s="296">
        <v>0</v>
      </c>
      <c r="E18" s="296">
        <v>0</v>
      </c>
      <c r="F18" s="296">
        <v>0</v>
      </c>
      <c r="G18" s="296">
        <v>0</v>
      </c>
      <c r="H18" s="247">
        <f t="shared" si="0"/>
        <v>0</v>
      </c>
    </row>
    <row r="19" spans="1:8">
      <c r="A19" s="185">
        <v>11</v>
      </c>
      <c r="B19" s="293"/>
      <c r="C19" s="294"/>
      <c r="D19" s="252">
        <v>0</v>
      </c>
      <c r="E19" s="296">
        <v>0</v>
      </c>
      <c r="F19" s="252">
        <v>0</v>
      </c>
      <c r="G19" s="252">
        <v>0</v>
      </c>
      <c r="H19" s="254">
        <f t="shared" si="0"/>
        <v>0</v>
      </c>
    </row>
    <row r="20" spans="1:8">
      <c r="A20" s="185">
        <v>12</v>
      </c>
      <c r="B20" s="293"/>
      <c r="C20" s="294"/>
      <c r="D20" s="252">
        <v>0</v>
      </c>
      <c r="E20" s="296">
        <v>0</v>
      </c>
      <c r="F20" s="252">
        <v>0</v>
      </c>
      <c r="G20" s="252">
        <v>0</v>
      </c>
      <c r="H20" s="254">
        <f t="shared" si="0"/>
        <v>0</v>
      </c>
    </row>
    <row r="21" spans="1:8">
      <c r="A21" s="185">
        <v>13</v>
      </c>
      <c r="B21" s="293"/>
      <c r="C21" s="294"/>
      <c r="D21" s="252">
        <v>0</v>
      </c>
      <c r="E21" s="296">
        <v>0</v>
      </c>
      <c r="F21" s="252">
        <v>0</v>
      </c>
      <c r="G21" s="252">
        <v>0</v>
      </c>
      <c r="H21" s="254">
        <f t="shared" si="0"/>
        <v>0</v>
      </c>
    </row>
    <row r="22" spans="1:8">
      <c r="A22" s="185">
        <v>14</v>
      </c>
      <c r="B22" s="293"/>
      <c r="C22" s="294"/>
      <c r="D22" s="252">
        <v>0</v>
      </c>
      <c r="E22" s="296">
        <v>0</v>
      </c>
      <c r="F22" s="252">
        <v>0</v>
      </c>
      <c r="G22" s="252">
        <v>0</v>
      </c>
      <c r="H22" s="254">
        <f t="shared" si="0"/>
        <v>0</v>
      </c>
    </row>
    <row r="23" spans="1:8">
      <c r="A23" s="185">
        <v>15</v>
      </c>
      <c r="B23" s="293"/>
      <c r="C23" s="294"/>
      <c r="D23" s="252">
        <v>0</v>
      </c>
      <c r="E23" s="296">
        <v>0</v>
      </c>
      <c r="F23" s="252">
        <v>0</v>
      </c>
      <c r="G23" s="252">
        <v>0</v>
      </c>
      <c r="H23" s="254">
        <f t="shared" si="0"/>
        <v>0</v>
      </c>
    </row>
    <row r="24" spans="1:8">
      <c r="A24" s="185">
        <v>16</v>
      </c>
      <c r="B24" s="293"/>
      <c r="C24" s="294"/>
      <c r="D24" s="252">
        <v>0</v>
      </c>
      <c r="E24" s="296">
        <v>0</v>
      </c>
      <c r="F24" s="252">
        <v>0</v>
      </c>
      <c r="G24" s="252">
        <v>0</v>
      </c>
      <c r="H24" s="254">
        <f t="shared" si="0"/>
        <v>0</v>
      </c>
    </row>
    <row r="25" spans="1:8">
      <c r="A25" s="185">
        <v>17</v>
      </c>
      <c r="B25" s="293"/>
      <c r="C25" s="294"/>
      <c r="D25" s="252">
        <v>0</v>
      </c>
      <c r="E25" s="296">
        <v>0</v>
      </c>
      <c r="F25" s="252">
        <v>0</v>
      </c>
      <c r="G25" s="252">
        <v>0</v>
      </c>
      <c r="H25" s="254">
        <f>SUM(G25:G25)</f>
        <v>0</v>
      </c>
    </row>
    <row r="26" spans="1:8">
      <c r="A26" s="185">
        <v>18</v>
      </c>
      <c r="B26" s="293"/>
      <c r="C26" s="294"/>
      <c r="D26" s="252">
        <v>0</v>
      </c>
      <c r="E26" s="296">
        <v>0</v>
      </c>
      <c r="F26" s="252">
        <v>0</v>
      </c>
      <c r="G26" s="252">
        <v>0</v>
      </c>
      <c r="H26" s="254">
        <f>SUM(G26:G26)</f>
        <v>0</v>
      </c>
    </row>
    <row r="27" spans="1:8">
      <c r="A27" s="185">
        <v>19</v>
      </c>
      <c r="B27" s="293"/>
      <c r="C27" s="294"/>
      <c r="D27" s="252">
        <v>0</v>
      </c>
      <c r="E27" s="252">
        <v>0</v>
      </c>
      <c r="F27" s="252">
        <v>0</v>
      </c>
      <c r="G27" s="252">
        <v>0</v>
      </c>
      <c r="H27" s="254">
        <f t="shared" si="0"/>
        <v>0</v>
      </c>
    </row>
    <row r="28" spans="1:8">
      <c r="A28" s="185">
        <v>20</v>
      </c>
      <c r="B28" s="293"/>
      <c r="C28" s="294"/>
      <c r="D28" s="252">
        <v>0</v>
      </c>
      <c r="E28" s="252">
        <v>0</v>
      </c>
      <c r="F28" s="252">
        <v>0</v>
      </c>
      <c r="G28" s="252">
        <v>0</v>
      </c>
      <c r="H28" s="254">
        <f t="shared" si="0"/>
        <v>0</v>
      </c>
    </row>
    <row r="29" spans="1:8">
      <c r="A29" s="185">
        <v>21</v>
      </c>
      <c r="B29" s="293"/>
      <c r="C29" s="294"/>
      <c r="D29" s="252">
        <v>0</v>
      </c>
      <c r="E29" s="252">
        <v>0</v>
      </c>
      <c r="F29" s="252">
        <v>0</v>
      </c>
      <c r="G29" s="252">
        <v>0</v>
      </c>
      <c r="H29" s="254">
        <f t="shared" si="0"/>
        <v>0</v>
      </c>
    </row>
    <row r="30" spans="1:8">
      <c r="A30" s="185">
        <v>22</v>
      </c>
      <c r="B30" s="293"/>
      <c r="C30" s="294"/>
      <c r="D30" s="252">
        <v>0</v>
      </c>
      <c r="E30" s="252">
        <v>0</v>
      </c>
      <c r="F30" s="252">
        <v>0</v>
      </c>
      <c r="G30" s="252">
        <v>0</v>
      </c>
      <c r="H30" s="254">
        <f t="shared" si="0"/>
        <v>0</v>
      </c>
    </row>
    <row r="31" spans="1:8">
      <c r="A31" s="185">
        <v>23</v>
      </c>
      <c r="B31" s="293"/>
      <c r="C31" s="294"/>
      <c r="D31" s="252">
        <v>0</v>
      </c>
      <c r="E31" s="252">
        <v>0</v>
      </c>
      <c r="F31" s="252">
        <v>0</v>
      </c>
      <c r="G31" s="252">
        <v>0</v>
      </c>
      <c r="H31" s="254">
        <f t="shared" si="0"/>
        <v>0</v>
      </c>
    </row>
    <row r="32" spans="1:8">
      <c r="A32" s="185">
        <v>24</v>
      </c>
      <c r="B32" s="293"/>
      <c r="C32" s="294"/>
      <c r="D32" s="252">
        <v>0</v>
      </c>
      <c r="E32" s="252">
        <v>0</v>
      </c>
      <c r="F32" s="252">
        <v>0</v>
      </c>
      <c r="G32" s="252">
        <v>0</v>
      </c>
      <c r="H32" s="254">
        <f t="shared" si="0"/>
        <v>0</v>
      </c>
    </row>
    <row r="33" spans="1:8">
      <c r="A33" s="185">
        <v>25</v>
      </c>
      <c r="B33" s="293"/>
      <c r="C33" s="294"/>
      <c r="D33" s="252">
        <v>0</v>
      </c>
      <c r="E33" s="252">
        <v>0</v>
      </c>
      <c r="F33" s="252">
        <v>0</v>
      </c>
      <c r="G33" s="252">
        <v>0</v>
      </c>
      <c r="H33" s="254">
        <f t="shared" si="0"/>
        <v>0</v>
      </c>
    </row>
    <row r="34" spans="1:8">
      <c r="A34" s="185">
        <v>26</v>
      </c>
      <c r="B34" s="293"/>
      <c r="C34" s="294"/>
      <c r="D34" s="252">
        <v>0</v>
      </c>
      <c r="E34" s="252">
        <v>0</v>
      </c>
      <c r="F34" s="252">
        <v>0</v>
      </c>
      <c r="G34" s="252">
        <v>0</v>
      </c>
      <c r="H34" s="254">
        <f t="shared" si="0"/>
        <v>0</v>
      </c>
    </row>
    <row r="35" spans="1:8">
      <c r="A35" s="185">
        <v>27</v>
      </c>
      <c r="B35" s="293"/>
      <c r="C35" s="294"/>
      <c r="D35" s="252">
        <v>0</v>
      </c>
      <c r="E35" s="252">
        <v>0</v>
      </c>
      <c r="F35" s="252">
        <v>0</v>
      </c>
      <c r="G35" s="252">
        <v>0</v>
      </c>
      <c r="H35" s="254">
        <f t="shared" si="0"/>
        <v>0</v>
      </c>
    </row>
    <row r="36" spans="1:8">
      <c r="A36" s="185">
        <v>28</v>
      </c>
      <c r="B36" s="293"/>
      <c r="C36" s="294"/>
      <c r="D36" s="252">
        <v>0</v>
      </c>
      <c r="E36" s="252">
        <v>0</v>
      </c>
      <c r="F36" s="252">
        <v>0</v>
      </c>
      <c r="G36" s="252">
        <v>0</v>
      </c>
      <c r="H36" s="254">
        <f t="shared" si="0"/>
        <v>0</v>
      </c>
    </row>
    <row r="37" spans="1:8">
      <c r="A37" s="185">
        <v>29</v>
      </c>
      <c r="B37" s="293"/>
      <c r="C37" s="294"/>
      <c r="D37" s="252">
        <v>0</v>
      </c>
      <c r="E37" s="252">
        <v>0</v>
      </c>
      <c r="F37" s="252">
        <v>0</v>
      </c>
      <c r="G37" s="252">
        <v>0</v>
      </c>
      <c r="H37" s="254">
        <f t="shared" si="0"/>
        <v>0</v>
      </c>
    </row>
    <row r="38" spans="1:8">
      <c r="A38" s="185">
        <v>30</v>
      </c>
      <c r="B38" s="293"/>
      <c r="C38" s="294"/>
      <c r="D38" s="252">
        <v>0</v>
      </c>
      <c r="E38" s="252">
        <v>0</v>
      </c>
      <c r="F38" s="252">
        <v>0</v>
      </c>
      <c r="G38" s="252">
        <v>0</v>
      </c>
      <c r="H38" s="254">
        <f t="shared" si="0"/>
        <v>0</v>
      </c>
    </row>
    <row r="39" spans="1:8">
      <c r="A39" s="185">
        <v>31</v>
      </c>
      <c r="B39" s="293"/>
      <c r="C39" s="294"/>
      <c r="D39" s="252">
        <v>0</v>
      </c>
      <c r="E39" s="252">
        <v>0</v>
      </c>
      <c r="F39" s="252">
        <v>0</v>
      </c>
      <c r="G39" s="252">
        <v>0</v>
      </c>
      <c r="H39" s="254">
        <f t="shared" si="0"/>
        <v>0</v>
      </c>
    </row>
    <row r="40" spans="1:8">
      <c r="A40" s="185">
        <v>32</v>
      </c>
      <c r="B40" s="293"/>
      <c r="C40" s="294"/>
      <c r="D40" s="252">
        <v>0</v>
      </c>
      <c r="E40" s="252">
        <v>0</v>
      </c>
      <c r="F40" s="252">
        <v>0</v>
      </c>
      <c r="G40" s="252">
        <v>0</v>
      </c>
      <c r="H40" s="254">
        <f t="shared" si="0"/>
        <v>0</v>
      </c>
    </row>
    <row r="41" spans="1:8">
      <c r="A41" s="185">
        <v>33</v>
      </c>
      <c r="B41" s="293"/>
      <c r="C41" s="294"/>
      <c r="D41" s="252">
        <v>0</v>
      </c>
      <c r="E41" s="252">
        <v>0</v>
      </c>
      <c r="F41" s="252">
        <v>0</v>
      </c>
      <c r="G41" s="252">
        <v>0</v>
      </c>
      <c r="H41" s="254">
        <f t="shared" si="0"/>
        <v>0</v>
      </c>
    </row>
    <row r="42" spans="1:8">
      <c r="A42" s="185">
        <v>34</v>
      </c>
      <c r="B42" s="293"/>
      <c r="C42" s="294"/>
      <c r="D42" s="252">
        <v>0</v>
      </c>
      <c r="E42" s="252">
        <v>0</v>
      </c>
      <c r="F42" s="252">
        <v>0</v>
      </c>
      <c r="G42" s="252">
        <v>0</v>
      </c>
      <c r="H42" s="254">
        <f t="shared" si="0"/>
        <v>0</v>
      </c>
    </row>
    <row r="43" spans="1:8">
      <c r="A43" s="185">
        <v>35</v>
      </c>
      <c r="B43" s="293"/>
      <c r="C43" s="294"/>
      <c r="D43" s="252">
        <v>0</v>
      </c>
      <c r="E43" s="252">
        <v>0</v>
      </c>
      <c r="F43" s="252">
        <v>0</v>
      </c>
      <c r="G43" s="252">
        <v>0</v>
      </c>
      <c r="H43" s="254">
        <f t="shared" si="0"/>
        <v>0</v>
      </c>
    </row>
    <row r="44" spans="1:8">
      <c r="A44" s="183"/>
      <c r="B44" s="183"/>
      <c r="C44" s="185"/>
      <c r="D44" s="254">
        <f>SUM(D9:D43)</f>
        <v>0</v>
      </c>
      <c r="E44" s="254">
        <f>SUM(E9:E43)</f>
        <v>0</v>
      </c>
      <c r="F44" s="254">
        <f>SUM(F9:F43)</f>
        <v>0</v>
      </c>
      <c r="G44" s="254">
        <f>SUM(G9:G43)</f>
        <v>3195533</v>
      </c>
      <c r="H44" s="254">
        <f>SUM(H9:H43)</f>
        <v>3195533</v>
      </c>
    </row>
    <row r="45" spans="1:8">
      <c r="D45" s="246"/>
      <c r="E45" s="246"/>
      <c r="F45" s="246"/>
      <c r="G45" s="246"/>
      <c r="H45" s="246"/>
    </row>
    <row r="46" spans="1:8">
      <c r="D46" s="246"/>
      <c r="E46" s="246"/>
      <c r="F46" s="246"/>
      <c r="G46" s="246"/>
      <c r="H46" s="246" t="s">
        <v>364</v>
      </c>
    </row>
    <row r="57" spans="8:9">
      <c r="I57" s="302"/>
    </row>
    <row r="64" spans="8:9">
      <c r="H64" s="303"/>
    </row>
    <row r="65" spans="8:8">
      <c r="H65" s="303"/>
    </row>
  </sheetData>
  <mergeCells count="4">
    <mergeCell ref="A1:H1"/>
    <mergeCell ref="A2:H2"/>
    <mergeCell ref="A3:H3"/>
    <mergeCell ref="A5:H5"/>
  </mergeCells>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0" workbookViewId="0">
      <selection activeCell="E35" sqref="E35"/>
    </sheetView>
  </sheetViews>
  <sheetFormatPr defaultRowHeight="12.75"/>
  <sheetData>
    <row r="1" spans="1:8" ht="15">
      <c r="A1" s="635" t="str">
        <f>'EIA412 BALANCE SHEET'!A1:F1</f>
        <v>Delano</v>
      </c>
      <c r="B1" s="635"/>
      <c r="C1" s="635"/>
      <c r="D1" s="635"/>
      <c r="E1" s="635"/>
      <c r="F1" s="635"/>
      <c r="G1" s="635"/>
      <c r="H1" s="635"/>
    </row>
    <row r="2" spans="1:8" ht="15">
      <c r="A2" s="632" t="s">
        <v>54</v>
      </c>
      <c r="B2" s="632"/>
      <c r="C2" s="632"/>
      <c r="D2" s="632"/>
      <c r="E2" s="632"/>
      <c r="F2" s="632"/>
      <c r="G2" s="632"/>
      <c r="H2" s="632"/>
    </row>
    <row r="3" spans="1:8" ht="15.75" thickBot="1">
      <c r="A3" s="635">
        <f>'EIA412 BALANCE SHEET'!A3:F3</f>
        <v>42004</v>
      </c>
      <c r="B3" s="635"/>
      <c r="C3" s="635"/>
      <c r="D3" s="635"/>
      <c r="E3" s="635"/>
      <c r="F3" s="635"/>
      <c r="G3" s="635"/>
      <c r="H3" s="635"/>
    </row>
    <row r="4" spans="1:8" ht="13.5" thickTop="1">
      <c r="A4" s="304"/>
      <c r="B4" s="304"/>
      <c r="C4" s="304"/>
      <c r="D4" s="304"/>
      <c r="E4" s="304"/>
      <c r="F4" s="304"/>
      <c r="G4" s="304"/>
      <c r="H4" s="305"/>
    </row>
    <row r="5" spans="1:8">
      <c r="H5" s="306"/>
    </row>
    <row r="6" spans="1:8">
      <c r="A6" s="30" t="s">
        <v>295</v>
      </c>
      <c r="H6" s="306"/>
    </row>
    <row r="8" spans="1:8">
      <c r="A8" t="s">
        <v>949</v>
      </c>
    </row>
    <row r="10" spans="1:8">
      <c r="A10" s="431" t="s">
        <v>934</v>
      </c>
      <c r="B10" s="431"/>
      <c r="C10" s="431"/>
      <c r="D10" s="431"/>
      <c r="E10" s="431"/>
      <c r="F10" s="431"/>
      <c r="G10" s="431"/>
      <c r="H10" s="431"/>
    </row>
    <row r="11" spans="1:8">
      <c r="A11" s="431" t="s">
        <v>1022</v>
      </c>
      <c r="B11" s="431"/>
      <c r="C11" s="431"/>
      <c r="D11" s="431"/>
      <c r="E11" s="431"/>
      <c r="F11" s="431"/>
      <c r="G11" s="431"/>
      <c r="H11" s="431"/>
    </row>
    <row r="12" spans="1:8">
      <c r="A12" s="399"/>
      <c r="B12" s="399"/>
      <c r="C12" s="399"/>
      <c r="D12" s="399"/>
      <c r="E12" s="399"/>
      <c r="F12" s="399"/>
      <c r="G12" s="399"/>
      <c r="H12" s="399"/>
    </row>
    <row r="13" spans="1:8">
      <c r="A13" s="431" t="s">
        <v>935</v>
      </c>
      <c r="B13" s="431"/>
      <c r="C13" s="431"/>
      <c r="D13" s="431"/>
      <c r="E13" s="431"/>
      <c r="F13" s="431"/>
      <c r="G13" s="431"/>
      <c r="H13" s="431"/>
    </row>
    <row r="14" spans="1:8">
      <c r="A14" s="431" t="s">
        <v>936</v>
      </c>
      <c r="B14" s="431"/>
      <c r="C14" s="431"/>
      <c r="D14" s="431"/>
      <c r="E14" s="431"/>
      <c r="F14" s="431"/>
      <c r="G14" s="431"/>
      <c r="H14" s="431"/>
    </row>
    <row r="15" spans="1:8">
      <c r="A15" s="431" t="s">
        <v>937</v>
      </c>
      <c r="B15" s="431"/>
      <c r="C15" s="431"/>
      <c r="D15" s="431"/>
      <c r="E15" s="431"/>
      <c r="F15" s="431"/>
      <c r="G15" s="431"/>
      <c r="H15" s="431"/>
    </row>
    <row r="16" spans="1:8">
      <c r="A16" s="399"/>
      <c r="B16" s="399"/>
      <c r="C16" s="399"/>
      <c r="D16" s="399"/>
      <c r="E16" s="399"/>
      <c r="F16" s="399"/>
      <c r="G16" s="399"/>
      <c r="H16" s="399"/>
    </row>
    <row r="17" spans="1:8">
      <c r="A17" s="431" t="s">
        <v>1023</v>
      </c>
      <c r="B17" s="431"/>
      <c r="C17" s="431"/>
      <c r="D17" s="431"/>
      <c r="E17" s="431"/>
      <c r="F17" s="431"/>
      <c r="G17" s="431"/>
      <c r="H17" s="431"/>
    </row>
    <row r="18" spans="1:8">
      <c r="A18" s="399"/>
      <c r="B18" s="399"/>
      <c r="C18" s="399"/>
      <c r="D18" s="399"/>
      <c r="E18" s="399"/>
      <c r="F18" s="399"/>
      <c r="G18" s="399"/>
      <c r="H18" s="399"/>
    </row>
    <row r="19" spans="1:8">
      <c r="A19" s="431" t="s">
        <v>938</v>
      </c>
      <c r="B19" s="399"/>
      <c r="C19" s="399"/>
      <c r="D19" s="399"/>
      <c r="E19" s="399"/>
      <c r="F19" s="399"/>
      <c r="G19" s="399"/>
      <c r="H19" s="399"/>
    </row>
    <row r="20" spans="1:8">
      <c r="A20" s="399"/>
      <c r="B20" s="399"/>
      <c r="C20" s="399"/>
      <c r="D20" s="399"/>
      <c r="E20" s="399"/>
      <c r="F20" s="399"/>
      <c r="G20" s="399"/>
      <c r="H20" s="399"/>
    </row>
    <row r="21" spans="1:8">
      <c r="A21" s="431" t="s">
        <v>939</v>
      </c>
      <c r="B21" s="399"/>
      <c r="C21" s="399"/>
      <c r="D21" s="399"/>
      <c r="E21" s="399"/>
      <c r="F21" s="399"/>
      <c r="G21" s="399"/>
      <c r="H21" s="399"/>
    </row>
    <row r="22" spans="1:8">
      <c r="A22" s="431" t="s">
        <v>940</v>
      </c>
      <c r="B22" s="399"/>
      <c r="C22" s="399"/>
      <c r="D22" s="399"/>
      <c r="E22" s="399"/>
      <c r="F22" s="399"/>
      <c r="G22" s="399"/>
      <c r="H22" s="399"/>
    </row>
    <row r="23" spans="1:8">
      <c r="A23" s="431" t="s">
        <v>941</v>
      </c>
      <c r="B23" s="399"/>
      <c r="C23" s="399"/>
      <c r="D23" s="399"/>
      <c r="E23" s="399"/>
      <c r="F23" s="399"/>
      <c r="G23" s="399"/>
      <c r="H23" s="399"/>
    </row>
    <row r="24" spans="1:8">
      <c r="A24" s="431" t="s">
        <v>933</v>
      </c>
      <c r="B24" s="399"/>
      <c r="C24" s="399"/>
      <c r="D24" s="399"/>
      <c r="E24" s="399"/>
      <c r="F24" s="399"/>
      <c r="G24" s="399"/>
      <c r="H24" s="399"/>
    </row>
    <row r="26" spans="1:8">
      <c r="A26" t="s">
        <v>364</v>
      </c>
    </row>
    <row r="27" spans="1:8">
      <c r="A27" t="s">
        <v>364</v>
      </c>
    </row>
    <row r="28" spans="1:8">
      <c r="A28" t="s">
        <v>364</v>
      </c>
    </row>
  </sheetData>
  <mergeCells count="3">
    <mergeCell ref="A1:H1"/>
    <mergeCell ref="A2:H2"/>
    <mergeCell ref="A3:H3"/>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Attachment O</vt:lpstr>
      <vt:lpstr>EIA412 BALANCE SHEET</vt:lpstr>
      <vt:lpstr>EIA412 INCOME STATEMENT</vt:lpstr>
      <vt:lpstr>EIA412 ELECTRIC PLANT</vt:lpstr>
      <vt:lpstr>EIA412 TAXES</vt:lpstr>
      <vt:lpstr>EIA412 OP &amp; MAINT</vt:lpstr>
      <vt:lpstr>EIA412 SALES FOR RESALE</vt:lpstr>
      <vt:lpstr>EIA412 POWER PURCHASES</vt:lpstr>
      <vt:lpstr>EIA412 NOTES</vt:lpstr>
      <vt:lpstr>DS1_Wages &amp; Salary Allocator</vt:lpstr>
      <vt:lpstr>DS3_Depreciation</vt:lpstr>
      <vt:lpstr>DS4_12 CP Load Data</vt:lpstr>
      <vt:lpstr>DS5_Plant Detail 2014</vt:lpstr>
      <vt:lpstr>Alert</vt:lpstr>
      <vt:lpstr>TRANS TARIFF REV + EXP</vt:lpstr>
      <vt:lpstr>Sheet1</vt:lpstr>
      <vt:lpstr>'Attachment O'!Print_Area</vt:lpstr>
      <vt:lpstr>'DS1_Wages &amp; Salary Allocator'!Print_Area</vt:lpstr>
      <vt:lpstr>DS3_Depreciation!Print_Area</vt:lpstr>
      <vt:lpstr>'DS5_Plant Detail 2014'!Print_Area</vt:lpstr>
      <vt:lpstr>'DS5_Plant Detail 2014'!Print_Titles</vt:lpstr>
      <vt:lpstr>'TRANS TARIFF REV + EXP'!Print_Titles</vt:lpstr>
    </vt:vector>
  </TitlesOfParts>
  <Company>MCR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Kennedy</dc:creator>
  <cp:lastModifiedBy>Larry Blaine</cp:lastModifiedBy>
  <cp:lastPrinted>2014-03-27T18:03:59Z</cp:lastPrinted>
  <dcterms:created xsi:type="dcterms:W3CDTF">2006-06-21T16:23:08Z</dcterms:created>
  <dcterms:modified xsi:type="dcterms:W3CDTF">2016-02-24T20:02:33Z</dcterms:modified>
</cp:coreProperties>
</file>