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APX2020\MISO TRANSMISSION OWNER FILINGS\Elk River\ELK RIVER 2014 DATA\"/>
    </mc:Choice>
  </mc:AlternateContent>
  <bookViews>
    <workbookView xWindow="0" yWindow="0" windowWidth="21600" windowHeight="9435"/>
  </bookViews>
  <sheets>
    <sheet name="Attachment O" sheetId="25" r:id="rId1"/>
    <sheet name="EIA 412 BALANCE SHEET" sheetId="24" r:id="rId2"/>
    <sheet name="EIA 412 INCOME STATEMENT" sheetId="23" r:id="rId3"/>
    <sheet name="EIA 412 ELECTRIC PLANT" sheetId="22" r:id="rId4"/>
    <sheet name="EIA 412 TAXES" sheetId="21" r:id="rId5"/>
    <sheet name="EIA 412 OP &amp; MAINT" sheetId="20" r:id="rId6"/>
    <sheet name="EIA 412 SALES FOR RESALE" sheetId="19" r:id="rId7"/>
    <sheet name="EIA 412 PURCHASED POWER" sheetId="18" r:id="rId8"/>
    <sheet name="EIA 412 NOTES" sheetId="17" r:id="rId9"/>
    <sheet name="Att. O Data - Elk River" sheetId="2" r:id="rId10"/>
    <sheet name=" ERS1_Plant Assets" sheetId="3" r:id="rId11"/>
    <sheet name="ERS2_Wages &amp; Salary Allocator" sheetId="5" r:id="rId12"/>
    <sheet name="ERS3_Depreciation" sheetId="6" r:id="rId13"/>
    <sheet name="ERS4_Debt Detail" sheetId="14" r:id="rId14"/>
    <sheet name="ERS5_2014 12 CP Load Data" sheetId="7" r:id="rId15"/>
    <sheet name="ERS6_Elk River Trans" sheetId="9" r:id="rId16"/>
    <sheet name="ERS7_General Plant Detail" sheetId="12" r:id="rId17"/>
    <sheet name="ERS8_Breakout of pg 54 &amp; 56" sheetId="15" r:id="rId18"/>
    <sheet name="CMMPA DUES IN A&amp;G" sheetId="26" r:id="rId19"/>
    <sheet name="Alert" sheetId="30" state="hidden" r:id="rId20"/>
    <sheet name="TARIFF REVENUE" sheetId="27" r:id="rId21"/>
    <sheet name="Sheet2" sheetId="29" r:id="rId22"/>
    <sheet name="Sheet5" sheetId="33" r:id="rId23"/>
  </sheets>
  <definedNames>
    <definedName name="_xlnm.Print_Area" localSheetId="10">' ERS1_Plant Assets'!$C$5:$H$34</definedName>
    <definedName name="_xlnm.Print_Area" localSheetId="9">'Att. O Data - Elk River'!$E$4:$I$90</definedName>
    <definedName name="_xlnm.Print_Area" localSheetId="11">'ERS2_Wages &amp; Salary Allocator'!$C$3:$H$14</definedName>
    <definedName name="_xlnm.Print_Area" localSheetId="12">ERS3_Depreciation!$B$3:$I$22</definedName>
    <definedName name="_xlnm.Print_Area" localSheetId="13">'ERS4_Debt Detail'!$B$3:$H$52</definedName>
    <definedName name="_xlnm.Print_Area" localSheetId="14">'ERS5_2014 12 CP Load Data'!$B$4:$K$29</definedName>
    <definedName name="_xlnm.Print_Area" localSheetId="17">'ERS8_Breakout of pg 54 &amp; 56'!$B$2:$L$62</definedName>
    <definedName name="Print_Area_MI" localSheetId="17">#REF!</definedName>
    <definedName name="Print_Area_MI">#REF!</definedName>
    <definedName name="_xlnm.Print_Titles" localSheetId="18">'CMMPA DUES IN A&amp;G'!$A:$D,'CMMPA DUES IN A&amp;G'!$1:$1</definedName>
    <definedName name="_xlnm.Print_Titles" localSheetId="20">'TARIFF REVENUE'!$A:$F,'TARIFF REVENUE'!$1:$1</definedName>
    <definedName name="QB_COLUMN_1" localSheetId="20" hidden="1">'TARIFF REVENUE'!$G$1</definedName>
    <definedName name="QB_COLUMN_16" localSheetId="20" hidden="1">'TARIFF REVENUE'!$S$1</definedName>
    <definedName name="QB_COLUMN_17" localSheetId="20" hidden="1">'TARIFF REVENUE'!$U$1</definedName>
    <definedName name="QB_COLUMN_19" localSheetId="20" hidden="1">'TARIFF REVENUE'!$W$1</definedName>
    <definedName name="QB_COLUMN_20" localSheetId="20" hidden="1">'TARIFF REVENUE'!$Y$1</definedName>
    <definedName name="QB_COLUMN_28" localSheetId="20" hidden="1">'TARIFF REVENUE'!$AA$1</definedName>
    <definedName name="QB_COLUMN_29" localSheetId="20" hidden="1">'TARIFF REVENUE'!$AC$1</definedName>
    <definedName name="QB_COLUMN_3" localSheetId="20" hidden="1">'TARIFF REVENUE'!$I$1</definedName>
    <definedName name="QB_COLUMN_31" localSheetId="20" hidden="1">'TARIFF REVENUE'!$AE$1</definedName>
    <definedName name="QB_COLUMN_4" localSheetId="20" hidden="1">'TARIFF REVENUE'!$K$1</definedName>
    <definedName name="QB_COLUMN_5" localSheetId="20" hidden="1">'TARIFF REVENUE'!$M$1</definedName>
    <definedName name="QB_COLUMN_7" localSheetId="20" hidden="1">'TARIFF REVENUE'!$O$1</definedName>
    <definedName name="QB_COLUMN_8" localSheetId="20" hidden="1">'TARIFF REVENUE'!$Q$1</definedName>
    <definedName name="QB_DATA_0" localSheetId="20" hidden="1">'TARIFF REVENUE'!$5:$5,'TARIFF REVENUE'!$6:$6,'TARIFF REVENUE'!$7:$7,'TARIFF REVENUE'!$8:$8,'TARIFF REVENUE'!$9:$9,'TARIFF REVENUE'!$10:$10,'TARIFF REVENUE'!$11:$11,'TARIFF REVENUE'!$12:$12,'TARIFF REVENUE'!$13:$13,'TARIFF REVENUE'!$14:$14,'TARIFF REVENUE'!$15:$15,'TARIFF REVENUE'!$16:$16,'TARIFF REVENUE'!$19:$19,'TARIFF REVENUE'!$20:$20,'TARIFF REVENUE'!$21:$21,'TARIFF REVENUE'!$22:$22</definedName>
    <definedName name="QB_DATA_1" localSheetId="20" hidden="1">'TARIFF REVENUE'!$23:$23,'TARIFF REVENUE'!$24:$24,'TARIFF REVENUE'!$25:$25,'TARIFF REVENUE'!$26:$26,'TARIFF REVENUE'!$27:$27,'TARIFF REVENUE'!$28:$28,'TARIFF REVENUE'!$29:$29,'TARIFF REVENUE'!$32:$32,'TARIFF REVENUE'!$33:$33,'TARIFF REVENUE'!$34:$34,'TARIFF REVENUE'!$35:$35,'TARIFF REVENUE'!$36:$36,'TARIFF REVENUE'!$37:$37,'TARIFF REVENUE'!$38:$38,'TARIFF REVENUE'!$39:$39,'TARIFF REVENUE'!$40:$40</definedName>
    <definedName name="QB_DATA_2" localSheetId="20" hidden="1">'TARIFF REVENUE'!$41:$41,'TARIFF REVENUE'!$42:$42,'TARIFF REVENUE'!$43:$43,'TARIFF REVENUE'!$52:$52,'TARIFF REVENUE'!$53:$53,'TARIFF REVENUE'!$54:$54,'TARIFF REVENUE'!$55:$55,'TARIFF REVENUE'!$56:$56,'TARIFF REVENUE'!$57:$57,'TARIFF REVENUE'!$58:$58,'TARIFF REVENUE'!$59:$59,'TARIFF REVENUE'!$60:$60,'TARIFF REVENUE'!$61:$61,'TARIFF REVENUE'!$62:$62</definedName>
    <definedName name="QB_FORMULA_0" localSheetId="20" hidden="1">'TARIFF REVENUE'!$AA$17,'TARIFF REVENUE'!$AC$17,'TARIFF REVENUE'!$AE$17,'TARIFF REVENUE'!$AA$30,'TARIFF REVENUE'!$AC$30,'TARIFF REVENUE'!$AE$30,'TARIFF REVENUE'!$AA$44,'TARIFF REVENUE'!$AC$44,'TARIFF REVENUE'!$AE$44,'TARIFF REVENUE'!$AA$45,'TARIFF REVENUE'!$AC$45,'TARIFF REVENUE'!$AE$45,'TARIFF REVENUE'!$AA$46,'TARIFF REVENUE'!$AC$46,'TARIFF REVENUE'!$AE$46,'TARIFF REVENUE'!$AA$63</definedName>
    <definedName name="QB_FORMULA_1" localSheetId="20" hidden="1">'TARIFF REVENUE'!$AC$63,'TARIFF REVENUE'!$AE$63,'TARIFF REVENUE'!$AA$64,'TARIFF REVENUE'!$AC$64,'TARIFF REVENUE'!$AE$64,'TARIFF REVENUE'!$AA$65,'TARIFF REVENUE'!$AC$65,'TARIFF REVENUE'!$AE$65,'TARIFF REVENUE'!$AA$66,'TARIFF REVENUE'!$AC$66,'TARIFF REVENUE'!$AE$66,'TARIFF REVENUE'!$AA$67,'TARIFF REVENUE'!$AC$67,'TARIFF REVENUE'!$AE$67,'TARIFF REVENUE'!$AA$68,'TARIFF REVENUE'!$AC$68</definedName>
    <definedName name="QB_FORMULA_2" localSheetId="20" hidden="1">'TARIFF REVENUE'!$AE$68</definedName>
    <definedName name="QB_ROW_1062030" localSheetId="20" hidden="1">'TARIFF REVENUE'!$D$18</definedName>
    <definedName name="QB_ROW_1062330" localSheetId="20" hidden="1">'TARIFF REVENUE'!$D$30</definedName>
    <definedName name="QB_ROW_1063030" localSheetId="20" hidden="1">'TARIFF REVENUE'!$D$31</definedName>
    <definedName name="QB_ROW_1063330" localSheetId="20" hidden="1">'TARIFF REVENUE'!$D$44</definedName>
    <definedName name="QB_ROW_1071040" localSheetId="20" hidden="1">'TARIFF REVENUE'!$E$50</definedName>
    <definedName name="QB_ROW_1071340" localSheetId="20" hidden="1">'TARIFF REVENUE'!$E$64</definedName>
    <definedName name="QB_ROW_1250050" localSheetId="20" hidden="1">'TARIFF REVENUE'!$F$51</definedName>
    <definedName name="QB_ROW_1250350" localSheetId="20" hidden="1">'TARIFF REVENUE'!$F$63</definedName>
    <definedName name="QB_ROW_25301" localSheetId="20" hidden="1">'TARIFF REVENUE'!$A$68</definedName>
    <definedName name="QB_ROW_415020" localSheetId="20" hidden="1">'TARIFF REVENUE'!$C$48</definedName>
    <definedName name="QB_ROW_415320" localSheetId="20" hidden="1">'TARIFF REVENUE'!$C$66</definedName>
    <definedName name="QB_ROW_530010" localSheetId="20" hidden="1">'TARIFF REVENUE'!$B$47</definedName>
    <definedName name="QB_ROW_530310" localSheetId="20" hidden="1">'TARIFF REVENUE'!$B$67</definedName>
    <definedName name="QB_ROW_805010" localSheetId="20" hidden="1">'TARIFF REVENUE'!$B$2</definedName>
    <definedName name="QB_ROW_805310" localSheetId="20" hidden="1">'TARIFF REVENUE'!$B$46</definedName>
    <definedName name="QB_ROW_842020" localSheetId="20" hidden="1">'TARIFF REVENUE'!$C$3</definedName>
    <definedName name="QB_ROW_842320" localSheetId="20" hidden="1">'TARIFF REVENUE'!$C$45</definedName>
    <definedName name="QB_ROW_847030" localSheetId="20" hidden="1">'TARIFF REVENUE'!$D$4</definedName>
    <definedName name="QB_ROW_847330" localSheetId="20" hidden="1">'TARIFF REVENUE'!$D$17</definedName>
    <definedName name="QB_ROW_974030" localSheetId="20" hidden="1">'TARIFF REVENUE'!$D$49</definedName>
    <definedName name="QB_ROW_974330" localSheetId="20" hidden="1">'TARIFF REVENUE'!$D$65</definedName>
    <definedName name="QBCANSUPPORTUPDATE" localSheetId="20">TRUE</definedName>
    <definedName name="QBCOMPANYFILENAME" localSheetId="20">"H:\QUICKBOOKS\UTILITIES PLUS.QBW"</definedName>
    <definedName name="QBENDDATE" localSheetId="20">20141231</definedName>
    <definedName name="QBHEADERSONSCREEN" localSheetId="20">FALSE</definedName>
    <definedName name="QBMETADATASIZE" localSheetId="20">7466</definedName>
    <definedName name="QBPRESERVECOLOR" localSheetId="20">TRUE</definedName>
    <definedName name="QBPRESERVEFONT" localSheetId="20">TRUE</definedName>
    <definedName name="QBPRESERVEROWHEIGHT" localSheetId="20">TRUE</definedName>
    <definedName name="QBPRESERVESPACE" localSheetId="20">TRUE</definedName>
    <definedName name="QBREPORTCOLAXIS" localSheetId="20">0</definedName>
    <definedName name="QBREPORTCOMPANYID" localSheetId="20">"bf4546971b1f46298ba13004a1d6ad14"</definedName>
    <definedName name="QBREPORTCOMPARECOL_ANNUALBUDGET" localSheetId="20">FALSE</definedName>
    <definedName name="QBREPORTCOMPARECOL_AVGCOGS" localSheetId="20">FALSE</definedName>
    <definedName name="QBREPORTCOMPARECOL_AVGPRICE" localSheetId="20">FALSE</definedName>
    <definedName name="QBREPORTCOMPARECOL_BUDDIFF" localSheetId="20">FALSE</definedName>
    <definedName name="QBREPORTCOMPARECOL_BUDGET" localSheetId="20">FALSE</definedName>
    <definedName name="QBREPORTCOMPARECOL_BUDPCT" localSheetId="20">FALSE</definedName>
    <definedName name="QBREPORTCOMPARECOL_COGS" localSheetId="20">FALSE</definedName>
    <definedName name="QBREPORTCOMPARECOL_EXCLUDEAMOUNT" localSheetId="20">FALSE</definedName>
    <definedName name="QBREPORTCOMPARECOL_EXCLUDECURPERIOD" localSheetId="20">FALSE</definedName>
    <definedName name="QBREPORTCOMPARECOL_FORECAST" localSheetId="20">FALSE</definedName>
    <definedName name="QBREPORTCOMPARECOL_GROSSMARGIN" localSheetId="20">FALSE</definedName>
    <definedName name="QBREPORTCOMPARECOL_GROSSMARGINPCT" localSheetId="20">FALSE</definedName>
    <definedName name="QBREPORTCOMPARECOL_HOURS" localSheetId="20">FALSE</definedName>
    <definedName name="QBREPORTCOMPARECOL_PCTCOL" localSheetId="20">FALSE</definedName>
    <definedName name="QBREPORTCOMPARECOL_PCTEXPENSE" localSheetId="20">FALSE</definedName>
    <definedName name="QBREPORTCOMPARECOL_PCTINCOME" localSheetId="20">FALSE</definedName>
    <definedName name="QBREPORTCOMPARECOL_PCTOFSALES" localSheetId="20">FALSE</definedName>
    <definedName name="QBREPORTCOMPARECOL_PCTROW" localSheetId="20">FALSE</definedName>
    <definedName name="QBREPORTCOMPARECOL_PPDIFF" localSheetId="20">FALSE</definedName>
    <definedName name="QBREPORTCOMPARECOL_PPPCT" localSheetId="20">FALSE</definedName>
    <definedName name="QBREPORTCOMPARECOL_PREVPERIOD" localSheetId="20">FALSE</definedName>
    <definedName name="QBREPORTCOMPARECOL_PREVYEAR" localSheetId="20">FALSE</definedName>
    <definedName name="QBREPORTCOMPARECOL_PYDIFF" localSheetId="20">FALSE</definedName>
    <definedName name="QBREPORTCOMPARECOL_PYPCT" localSheetId="20">FALSE</definedName>
    <definedName name="QBREPORTCOMPARECOL_QTY" localSheetId="20">FALSE</definedName>
    <definedName name="QBREPORTCOMPARECOL_RATE" localSheetId="20">FALSE</definedName>
    <definedName name="QBREPORTCOMPARECOL_TRIPBILLEDMILES" localSheetId="20">FALSE</definedName>
    <definedName name="QBREPORTCOMPARECOL_TRIPBILLINGAMOUNT" localSheetId="20">FALSE</definedName>
    <definedName name="QBREPORTCOMPARECOL_TRIPMILES" localSheetId="20">FALSE</definedName>
    <definedName name="QBREPORTCOMPARECOL_TRIPNOTBILLABLEMILES" localSheetId="20">FALSE</definedName>
    <definedName name="QBREPORTCOMPARECOL_TRIPTAXDEDUCTIBLEAMOUNT" localSheetId="20">FALSE</definedName>
    <definedName name="QBREPORTCOMPARECOL_TRIPUNBILLEDMILES" localSheetId="20">FALSE</definedName>
    <definedName name="QBREPORTCOMPARECOL_YTD" localSheetId="20">FALSE</definedName>
    <definedName name="QBREPORTCOMPARECOL_YTDBUDGET" localSheetId="20">FALSE</definedName>
    <definedName name="QBREPORTCOMPARECOL_YTDPCT" localSheetId="20">FALSE</definedName>
    <definedName name="QBREPORTROWAXIS" localSheetId="20">12</definedName>
    <definedName name="QBREPORTSUBCOLAXIS" localSheetId="20">0</definedName>
    <definedName name="QBREPORTTYPE" localSheetId="20">23</definedName>
    <definedName name="QBROWHEADERS" localSheetId="20">6</definedName>
    <definedName name="QBSTARTDATE" localSheetId="20">20140101</definedName>
  </definedNames>
  <calcPr calcId="152511"/>
</workbook>
</file>

<file path=xl/calcChain.xml><?xml version="1.0" encoding="utf-8"?>
<calcChain xmlns="http://schemas.openxmlformats.org/spreadsheetml/2006/main">
  <c r="F33" i="20" l="1"/>
  <c r="E21" i="20" l="1"/>
  <c r="I265" i="25"/>
  <c r="I264" i="25"/>
  <c r="C19" i="23"/>
  <c r="C13" i="21"/>
  <c r="C18" i="23" l="1"/>
  <c r="D276" i="25"/>
  <c r="I22" i="25"/>
  <c r="K35" i="9" l="1"/>
  <c r="J35" i="9"/>
  <c r="I35" i="9"/>
  <c r="M25" i="15" l="1"/>
  <c r="I38" i="15"/>
  <c r="I32" i="15"/>
  <c r="F41" i="5" l="1"/>
  <c r="F26" i="5"/>
  <c r="F40" i="5"/>
  <c r="F33" i="5"/>
  <c r="F25" i="5"/>
  <c r="F24" i="5"/>
  <c r="F23" i="5"/>
  <c r="F32" i="5"/>
  <c r="F42" i="5"/>
  <c r="F31" i="5"/>
  <c r="F30" i="5"/>
  <c r="F37" i="5"/>
  <c r="F29" i="5"/>
  <c r="F39" i="5"/>
  <c r="F36" i="5"/>
  <c r="F38" i="5"/>
  <c r="F21" i="5"/>
  <c r="F20" i="5"/>
  <c r="F19" i="5"/>
  <c r="F28" i="5"/>
  <c r="F22" i="5"/>
  <c r="I40" i="14" l="1"/>
  <c r="I50" i="14" s="1"/>
  <c r="E41" i="14"/>
  <c r="F41" i="14"/>
  <c r="F40" i="14" l="1"/>
  <c r="E40" i="14"/>
  <c r="F38" i="14"/>
  <c r="E38" i="14"/>
  <c r="L12" i="12" l="1"/>
  <c r="J12" i="12"/>
  <c r="I12" i="12"/>
  <c r="L11" i="12"/>
  <c r="J11" i="12"/>
  <c r="I11" i="12"/>
  <c r="G9" i="18" l="1"/>
  <c r="C8" i="23"/>
  <c r="F47" i="24"/>
  <c r="F44" i="24"/>
  <c r="F46" i="24"/>
  <c r="F43" i="24"/>
  <c r="F41" i="24"/>
  <c r="F39" i="24"/>
  <c r="F11" i="24"/>
  <c r="C51" i="24"/>
  <c r="C46" i="24"/>
  <c r="C44" i="24"/>
  <c r="C38" i="24"/>
  <c r="C39" i="24"/>
  <c r="C36" i="24"/>
  <c r="AE63" i="27"/>
  <c r="AE64" i="27" s="1"/>
  <c r="AE65" i="27" s="1"/>
  <c r="AE66" i="27" s="1"/>
  <c r="AE67" i="27" s="1"/>
  <c r="AC63" i="27"/>
  <c r="AC64" i="27" s="1"/>
  <c r="AC65" i="27" s="1"/>
  <c r="AC66" i="27" s="1"/>
  <c r="AC67" i="27" s="1"/>
  <c r="AA63" i="27"/>
  <c r="AA64" i="27" s="1"/>
  <c r="AA65" i="27" s="1"/>
  <c r="AA66" i="27" s="1"/>
  <c r="AA67" i="27" s="1"/>
  <c r="AE44" i="27"/>
  <c r="AC44" i="27"/>
  <c r="AA44" i="27"/>
  <c r="AE30" i="27"/>
  <c r="AC30" i="27"/>
  <c r="AA30" i="27"/>
  <c r="AE17" i="27"/>
  <c r="AE45" i="27" s="1"/>
  <c r="AE46" i="27" s="1"/>
  <c r="AE68" i="27" s="1"/>
  <c r="AC17" i="27"/>
  <c r="AC45" i="27" s="1"/>
  <c r="AC46" i="27" s="1"/>
  <c r="AC68" i="27" s="1"/>
  <c r="AA17" i="27"/>
  <c r="AA45" i="27" s="1"/>
  <c r="AA46" i="27" s="1"/>
  <c r="AA68" i="27" s="1"/>
  <c r="D21" i="20" l="1"/>
  <c r="M16" i="15" l="1"/>
  <c r="M15" i="15"/>
  <c r="R35" i="5"/>
  <c r="Q35" i="5"/>
  <c r="P35" i="5"/>
  <c r="O35" i="5"/>
  <c r="N35" i="5"/>
  <c r="R27" i="5"/>
  <c r="Q27" i="5"/>
  <c r="P27" i="5"/>
  <c r="R39" i="5"/>
  <c r="Q39" i="5"/>
  <c r="P39" i="5"/>
  <c r="O39" i="5"/>
  <c r="N39" i="5"/>
  <c r="F28" i="20"/>
  <c r="H205" i="25" l="1"/>
  <c r="H138" i="25"/>
  <c r="H72" i="25"/>
  <c r="G20" i="22"/>
  <c r="D86" i="25" s="1"/>
  <c r="G19" i="22"/>
  <c r="G18" i="22"/>
  <c r="D84" i="25" s="1"/>
  <c r="I215" i="25" s="1"/>
  <c r="I218" i="25" s="1"/>
  <c r="I220" i="25" s="1"/>
  <c r="G26" i="15"/>
  <c r="G28" i="15" s="1"/>
  <c r="G60" i="15" s="1"/>
  <c r="F26" i="15"/>
  <c r="F28" i="15" s="1"/>
  <c r="K11" i="12"/>
  <c r="K12" i="12"/>
  <c r="K10" i="12"/>
  <c r="R34" i="5"/>
  <c r="R33" i="5"/>
  <c r="Q34" i="5"/>
  <c r="Q33" i="5"/>
  <c r="P34" i="5"/>
  <c r="P33" i="5"/>
  <c r="O34" i="5"/>
  <c r="O33" i="5"/>
  <c r="N33" i="5"/>
  <c r="N34" i="5"/>
  <c r="R21" i="5"/>
  <c r="Q21" i="5"/>
  <c r="P21" i="5"/>
  <c r="O21" i="5"/>
  <c r="N21" i="5"/>
  <c r="R42" i="5"/>
  <c r="Q42" i="5"/>
  <c r="P42" i="5"/>
  <c r="O42" i="5"/>
  <c r="N42" i="5"/>
  <c r="F19" i="24"/>
  <c r="F32" i="24" s="1"/>
  <c r="D248" i="25" s="1"/>
  <c r="F10" i="6"/>
  <c r="I26" i="15"/>
  <c r="I28" i="15" s="1"/>
  <c r="I58" i="15" s="1"/>
  <c r="I60" i="15" s="1"/>
  <c r="D29" i="20" s="1"/>
  <c r="G28" i="22"/>
  <c r="C11" i="24" s="1"/>
  <c r="G15" i="22"/>
  <c r="I19" i="22"/>
  <c r="D93" i="25" s="1"/>
  <c r="AA17" i="26"/>
  <c r="AA18" i="26" s="1"/>
  <c r="AA19" i="26" s="1"/>
  <c r="AA20" i="26" s="1"/>
  <c r="Y17" i="26"/>
  <c r="Y18" i="26" s="1"/>
  <c r="Y19" i="26" s="1"/>
  <c r="Y20" i="26" s="1"/>
  <c r="W17" i="26"/>
  <c r="W18" i="26" s="1"/>
  <c r="W19" i="26" s="1"/>
  <c r="W20" i="26" s="1"/>
  <c r="E23" i="20"/>
  <c r="N27" i="5"/>
  <c r="O27" i="5"/>
  <c r="J16" i="22"/>
  <c r="J18" i="22"/>
  <c r="D161" i="25" s="1"/>
  <c r="J19" i="22"/>
  <c r="J20" i="22"/>
  <c r="D162" i="25" s="1"/>
  <c r="G55" i="2"/>
  <c r="G54" i="2"/>
  <c r="E18" i="20"/>
  <c r="D18" i="20" s="1"/>
  <c r="E26" i="7"/>
  <c r="E27" i="7" s="1"/>
  <c r="J13" i="12"/>
  <c r="J15" i="15"/>
  <c r="J14" i="15"/>
  <c r="J13" i="15"/>
  <c r="J11" i="15"/>
  <c r="J19" i="15"/>
  <c r="J20" i="15"/>
  <c r="J21" i="15"/>
  <c r="J23" i="15"/>
  <c r="O41" i="5"/>
  <c r="O40" i="5"/>
  <c r="O38" i="5"/>
  <c r="O19" i="5"/>
  <c r="O20" i="5"/>
  <c r="O22" i="5"/>
  <c r="O23" i="5"/>
  <c r="O24" i="5"/>
  <c r="O25" i="5"/>
  <c r="O26" i="5"/>
  <c r="O28" i="5"/>
  <c r="O29" i="5"/>
  <c r="O30" i="5"/>
  <c r="O31" i="5"/>
  <c r="O32" i="5"/>
  <c r="O36" i="5"/>
  <c r="O37" i="5"/>
  <c r="D16" i="22"/>
  <c r="D21" i="22" s="1"/>
  <c r="D26" i="22" s="1"/>
  <c r="D29" i="22" s="1"/>
  <c r="F16" i="22"/>
  <c r="F21" i="22" s="1"/>
  <c r="F26" i="22" s="1"/>
  <c r="F29" i="22" s="1"/>
  <c r="I16" i="22"/>
  <c r="D91" i="25" s="1"/>
  <c r="I18" i="22"/>
  <c r="I20" i="22"/>
  <c r="D94" i="25" s="1"/>
  <c r="F15" i="24"/>
  <c r="D249" i="25" s="1"/>
  <c r="F48" i="24"/>
  <c r="Q41" i="5"/>
  <c r="Q40" i="5"/>
  <c r="Q38" i="5"/>
  <c r="Q19" i="5"/>
  <c r="Q20" i="5"/>
  <c r="Q22" i="5"/>
  <c r="Q23" i="5"/>
  <c r="Q24" i="5"/>
  <c r="Q25" i="5"/>
  <c r="Q26" i="5"/>
  <c r="Q28" i="5"/>
  <c r="Q29" i="5"/>
  <c r="Q30" i="5"/>
  <c r="Q31" i="5"/>
  <c r="Q32" i="5"/>
  <c r="Q36" i="5"/>
  <c r="Q37" i="5"/>
  <c r="P41" i="5"/>
  <c r="P40" i="5"/>
  <c r="P38" i="5"/>
  <c r="P19" i="5"/>
  <c r="P20" i="5"/>
  <c r="P22" i="5"/>
  <c r="P23" i="5"/>
  <c r="P24" i="5"/>
  <c r="P25" i="5"/>
  <c r="P26" i="5"/>
  <c r="P28" i="5"/>
  <c r="P29" i="5"/>
  <c r="P30" i="5"/>
  <c r="P31" i="5"/>
  <c r="P32" i="5"/>
  <c r="P36" i="5"/>
  <c r="P37" i="5"/>
  <c r="N41" i="5"/>
  <c r="N40" i="5"/>
  <c r="N38" i="5"/>
  <c r="N19" i="5"/>
  <c r="N20" i="5"/>
  <c r="N22" i="5"/>
  <c r="N23" i="5"/>
  <c r="N24" i="5"/>
  <c r="N25" i="5"/>
  <c r="N26" i="5"/>
  <c r="N28" i="5"/>
  <c r="N29" i="5"/>
  <c r="N30" i="5"/>
  <c r="N31" i="5"/>
  <c r="N32" i="5"/>
  <c r="N36" i="5"/>
  <c r="N37" i="5"/>
  <c r="D119" i="25"/>
  <c r="D92" i="25"/>
  <c r="I261" i="25"/>
  <c r="D14" i="25" s="1"/>
  <c r="H9" i="18"/>
  <c r="A3" i="17"/>
  <c r="A1" i="17"/>
  <c r="A3" i="18"/>
  <c r="A1"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G44" i="18"/>
  <c r="F44" i="18"/>
  <c r="E44" i="18"/>
  <c r="D44" i="18"/>
  <c r="A3" i="19"/>
  <c r="A1"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G44" i="19"/>
  <c r="F44" i="19"/>
  <c r="E44" i="19"/>
  <c r="D44" i="19"/>
  <c r="A3" i="20"/>
  <c r="A1" i="20"/>
  <c r="F25" i="20"/>
  <c r="F15" i="20"/>
  <c r="F12" i="20"/>
  <c r="F10" i="20"/>
  <c r="F9" i="20"/>
  <c r="A3" i="21"/>
  <c r="A1" i="21"/>
  <c r="C24" i="21"/>
  <c r="C30" i="21"/>
  <c r="C12" i="21"/>
  <c r="C15" i="21"/>
  <c r="A4" i="22"/>
  <c r="A1" i="22"/>
  <c r="E16" i="22"/>
  <c r="E21" i="22" s="1"/>
  <c r="E26" i="22" s="1"/>
  <c r="E29" i="22" s="1"/>
  <c r="G25" i="22"/>
  <c r="G24" i="22"/>
  <c r="G23" i="22"/>
  <c r="G12" i="22"/>
  <c r="G13" i="22"/>
  <c r="G14" i="22"/>
  <c r="G9" i="22"/>
  <c r="A3" i="23"/>
  <c r="A1" i="23"/>
  <c r="C57" i="24"/>
  <c r="C49" i="24"/>
  <c r="C28" i="24"/>
  <c r="C33" i="24" s="1"/>
  <c r="F57" i="24"/>
  <c r="F58" i="24" s="1"/>
  <c r="F36" i="24"/>
  <c r="I259" i="25"/>
  <c r="G249" i="25"/>
  <c r="D211" i="25"/>
  <c r="D209" i="25"/>
  <c r="I208" i="25"/>
  <c r="D208" i="25"/>
  <c r="B208" i="25"/>
  <c r="I150" i="25"/>
  <c r="I151" i="25"/>
  <c r="I157" i="25"/>
  <c r="D103" i="25"/>
  <c r="D178" i="25"/>
  <c r="D182" i="25" s="1"/>
  <c r="D186" i="25" s="1"/>
  <c r="D112" i="25"/>
  <c r="F173" i="25"/>
  <c r="F169" i="25"/>
  <c r="B163" i="25"/>
  <c r="B161" i="25"/>
  <c r="F155" i="25"/>
  <c r="F153" i="25"/>
  <c r="F154" i="25" s="1"/>
  <c r="D144" i="25"/>
  <c r="D142" i="25"/>
  <c r="I141" i="25"/>
  <c r="D141" i="25"/>
  <c r="B141" i="25"/>
  <c r="F92" i="25"/>
  <c r="F114" i="25" s="1"/>
  <c r="F110" i="25"/>
  <c r="B95" i="25"/>
  <c r="B103" i="25" s="1"/>
  <c r="B94" i="25"/>
  <c r="B102" i="25" s="1"/>
  <c r="B93" i="25"/>
  <c r="B101" i="25" s="1"/>
  <c r="B92" i="25"/>
  <c r="B100" i="25" s="1"/>
  <c r="B91" i="25"/>
  <c r="B99" i="25" s="1"/>
  <c r="F95" i="25"/>
  <c r="F94" i="25"/>
  <c r="G93" i="25"/>
  <c r="F93" i="25"/>
  <c r="G91" i="25"/>
  <c r="F91" i="25"/>
  <c r="D78" i="25"/>
  <c r="D76" i="25"/>
  <c r="I75" i="25"/>
  <c r="D75" i="25"/>
  <c r="B75" i="25"/>
  <c r="I46" i="25"/>
  <c r="I45" i="25"/>
  <c r="F15" i="25"/>
  <c r="J55" i="15"/>
  <c r="J54" i="15"/>
  <c r="J53" i="15"/>
  <c r="J52" i="15"/>
  <c r="J51" i="15"/>
  <c r="J50" i="15"/>
  <c r="J49" i="15"/>
  <c r="J48" i="15"/>
  <c r="J47" i="15"/>
  <c r="J46" i="15"/>
  <c r="J45" i="15"/>
  <c r="J44" i="15"/>
  <c r="J43" i="15"/>
  <c r="J42" i="15"/>
  <c r="J39" i="15"/>
  <c r="J38" i="15"/>
  <c r="J37" i="15"/>
  <c r="J32" i="15"/>
  <c r="J27" i="15"/>
  <c r="J25" i="15"/>
  <c r="J24" i="15"/>
  <c r="J22" i="15"/>
  <c r="J18" i="15"/>
  <c r="J10" i="15"/>
  <c r="J9" i="15"/>
  <c r="E45" i="14"/>
  <c r="F33" i="14"/>
  <c r="E33" i="14"/>
  <c r="F28" i="14"/>
  <c r="E28" i="14"/>
  <c r="F22" i="14"/>
  <c r="E22" i="14"/>
  <c r="F16" i="14"/>
  <c r="F10" i="14"/>
  <c r="E10" i="14"/>
  <c r="I13" i="12"/>
  <c r="H16" i="9"/>
  <c r="H18" i="9"/>
  <c r="H20" i="9"/>
  <c r="H22" i="9"/>
  <c r="H24" i="9"/>
  <c r="H28" i="9"/>
  <c r="H30" i="9"/>
  <c r="R36" i="5"/>
  <c r="R30" i="5"/>
  <c r="R31" i="5"/>
  <c r="R32" i="5"/>
  <c r="R37" i="5"/>
  <c r="R38" i="5"/>
  <c r="R40" i="5"/>
  <c r="R41" i="5"/>
  <c r="R29" i="5"/>
  <c r="R28" i="5"/>
  <c r="R26" i="5"/>
  <c r="R25" i="5"/>
  <c r="R24" i="5"/>
  <c r="R23" i="5"/>
  <c r="R22" i="5"/>
  <c r="R20" i="5"/>
  <c r="F13" i="6"/>
  <c r="H13" i="6"/>
  <c r="F12" i="6"/>
  <c r="F11" i="6"/>
  <c r="G14" i="6"/>
  <c r="G29" i="2"/>
  <c r="G28" i="2"/>
  <c r="G27" i="2"/>
  <c r="G26" i="2"/>
  <c r="F24" i="3"/>
  <c r="F13" i="3"/>
  <c r="F30" i="3" s="1"/>
  <c r="F12" i="3"/>
  <c r="F29" i="3" s="1"/>
  <c r="F10" i="3"/>
  <c r="F27" i="3" s="1"/>
  <c r="F11" i="3"/>
  <c r="F28" i="3" s="1"/>
  <c r="R19" i="5"/>
  <c r="F43" i="5"/>
  <c r="F31" i="3"/>
  <c r="G64" i="2"/>
  <c r="G39" i="2"/>
  <c r="G11" i="2"/>
  <c r="G33" i="2" s="1"/>
  <c r="G30" i="2"/>
  <c r="G18" i="2"/>
  <c r="E16" i="14"/>
  <c r="J12" i="15"/>
  <c r="H26" i="15"/>
  <c r="H28" i="15" s="1"/>
  <c r="H58" i="15" s="1"/>
  <c r="L13" i="12"/>
  <c r="D85" i="25"/>
  <c r="C31" i="21" l="1"/>
  <c r="C18" i="21"/>
  <c r="D174" i="25" s="1"/>
  <c r="D175" i="25" s="1"/>
  <c r="D164" i="25"/>
  <c r="F14" i="6"/>
  <c r="C13" i="23"/>
  <c r="G40" i="2"/>
  <c r="O43" i="5"/>
  <c r="F7" i="5" s="1"/>
  <c r="G77" i="2" s="1"/>
  <c r="P43" i="5"/>
  <c r="F8" i="5" s="1"/>
  <c r="D234" i="25" s="1"/>
  <c r="G234" i="25" s="1"/>
  <c r="I268" i="25"/>
  <c r="D15" i="25" s="1"/>
  <c r="H44" i="19"/>
  <c r="G58" i="15"/>
  <c r="J26" i="15"/>
  <c r="J28" i="15" s="1"/>
  <c r="J58" i="15" s="1"/>
  <c r="F58" i="15"/>
  <c r="F60" i="15"/>
  <c r="Q43" i="5"/>
  <c r="F9" i="5" s="1"/>
  <c r="G79" i="2" s="1"/>
  <c r="N43" i="5"/>
  <c r="F6" i="5" s="1"/>
  <c r="R43" i="5"/>
  <c r="F10" i="5" s="1"/>
  <c r="K13" i="12"/>
  <c r="G50" i="2"/>
  <c r="G59" i="2" s="1"/>
  <c r="C23" i="23"/>
  <c r="F50" i="14"/>
  <c r="J21" i="22"/>
  <c r="C11" i="23" s="1"/>
  <c r="I21" i="22"/>
  <c r="C14" i="24" s="1"/>
  <c r="H44" i="18"/>
  <c r="C16" i="20" s="1"/>
  <c r="F16" i="20" s="1"/>
  <c r="G16" i="22"/>
  <c r="D83" i="25" s="1"/>
  <c r="D99" i="25" s="1"/>
  <c r="E50" i="14"/>
  <c r="G58" i="2" s="1"/>
  <c r="J40" i="14"/>
  <c r="G45" i="2"/>
  <c r="F15" i="3"/>
  <c r="F32" i="3"/>
  <c r="G31" i="2"/>
  <c r="E19" i="20"/>
  <c r="G26" i="22"/>
  <c r="C10" i="24" s="1"/>
  <c r="G29" i="22"/>
  <c r="G82" i="2"/>
  <c r="I27" i="25"/>
  <c r="I34" i="25" s="1"/>
  <c r="F29" i="20"/>
  <c r="D152" i="25" s="1"/>
  <c r="D27" i="20"/>
  <c r="F27" i="20" s="1"/>
  <c r="H60" i="15"/>
  <c r="D102" i="25"/>
  <c r="D101" i="25"/>
  <c r="D250" i="25"/>
  <c r="E249" i="25" s="1"/>
  <c r="I249" i="25" s="1"/>
  <c r="D100" i="25"/>
  <c r="D96" i="25"/>
  <c r="I228" i="25"/>
  <c r="G14" i="25"/>
  <c r="E233" i="25"/>
  <c r="G84" i="25"/>
  <c r="D245" i="25" l="1"/>
  <c r="G248" i="25" s="1"/>
  <c r="C32" i="23"/>
  <c r="C35" i="23" s="1"/>
  <c r="J60" i="15"/>
  <c r="D233" i="25"/>
  <c r="G233" i="25" s="1"/>
  <c r="G78" i="2"/>
  <c r="C26" i="23"/>
  <c r="T43" i="5"/>
  <c r="D235" i="25"/>
  <c r="G235" i="25" s="1"/>
  <c r="C19" i="20"/>
  <c r="C31" i="20" s="1"/>
  <c r="C15" i="24"/>
  <c r="C21" i="24" s="1"/>
  <c r="C58" i="24" s="1"/>
  <c r="F59" i="24" s="1"/>
  <c r="G21" i="22"/>
  <c r="D88" i="25"/>
  <c r="D239" i="25" s="1"/>
  <c r="D242" i="25" s="1"/>
  <c r="G240" i="25" s="1"/>
  <c r="D19" i="20"/>
  <c r="F18" i="20"/>
  <c r="D232" i="25"/>
  <c r="F11" i="5"/>
  <c r="F12" i="5" s="1"/>
  <c r="G76" i="2"/>
  <c r="D104" i="25"/>
  <c r="E248" i="25"/>
  <c r="I84" i="25"/>
  <c r="G92" i="25"/>
  <c r="I14" i="25"/>
  <c r="G15" i="25"/>
  <c r="I15" i="25" s="1"/>
  <c r="G16" i="25"/>
  <c r="I16" i="25" s="1"/>
  <c r="G17" i="25"/>
  <c r="I17" i="25" s="1"/>
  <c r="D23" i="20" l="1"/>
  <c r="F23" i="20" s="1"/>
  <c r="G80" i="2"/>
  <c r="E31" i="20"/>
  <c r="C10" i="23" s="1"/>
  <c r="F21" i="20"/>
  <c r="D149" i="25" s="1"/>
  <c r="D158" i="25" s="1"/>
  <c r="D117" i="25" s="1"/>
  <c r="D120" i="25" s="1"/>
  <c r="D122" i="25" s="1"/>
  <c r="D31" i="20"/>
  <c r="C9" i="23" s="1"/>
  <c r="G232" i="25"/>
  <c r="G236" i="25" s="1"/>
  <c r="D236" i="25"/>
  <c r="F19" i="20"/>
  <c r="E250" i="25"/>
  <c r="I248" i="25"/>
  <c r="I250" i="25" s="1"/>
  <c r="I18" i="25"/>
  <c r="G114" i="25"/>
  <c r="I92" i="25"/>
  <c r="I100" i="25" s="1"/>
  <c r="F31" i="20" l="1"/>
  <c r="I223" i="25"/>
  <c r="I225" i="25" s="1"/>
  <c r="I227" i="25" s="1"/>
  <c r="I229" i="25" s="1"/>
  <c r="G149" i="25" s="1"/>
  <c r="G155" i="25" s="1"/>
  <c r="I155" i="25" s="1"/>
  <c r="C14" i="23"/>
  <c r="C15" i="23" s="1"/>
  <c r="C17" i="23" s="1"/>
  <c r="C22" i="23" s="1"/>
  <c r="I236" i="25"/>
  <c r="I253" i="25"/>
  <c r="D179" i="25"/>
  <c r="D189" i="25"/>
  <c r="G161" i="25"/>
  <c r="I161" i="25" s="1"/>
  <c r="I114" i="25"/>
  <c r="I149" i="25" l="1"/>
  <c r="G118" i="25"/>
  <c r="I118" i="25" s="1"/>
  <c r="C27" i="23"/>
  <c r="I240" i="25"/>
  <c r="K240" i="25" s="1"/>
  <c r="G152" i="25"/>
  <c r="G86" i="25"/>
  <c r="G153" i="25"/>
  <c r="I153" i="25" s="1"/>
  <c r="G154" i="25"/>
  <c r="I154" i="25" s="1"/>
  <c r="D185" i="25"/>
  <c r="D187" i="25" s="1"/>
  <c r="D192" i="25" s="1"/>
  <c r="D201" i="25" s="1"/>
  <c r="C30" i="23" l="1"/>
  <c r="E30" i="23" s="1"/>
  <c r="G156" i="25"/>
  <c r="G87" i="25"/>
  <c r="I152" i="25"/>
  <c r="G162" i="25"/>
  <c r="I86" i="25"/>
  <c r="G94" i="25"/>
  <c r="I94" i="25" s="1"/>
  <c r="I87" i="25" l="1"/>
  <c r="G95" i="25"/>
  <c r="I95" i="25" s="1"/>
  <c r="I96" i="25" s="1"/>
  <c r="I102" i="25"/>
  <c r="G163" i="25"/>
  <c r="I163" i="25" s="1"/>
  <c r="I156" i="25"/>
  <c r="I158" i="25" s="1"/>
  <c r="I117" i="25" s="1"/>
  <c r="I162" i="25"/>
  <c r="G168" i="25"/>
  <c r="I103" i="25" l="1"/>
  <c r="I104" i="25" s="1"/>
  <c r="G104" i="25" s="1"/>
  <c r="I168" i="25"/>
  <c r="G169" i="25"/>
  <c r="I169" i="25" s="1"/>
  <c r="I88" i="25"/>
  <c r="G88" i="25" s="1"/>
  <c r="I164" i="25"/>
  <c r="G171" i="25" l="1"/>
  <c r="G119" i="25"/>
  <c r="I119" i="25" s="1"/>
  <c r="I120" i="25" s="1"/>
  <c r="G186" i="25"/>
  <c r="I186" i="25" s="1"/>
  <c r="G108" i="25"/>
  <c r="I108" i="25" l="1"/>
  <c r="G109" i="25"/>
  <c r="I171" i="25"/>
  <c r="G173" i="25"/>
  <c r="I173" i="25" l="1"/>
  <c r="G174" i="25"/>
  <c r="I174" i="25" s="1"/>
  <c r="G110" i="25"/>
  <c r="I110" i="25" s="1"/>
  <c r="G111" i="25"/>
  <c r="I111" i="25" s="1"/>
  <c r="I109" i="25"/>
  <c r="I112" i="25" l="1"/>
  <c r="I122" i="25" s="1"/>
  <c r="I189" i="25" s="1"/>
  <c r="I185" i="25" s="1"/>
  <c r="I187" i="25" s="1"/>
  <c r="I175" i="25"/>
  <c r="I192" i="25" l="1"/>
  <c r="I201" i="25" s="1"/>
  <c r="I11" i="25" s="1"/>
  <c r="I24" i="25" l="1"/>
  <c r="D36" i="25" s="1"/>
  <c r="I41" i="25" s="1"/>
  <c r="D42" i="25" l="1"/>
  <c r="I42" i="25"/>
  <c r="D37" i="25"/>
  <c r="D41" i="25"/>
  <c r="D40" i="25"/>
  <c r="I40" i="25"/>
</calcChain>
</file>

<file path=xl/sharedStrings.xml><?xml version="1.0" encoding="utf-8"?>
<sst xmlns="http://schemas.openxmlformats.org/spreadsheetml/2006/main" count="1702" uniqueCount="948">
  <si>
    <t xml:space="preserve">     Less Account 565</t>
  </si>
  <si>
    <t xml:space="preserve">  A&amp;G</t>
  </si>
  <si>
    <t>VII.13.d</t>
  </si>
  <si>
    <t xml:space="preserve">     Less FERC Annual Fees</t>
  </si>
  <si>
    <t xml:space="preserve">     Less EPRI &amp; Reg. Comm. Exp. &amp; Non-safety Ad(Note I)</t>
  </si>
  <si>
    <t>5a</t>
  </si>
  <si>
    <t xml:space="preserve">     Plus Transmission Related Reg. Comm. Exp. (Note I)</t>
  </si>
  <si>
    <t xml:space="preserve">  Transmission Lease Payments</t>
  </si>
  <si>
    <t>TOTAL O&amp;M (sum lines 1, 3, 5a, 6, 7 less 1a,2, 4, 5)</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</si>
  <si>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</si>
  <si>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</si>
  <si>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</si>
  <si>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</si>
  <si>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</si>
  <si>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</si>
  <si>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</si>
  <si>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</si>
  <si>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</si>
  <si>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</si>
  <si>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</si>
  <si>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</si>
  <si>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 (Note K)</t>
  </si>
  <si>
    <t xml:space="preserve">     T=1 - {[(1 - SIT) * (1 - FIT)] / (1 - SIT * FIT * p)} =</t>
  </si>
  <si>
    <t xml:space="preserve">     CIT=(T/1-T) * (1-(WCLTD/R)) =</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</si>
  <si>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</si>
  <si>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</si>
  <si>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</si>
  <si>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</si>
  <si>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</si>
  <si>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</si>
  <si>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</si>
  <si>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</si>
  <si>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 Rate Base (page 2, line 30) * Rate of Return (page 4, line 24)]</t>
  </si>
  <si>
    <t>REV. REQUIREMENT  (sum lines 8, 12,20,27,28)</t>
  </si>
  <si>
    <t>LESS ATTACHMENT GG ADJUSTMENT (Attachment GG, page 2, line 3, column 10)  Note W</t>
  </si>
  <si>
    <t>(Revenue Requirement for facilities included on page 2, line 2, and also</t>
  </si>
  <si>
    <t>included in Attachment GG)</t>
  </si>
  <si>
    <t>REV. REQUIREMENT TO BE COLLECTED UNDER ATTACHMENT O</t>
  </si>
  <si>
    <t>(line 29-line 30)</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</si>
  <si>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</si>
  <si>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</si>
  <si>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</si>
  <si>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</si>
  <si>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</si>
  <si>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</si>
  <si>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</si>
  <si>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</si>
  <si>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</si>
  <si>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</si>
  <si>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</si>
  <si>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</si>
  <si>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</si>
  <si>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</si>
  <si>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</si>
  <si>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</si>
  <si>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</si>
  <si>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</si>
  <si>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t>
  </si>
  <si>
    <t>Allocation</t>
  </si>
  <si>
    <t>W&amp;S Allocator</t>
  </si>
  <si>
    <t xml:space="preserve">  Other</t>
  </si>
  <si>
    <t>($ / Allocation)</t>
  </si>
  <si>
    <t xml:space="preserve">  Total (sum lines 12-15)</t>
  </si>
  <si>
    <t>=</t>
  </si>
  <si>
    <t xml:space="preserve">  =</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</si>
  <si>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</si>
  <si>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</si>
  <si>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</si>
  <si>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</si>
  <si>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</si>
  <si>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</si>
  <si>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</si>
  <si>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</si>
  <si>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</si>
  <si>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</si>
  <si>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RETURN (R)</t>
  </si>
  <si>
    <t xml:space="preserve">              Long Term Interest  </t>
  </si>
  <si>
    <t>III.16.b + III.17.b (Note U)</t>
  </si>
  <si>
    <t>Cost</t>
  </si>
  <si>
    <t>%</t>
  </si>
  <si>
    <t>(Note P)</t>
  </si>
  <si>
    <t>Weighted</t>
  </si>
  <si>
    <t xml:space="preserve">  Long Term Debt</t>
  </si>
  <si>
    <t>II.33.b + II.34.b</t>
  </si>
  <si>
    <t>=WCLTD</t>
  </si>
  <si>
    <t xml:space="preserve">  Proprietary Capital</t>
  </si>
  <si>
    <t>II.32.b</t>
  </si>
  <si>
    <t>Total  (sum lines 22, 23)</t>
  </si>
  <si>
    <t>=R</t>
  </si>
  <si>
    <t xml:space="preserve">                               Proprietary Capital Cost Rate =</t>
  </si>
  <si>
    <t xml:space="preserve">                TIER =</t>
  </si>
  <si>
    <t>REVENUE CREDITS</t>
  </si>
  <si>
    <t>ACCOUNT 447 (SALES FOR RESALE)</t>
  </si>
  <si>
    <t xml:space="preserve">  a. Bundled Non-RQ Sales for Resale</t>
  </si>
  <si>
    <t>(Note Q)</t>
  </si>
  <si>
    <t xml:space="preserve">  b. Bundled Sales for Resale included in Divisor on page 1 </t>
  </si>
  <si>
    <t xml:space="preserve">  Total of (a)-(b)</t>
  </si>
  <si>
    <t>prod maint</t>
  </si>
  <si>
    <t>distr exp</t>
  </si>
  <si>
    <t>ACCOUNT 454 (RENT FROM ELECTRIC PROPERTY)    (Note R)</t>
  </si>
  <si>
    <t xml:space="preserve">  a. Transmission charges for all transmission transactions </t>
  </si>
  <si>
    <t>Line 31 supported by notes in Form 412 or detailed Schedule</t>
  </si>
  <si>
    <t xml:space="preserve">  b. Transmission charges for all transmission transactions included in Divisor on page 1</t>
  </si>
  <si>
    <t>Page 5 of 5</t>
  </si>
  <si>
    <t>General Note:  References to pages in this formulary rate are indicated as:  (page#, line#, col.#)</t>
  </si>
  <si>
    <t>Note</t>
  </si>
  <si>
    <t>Letter</t>
  </si>
  <si>
    <t>A</t>
  </si>
  <si>
    <t>B</t>
  </si>
  <si>
    <t>C</t>
  </si>
  <si>
    <t>D</t>
  </si>
  <si>
    <t>E</t>
  </si>
  <si>
    <t>F</t>
  </si>
  <si>
    <t>G</t>
  </si>
  <si>
    <t>Transmission related only.</t>
  </si>
  <si>
    <t>H</t>
  </si>
  <si>
    <t>I</t>
  </si>
  <si>
    <t>J</t>
  </si>
  <si>
    <t>K</t>
  </si>
  <si>
    <t>Labor Portion Only</t>
  </si>
  <si>
    <t>Total Wages &amp; Salary - ex A&amp;G</t>
  </si>
  <si>
    <t>BALANCE</t>
  </si>
  <si>
    <t>Total Bonds Only</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</si>
  <si>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</si>
  <si>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</si>
  <si>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</si>
  <si>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</si>
  <si>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</si>
  <si>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</si>
  <si>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Account Nos. 561.1, 561.2, 561.3, and 561.BA.</t>
  </si>
  <si>
    <t>M</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</si>
  <si>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</si>
  <si>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</si>
  <si>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</si>
  <si>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</si>
  <si>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</si>
  <si>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Q</t>
  </si>
  <si>
    <t>Line 29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</si>
  <si>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</si>
  <si>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</si>
  <si>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</si>
  <si>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</si>
  <si>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</si>
  <si>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</si>
  <si>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V</t>
  </si>
  <si>
    <t>W</t>
  </si>
  <si>
    <t>X</t>
  </si>
  <si>
    <t>Elk River</t>
  </si>
  <si>
    <t>EIA-412</t>
  </si>
  <si>
    <t>Schedule 2 - ELECTRIC BALANCE SHEET</t>
  </si>
  <si>
    <t>AMOUNT</t>
  </si>
  <si>
    <t>ASSETS and OTHER DEBITS</t>
  </si>
  <si>
    <t>(Dollars)</t>
  </si>
  <si>
    <t>No</t>
  </si>
  <si>
    <t>LIABILITIES and OTHER CREDITS</t>
  </si>
  <si>
    <t>ELECTRIC PLANT</t>
  </si>
  <si>
    <t>PROPRIETARY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</si>
  <si>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</si>
  <si>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</si>
  <si>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</si>
  <si>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</si>
  <si>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</si>
  <si>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</si>
  <si>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</si>
  <si>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</si>
  <si>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</si>
  <si>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</si>
  <si>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Net Electric Plant (sum lines 1-2 less 3)</t>
  </si>
  <si>
    <t>TOTAL PROPRIETARY CAPITAL            (sum lines 29-31)</t>
  </si>
  <si>
    <t>Nuclear Fuel (120.1-120.4, 120.6)</t>
  </si>
  <si>
    <t>LONG TERM DEBT</t>
  </si>
  <si>
    <t>Amortization of Nuclear Fuel</t>
  </si>
  <si>
    <t>Bonds (221, 222) (sum lins 33a-d, include</t>
  </si>
  <si>
    <t>Assemblies (120.5)</t>
  </si>
  <si>
    <t>current portion)</t>
  </si>
  <si>
    <t>Net Electric Plant including Nuclear</t>
  </si>
  <si>
    <t>33a</t>
  </si>
  <si>
    <t>Senior Lien</t>
  </si>
  <si>
    <t>Fuel (sum lines 4-5 less line 6)</t>
  </si>
  <si>
    <t>33b</t>
  </si>
  <si>
    <t>Subordinate Lien</t>
  </si>
  <si>
    <t>OTHER PROPERTY &amp; INVESTMENTS</t>
  </si>
  <si>
    <t>33c</t>
  </si>
  <si>
    <t>Third Lien</t>
  </si>
  <si>
    <t>Non-Electric Plant Property (121)</t>
  </si>
  <si>
    <t>33d</t>
  </si>
  <si>
    <t>Project</t>
  </si>
  <si>
    <t>Depreciation and Amortization (122)</t>
  </si>
  <si>
    <t>Investment in Associated Enterprises</t>
  </si>
  <si>
    <t>Advances from Municipality and Other</t>
  </si>
  <si>
    <t>(123-123.1)</t>
  </si>
  <si>
    <t>Long Term Debt (223, 224)</t>
  </si>
  <si>
    <t>Investments &amp; Special Funds (124-129) (sum line 11a-d)</t>
  </si>
  <si>
    <t xml:space="preserve">Unamortized Premium on Long Term </t>
  </si>
  <si>
    <t>11a</t>
  </si>
  <si>
    <t>Debt Service Deposits &amp; Reserves - See Note 1</t>
  </si>
  <si>
    <t>Debt (225)</t>
  </si>
  <si>
    <t>11b</t>
  </si>
  <si>
    <t xml:space="preserve">Construction Funds - See Note 2 </t>
  </si>
  <si>
    <t>(Less) Unamortized Discount on Long</t>
  </si>
  <si>
    <t>11c</t>
  </si>
  <si>
    <t>Discretionary Reserves - See Note 3</t>
  </si>
  <si>
    <t>Term Debt (226)</t>
  </si>
  <si>
    <t>11d</t>
  </si>
  <si>
    <t>Other Restricted Investments - See Note 4</t>
  </si>
  <si>
    <t>Total Long Term Debt (sum line 33-35 less 36)</t>
  </si>
  <si>
    <t>Total Other Property and Investments       (sum lines 8, 10, 11 less 9)</t>
  </si>
  <si>
    <t>OTHER NONCURRENT LIABILITIES</t>
  </si>
  <si>
    <t>CURRENT &amp; ACCRUED ASSETS</t>
  </si>
  <si>
    <t>Accumulated Operating Provisions (228.1-.4)</t>
  </si>
  <si>
    <t>Cash, Working Funds &amp; Investments</t>
  </si>
  <si>
    <t>Accumulated Provisions for Rate Refunds</t>
  </si>
  <si>
    <t>(131-136)</t>
  </si>
  <si>
    <t>Total Other Non Current Liabilities (sum 38-39)</t>
  </si>
  <si>
    <t>Notes &amp; Other Receivables</t>
  </si>
  <si>
    <t>(141, 143, 145, 146, 172)</t>
  </si>
  <si>
    <t>CURRENT AND ACCRUED LIABILITIES</t>
  </si>
  <si>
    <t>Customer Accounts ReceIvable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</si>
  <si>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</si>
  <si>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</si>
  <si>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</si>
  <si>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</si>
  <si>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</si>
  <si>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</si>
  <si>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</si>
  <si>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</si>
  <si>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</si>
  <si>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</si>
  <si>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</si>
  <si>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</si>
  <si>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</si>
  <si>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</si>
  <si>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</si>
  <si>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</si>
  <si>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             (sum line 41-47)</t>
  </si>
  <si>
    <t>Total Current &amp; Accrued Assets                      ( sum lines 13-15, 17-22 less line 16)</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</si>
  <si>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</si>
  <si>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</si>
  <si>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</si>
  <si>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</si>
  <si>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</si>
  <si>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</si>
  <si>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</si>
  <si>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</si>
  <si>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</si>
  <si>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</si>
  <si>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</si>
  <si>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</si>
  <si>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</si>
  <si>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</si>
  <si>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Total Deferred Debits (sum  line 24-26)</t>
  </si>
  <si>
    <t>Total Deferred Credits</t>
  </si>
  <si>
    <t>TOTAL ASSETS &amp; OTHER DEBITS             (sum of lines 7, 12, 23, 27)</t>
  </si>
  <si>
    <t>TOTAL LIABILITIES &amp; OTHER CREDITS</t>
  </si>
  <si>
    <t>Note 1 - includes debt service reserve funds, P&amp;I and sinking fund deposits</t>
  </si>
  <si>
    <t>Note 2 - funds from bond proceeds</t>
  </si>
  <si>
    <t>Note 3 - includes rate stabilization funds and O&amp;M and R&amp;R reserves</t>
  </si>
  <si>
    <t>Note 4 - includes any remaining restricted funds unavailable for operations or debt service, such as decommissioning funds</t>
  </si>
  <si>
    <t>Schedule 3 - 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</si>
  <si>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</si>
  <si>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</si>
  <si>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</si>
  <si>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</si>
  <si>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</si>
  <si>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</si>
  <si>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 (sum lines 2-6)</t>
  </si>
  <si>
    <t xml:space="preserve">        NET ELECTRIC OPERATING INCOME (line 1 less line 7)</t>
  </si>
  <si>
    <t>Income from Electric Plant Leased to Others (412, 413)</t>
  </si>
  <si>
    <t xml:space="preserve">    Electric Operating Income (sum lines 8, 9)</t>
  </si>
  <si>
    <t>Other Electric Income (explain significant amounts in a footnote) (415, 417, 418, 419, 421, 421.1)</t>
  </si>
  <si>
    <t>Other Electric Deductions (explain significant amounts in a footnote) (416, 417, 421.2)</t>
  </si>
  <si>
    <t>Allowance for Other Funds Used During Construction (419.1)</t>
  </si>
  <si>
    <t>Taxes Applicable to Other Income and Deductions (408.2, 409.2)</t>
  </si>
  <si>
    <t xml:space="preserve">    Electric Income (sumlines 10, 11, 13 less lines 12, 14)</t>
  </si>
  <si>
    <t>Income Deductions from Interest on Long Term Debt (427)</t>
  </si>
  <si>
    <t>Other Income Deductions (explain significant amounts in a footnote) (428-431)</t>
  </si>
  <si>
    <t>Allowance for Borrowed Funds Used During Construction (432)</t>
  </si>
  <si>
    <t xml:space="preserve">    Total Income Deductions (sum line 16-18)</t>
  </si>
  <si>
    <t xml:space="preserve">        Income Before Extraordinary Items (line 15 less line 19)</t>
  </si>
  <si>
    <t>Extraordinary Items (434)</t>
  </si>
  <si>
    <t>Extraordinary Deductions (435)</t>
  </si>
  <si>
    <t xml:space="preserve">        NET INCOME (sum lines 20, 21 less line 22)</t>
  </si>
  <si>
    <t>Senior Lien Debt Service - See Note 1</t>
  </si>
  <si>
    <t>Subordinate Lien Debt Service - See Note 1</t>
  </si>
  <si>
    <t>Third Lien Debt Service - See Note 1</t>
  </si>
  <si>
    <t>Project Debt Service - See Note 1</t>
  </si>
  <si>
    <t>Aggregate Debt Service</t>
  </si>
  <si>
    <t>General Fund Transfers (excl. Taxes and Tax Equivalents listed above)</t>
  </si>
  <si>
    <t xml:space="preserve">Beginning </t>
  </si>
  <si>
    <t>Ending</t>
  </si>
  <si>
    <t>Balance</t>
  </si>
  <si>
    <t>Additions</t>
  </si>
  <si>
    <t>Retirements</t>
  </si>
  <si>
    <t>Transfers</t>
  </si>
  <si>
    <t>Intangible Plant (301-303)</t>
  </si>
  <si>
    <t>PRODUCTION PLANT</t>
  </si>
  <si>
    <t>Steam Production (310-316)</t>
  </si>
  <si>
    <t>Nuclear Production (320-325)</t>
  </si>
  <si>
    <t>Hydraulic Production (330-336)</t>
  </si>
  <si>
    <t>ACCUM DEPR</t>
  </si>
  <si>
    <t>DEPR</t>
  </si>
  <si>
    <t>Total Production Plant (sum lines 2-5)</t>
  </si>
  <si>
    <t>Transmission Plant (350-359)</t>
  </si>
  <si>
    <t>Distribution Plant (360-373)</t>
  </si>
  <si>
    <t>General Plant (389-399)</t>
  </si>
  <si>
    <t>Total Electric Plant In Service              (sum lines 1, 6-9)</t>
  </si>
  <si>
    <t>Electric Plant Leased to Others (104)</t>
  </si>
  <si>
    <t>Electric Plant Held for Future Use (105)</t>
  </si>
  <si>
    <t>Electric Plant Miscellaneous (102,103,106,114,116)</t>
  </si>
  <si>
    <t>Electric Plant &amp; Adjustments                (sum lines 10-13)</t>
  </si>
  <si>
    <t>Construction Work in Progress Electric (107)</t>
  </si>
  <si>
    <t>Total Electric Plant &amp; Adjustments      (sum lines 14, 15)</t>
  </si>
  <si>
    <t>SCHEDULE 5. TAXES, TAX EQUIVALENTS, CONTRIBUTIONS, AND SERVICES DURING YEAR</t>
  </si>
  <si>
    <t xml:space="preserve">Line </t>
  </si>
  <si>
    <t>SUBJECT PAYMENTS TO MUNICIPALITY OR OTHER GOVERNMENT UNITS</t>
  </si>
  <si>
    <t>Taxes other than Income Taxes, Operating Income</t>
  </si>
  <si>
    <t>Income Taxes, Operating Income (409.1)</t>
  </si>
  <si>
    <t xml:space="preserve">    Taxes and Tax Equivalents (sum of lines 1,2)</t>
  </si>
  <si>
    <t>Taxes Other than Income Taxes, other Income and Deductions (408.2)</t>
  </si>
  <si>
    <t>Income Taxes, Other Income and Deductions (409.2)</t>
  </si>
  <si>
    <t xml:space="preserve">    Taxes Applicable to Other Income and Deductions (sum of lines 4,5)</t>
  </si>
  <si>
    <t>Transfers from Retained Earnings (State and Local)</t>
  </si>
  <si>
    <t>Other Transfers from Retained Earnings</t>
  </si>
  <si>
    <t xml:space="preserve">    Total Taxes and Transfers (sum of lines 3,6-8)</t>
  </si>
  <si>
    <t>CONTRIBUTIONS OF SERVICES AND MATERIALS TO STATE AND LOCAL GOVERNMENTS</t>
  </si>
  <si>
    <t>Free or Below-Cost Electric Service</t>
  </si>
  <si>
    <t>Use of Electric Department Employees</t>
  </si>
  <si>
    <t>Use of Electric Department Vehicles and Other Equipment</t>
  </si>
  <si>
    <t>Materials and Supplies</t>
  </si>
  <si>
    <t xml:space="preserve">    Total Contributions Provided (sum of lines 10-13)</t>
  </si>
  <si>
    <t>CONTRIBUTIONS OF SERVICE AND MATERIALS FROM STATE AND LOCAL GOVERNMENTS</t>
  </si>
  <si>
    <t>Free or Below-Cost Services</t>
  </si>
  <si>
    <t>GRE/MISO</t>
  </si>
  <si>
    <t>Distr Maint</t>
  </si>
  <si>
    <t>Note 1:</t>
  </si>
  <si>
    <t>Will be completed by CMMPA</t>
  </si>
  <si>
    <t>Use of State or Local Employees (Not on Payroll of Reporting Entity)</t>
  </si>
  <si>
    <t>Use of State or Local Vehicles and Other Equipment</t>
  </si>
  <si>
    <t xml:space="preserve">    Total Contributions Received (sum of lines 15-18)</t>
  </si>
  <si>
    <t xml:space="preserve">    Net Contributions and Services to Municipality or Other Government Units                                          (line 14, less line 19)</t>
  </si>
  <si>
    <t>Schedule 7 - ELECTRIC OPERATION AND MAINTENANCE EXPENSES (Dollars)</t>
  </si>
  <si>
    <t>Fuel Cost</t>
  </si>
  <si>
    <t>Operation</t>
  </si>
  <si>
    <t>Maintenance</t>
  </si>
  <si>
    <t>Steam Power Generation</t>
  </si>
  <si>
    <t>(500-507, 510-514) Fuel Cost (501)</t>
  </si>
  <si>
    <t>Nuclear Power Generation (517-525, 528-532) Fule Cost (518)</t>
  </si>
  <si>
    <t>Hydraulic Power Generation</t>
  </si>
  <si>
    <t>(535-540, 541-545)</t>
  </si>
  <si>
    <t>Other Power Generation</t>
  </si>
  <si>
    <t>(546-550, 551-554) Fuel cost (547)</t>
  </si>
  <si>
    <t>Specify: Combustion Turbines</t>
  </si>
  <si>
    <t>Purchased Power (555)</t>
  </si>
  <si>
    <t>Other Production Expenses</t>
  </si>
  <si>
    <t>(556-557)</t>
  </si>
  <si>
    <t xml:space="preserve">   Total Production Expenses</t>
  </si>
  <si>
    <t>Transmission Expenses</t>
  </si>
  <si>
    <t>(560-567, 568-573)</t>
  </si>
  <si>
    <t>xxxxxxxxxxxxxx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</si>
  <si>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</si>
  <si>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</si>
  <si>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</si>
  <si>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</si>
  <si>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</si>
  <si>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</si>
  <si>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</si>
  <si>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</si>
  <si>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</si>
  <si>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</si>
  <si>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</si>
  <si>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</si>
  <si>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Schedule 6 - SALES OF ELECTRICITY FOR RESALE (Acct 447)</t>
  </si>
  <si>
    <t xml:space="preserve">Electricity </t>
  </si>
  <si>
    <t>Annual</t>
  </si>
  <si>
    <t>Demand</t>
  </si>
  <si>
    <t>Energy,</t>
  </si>
  <si>
    <t xml:space="preserve">Total </t>
  </si>
  <si>
    <t>Type</t>
  </si>
  <si>
    <t>Sold</t>
  </si>
  <si>
    <t>Max Demand</t>
  </si>
  <si>
    <t>Charges</t>
  </si>
  <si>
    <t xml:space="preserve">Other </t>
  </si>
  <si>
    <t>Rev Sttlmt</t>
  </si>
  <si>
    <t>Sales Made To:</t>
  </si>
  <si>
    <t>Code</t>
  </si>
  <si>
    <t>(MWH)</t>
  </si>
  <si>
    <t>(MW)</t>
  </si>
  <si>
    <t>($)</t>
  </si>
  <si>
    <t>Charges ($)</t>
  </si>
  <si>
    <t>Schedule 8 - PURCHASES OF ELECTRICITY FOR RESALE (Acct 555)</t>
  </si>
  <si>
    <t>Purchased</t>
  </si>
  <si>
    <t>Purchases From</t>
  </si>
  <si>
    <t>FP,OT</t>
  </si>
  <si>
    <t>Notes:</t>
  </si>
  <si>
    <t>Balance Sheet</t>
  </si>
  <si>
    <t>Gross Plant in Service broken down by:</t>
  </si>
  <si>
    <t>Production</t>
  </si>
  <si>
    <t>Transmission</t>
  </si>
  <si>
    <t>Distribution</t>
  </si>
  <si>
    <t>General &amp; Intangible</t>
  </si>
  <si>
    <t>Common</t>
  </si>
  <si>
    <t>Electric</t>
  </si>
  <si>
    <t xml:space="preserve">Gas </t>
  </si>
  <si>
    <t>Water</t>
  </si>
  <si>
    <t>Long Term Debt</t>
  </si>
  <si>
    <t>Income Statement</t>
  </si>
  <si>
    <t>Transmission O&amp;M Expenses</t>
  </si>
  <si>
    <t>A&amp;G Expenses</t>
  </si>
  <si>
    <t>Interest Expense on Long-term Debt</t>
  </si>
  <si>
    <t>Property Tax Expenses</t>
  </si>
  <si>
    <t>Commercial Paper (P&amp;I) Expense</t>
  </si>
  <si>
    <t>Amortization of Premium/Discount of Debt Issuance</t>
  </si>
  <si>
    <t>Margin Requirement for Debt Service</t>
  </si>
  <si>
    <t>Account Balances</t>
  </si>
  <si>
    <t xml:space="preserve">Wages &amp; Salary </t>
  </si>
  <si>
    <t>Wages &amp; Salary breakdown by:</t>
  </si>
  <si>
    <t>Revenues from Grandfathered Interzonal Transactions</t>
  </si>
  <si>
    <t>Revenues from service provided by the ISO at a discount</t>
  </si>
  <si>
    <t>FERC Annual Fees</t>
  </si>
  <si>
    <t>EPRI Expenses</t>
  </si>
  <si>
    <t>Transmission Expenses included in OATT Ancillary Services</t>
  </si>
  <si>
    <t>Transmission Plant excluded from ISO rates</t>
  </si>
  <si>
    <t>Transmission Plant included in OATT Ancillary Services</t>
  </si>
  <si>
    <r>
      <t xml:space="preserve">Other - </t>
    </r>
    <r>
      <rPr>
        <b/>
        <i/>
        <sz val="10"/>
        <color indexed="12"/>
        <rFont val="Arial"/>
        <family val="2"/>
      </rPr>
      <t>may not be applicable</t>
    </r>
  </si>
  <si>
    <t>Account 454 - Rent from Electric Property</t>
  </si>
  <si>
    <t>Account 456 - Other Electric Revenues</t>
  </si>
  <si>
    <t>Account 565 - Transmission of Electricity by Others</t>
  </si>
  <si>
    <t>Total</t>
  </si>
  <si>
    <t>Accumulated Depreciation broken down by:</t>
  </si>
  <si>
    <t>Net Plant in Service broken down by:</t>
  </si>
  <si>
    <t>Gas CWIP</t>
  </si>
  <si>
    <t>Total Gas</t>
  </si>
  <si>
    <t>Water CWIP</t>
  </si>
  <si>
    <t>Total Water</t>
  </si>
  <si>
    <t>Land Held for Future Use</t>
  </si>
  <si>
    <t>Cash Working Capital</t>
  </si>
  <si>
    <t>Materials &amp; Supplies Held in Working Capital</t>
  </si>
  <si>
    <t>Prepayments</t>
  </si>
  <si>
    <t>Income Tax Expenses</t>
  </si>
  <si>
    <t xml:space="preserve">Debt Service </t>
  </si>
  <si>
    <t>Principle</t>
  </si>
  <si>
    <t>Interest</t>
  </si>
  <si>
    <t>Account 165 - Prepayments</t>
  </si>
  <si>
    <t>Account 190 - Accum. Deferred Income Tax</t>
  </si>
  <si>
    <t>Account 255 - Accum. Deferred Investment Tax Credits</t>
  </si>
  <si>
    <t>Account 281 -  Accum. Deferred Income Tax - Accelerated Amortization Property</t>
  </si>
  <si>
    <t>Account 282 -  Accum. Deferred Income Tax - Other Property</t>
  </si>
  <si>
    <t>Account 283 -  Accum. Deferred Income Tax - Other</t>
  </si>
  <si>
    <t>Account 447- Sales for Resale</t>
  </si>
  <si>
    <t>Other</t>
  </si>
  <si>
    <t>Operational</t>
  </si>
  <si>
    <t xml:space="preserve">Average 12 CP </t>
  </si>
  <si>
    <t>Construction Work In Progress</t>
  </si>
  <si>
    <t>Total Gross Plant</t>
  </si>
  <si>
    <t>Attachment O page, line reference: 
Cash Flow Template</t>
  </si>
  <si>
    <t>Attachment O page, line reference: 
Non-Levelized Template</t>
  </si>
  <si>
    <t>Page 2, Line 1</t>
  </si>
  <si>
    <t>Page 2, Line 3</t>
  </si>
  <si>
    <t>Page 2, Line 9</t>
  </si>
  <si>
    <t>Page 2, Line 15</t>
  </si>
  <si>
    <t>Page 2, Line 17</t>
  </si>
  <si>
    <t>Page 2, Line 10</t>
  </si>
  <si>
    <t>Page 2, Line 21</t>
  </si>
  <si>
    <t>Page 2, Line 2</t>
  </si>
  <si>
    <t>Page 3, Line 1</t>
  </si>
  <si>
    <t>Page 3, Line 2</t>
  </si>
  <si>
    <t>Page 3, Line 3</t>
  </si>
  <si>
    <t>Page 3, Line 4</t>
  </si>
  <si>
    <t>Page 3, Line 5</t>
  </si>
  <si>
    <t>Page 3, Line 23</t>
  </si>
  <si>
    <t>Page 3, Line 25</t>
  </si>
  <si>
    <t>Page 3, Line 24</t>
  </si>
  <si>
    <t>Page 3, Line 27</t>
  </si>
  <si>
    <t>Schedule II, Line 16, Column B + Schedule II, Line 17, Column B</t>
  </si>
  <si>
    <t>Page 2, Line 9
Page 3, Line 29</t>
  </si>
  <si>
    <t>Page 3, Line 31, 32</t>
  </si>
  <si>
    <t>Page 3, Line 34</t>
  </si>
  <si>
    <t>Page 3, Line 35, 36</t>
  </si>
  <si>
    <t>Page 3, Line 18</t>
  </si>
  <si>
    <t>Page 3, Line 19</t>
  </si>
  <si>
    <t>Page 3, Line 20</t>
  </si>
  <si>
    <t>Page 3, Line 21</t>
  </si>
  <si>
    <t>Page 1, Line 4</t>
  </si>
  <si>
    <t>Page 1, Line 5</t>
  </si>
  <si>
    <t>Page 2, Line 4</t>
  </si>
  <si>
    <t>Page 2, Line 5</t>
  </si>
  <si>
    <t>Page 3, Line 8</t>
  </si>
  <si>
    <t>Page 3, Line 9</t>
  </si>
  <si>
    <t>Page 3, Line 13</t>
  </si>
  <si>
    <t>Questions</t>
  </si>
  <si>
    <t>Schedule IV, Line 6, Column E</t>
  </si>
  <si>
    <t>Schedule IV, Line 7, Column E</t>
  </si>
  <si>
    <t>Schedule IV, Line 8, Column E</t>
  </si>
  <si>
    <t>Schedule IV, Line 9, Column E</t>
  </si>
  <si>
    <t>Page 2, Line 7</t>
  </si>
  <si>
    <t>Page 2, Line 8</t>
  </si>
  <si>
    <t>Page 2, Line 11</t>
  </si>
  <si>
    <t>Page 2, Line 13</t>
  </si>
  <si>
    <t>Page 2, Line 14</t>
  </si>
  <si>
    <t>Page 2, Line 16</t>
  </si>
  <si>
    <t>Page 2, Line 19</t>
  </si>
  <si>
    <t>Page 2, Line 20</t>
  </si>
  <si>
    <t>Page 2, Line 22</t>
  </si>
  <si>
    <t>Page 2, Line 23</t>
  </si>
  <si>
    <t>Page 2, Line 26</t>
  </si>
  <si>
    <t>Page 2, Line 25</t>
  </si>
  <si>
    <t>Schedule IV, Line 12, Column F</t>
  </si>
  <si>
    <t>Page 2, Line 27</t>
  </si>
  <si>
    <t>Page 2, Line 28</t>
  </si>
  <si>
    <t>Schedule II, Line 20, Column B</t>
  </si>
  <si>
    <t>Schedule VII, Line 8, Column D</t>
  </si>
  <si>
    <t>Schedule VII, Line 13, Column D</t>
  </si>
  <si>
    <t>Page 3, Line 17</t>
  </si>
  <si>
    <t>Page 3, Line 16</t>
  </si>
  <si>
    <t>Page 4, Line 2</t>
  </si>
  <si>
    <t>Page 4, Line 3</t>
  </si>
  <si>
    <t>Page 4, Line 7</t>
  </si>
  <si>
    <t>Page 4, Line 12</t>
  </si>
  <si>
    <t>Page 4, Line 13</t>
  </si>
  <si>
    <t>Page 4, Line 14</t>
  </si>
  <si>
    <t>Page 4, Line 15</t>
  </si>
  <si>
    <t>Page 4, Line 21</t>
  </si>
  <si>
    <t>Page 4, Line 22</t>
  </si>
  <si>
    <t>Proprietary Capital</t>
  </si>
  <si>
    <t>Page 4, Line 23</t>
  </si>
  <si>
    <t>Schedule II, Line 32, Column B</t>
  </si>
  <si>
    <t>Page 4, Line 27, 28</t>
  </si>
  <si>
    <t>Page 4, Line 30</t>
  </si>
  <si>
    <t>Page 4, Line 31, 32</t>
  </si>
  <si>
    <t>Page 1, Line 8</t>
  </si>
  <si>
    <t>Page 4, Line 19</t>
  </si>
  <si>
    <t>Page 4, Line 18</t>
  </si>
  <si>
    <t>Page 4, Line 17</t>
  </si>
  <si>
    <t>EIA Form 412 schedule,  line &amp; column reference</t>
  </si>
  <si>
    <t>Calculation &amp; explanation to get from source data to value for Attachment O.  
Need to develop an exhibit for each line item.
(That is, how did we get from Column I to Column G)</t>
  </si>
  <si>
    <t>Source of Data from Audited Financial Statement (Statement, Page Number, Line Item)</t>
  </si>
  <si>
    <t>Schedule II, Line 37, Column B</t>
  </si>
  <si>
    <t>Transmission Depreciation Expenses</t>
  </si>
  <si>
    <t>General Depreciation Expenses</t>
  </si>
  <si>
    <t>Common Depreciation Expenses</t>
  </si>
  <si>
    <t>Not Applicable</t>
  </si>
  <si>
    <t>Page 3, Line 10</t>
  </si>
  <si>
    <t>Page 3, Line 11</t>
  </si>
  <si>
    <t>Payments in Lieu of Taxes</t>
  </si>
  <si>
    <t>Page 2, Line 18</t>
  </si>
  <si>
    <t>Accumulated Depreciation of Gross Plant in Service broken down by:</t>
  </si>
  <si>
    <t>Other (non A&amp;G)</t>
  </si>
  <si>
    <t>Employees (Do not include names)</t>
  </si>
  <si>
    <t>Wages</t>
  </si>
  <si>
    <t>% Spent on Production</t>
  </si>
  <si>
    <t>% Spent on Transmission</t>
  </si>
  <si>
    <t>% Spent on Distribution</t>
  </si>
  <si>
    <t>% Spent on Other (non A&amp;G)</t>
  </si>
  <si>
    <t>% Spent on A&amp;G</t>
  </si>
  <si>
    <t>A&amp;G</t>
  </si>
  <si>
    <t>Need from Elk River</t>
  </si>
  <si>
    <t>None needed</t>
  </si>
  <si>
    <t>None needed.</t>
  </si>
  <si>
    <t>Elec Super      2080</t>
  </si>
  <si>
    <t>Elec Foreman    2210</t>
  </si>
  <si>
    <t>Lead lineman    2210</t>
  </si>
  <si>
    <t>Lineman   2210</t>
  </si>
  <si>
    <t>Plant operator   2100</t>
  </si>
  <si>
    <t>GM  2080</t>
  </si>
  <si>
    <t>Gross Plant</t>
  </si>
  <si>
    <t>Depreciation Expense</t>
  </si>
  <si>
    <t>General</t>
  </si>
  <si>
    <t>ERS3 Elk River Schedule 3 -  Depreciation Expense</t>
  </si>
  <si>
    <t>ERS2:  Elk River Schedule 2 - Wages &amp; Salary Allocator</t>
  </si>
  <si>
    <t>ERS1:  Elk River Schedule 1 -Plant Assets</t>
  </si>
  <si>
    <t>Load</t>
  </si>
  <si>
    <t>Coincident</t>
  </si>
  <si>
    <t>January</t>
  </si>
  <si>
    <t>February</t>
  </si>
  <si>
    <t>March</t>
  </si>
  <si>
    <t xml:space="preserve">April </t>
  </si>
  <si>
    <t>May</t>
  </si>
  <si>
    <t>June</t>
  </si>
  <si>
    <t>July</t>
  </si>
  <si>
    <t>August</t>
  </si>
  <si>
    <t>September</t>
  </si>
  <si>
    <t>October</t>
  </si>
  <si>
    <t>November</t>
  </si>
  <si>
    <t>December</t>
  </si>
  <si>
    <t>See Work Paper 5</t>
  </si>
  <si>
    <t>See Work Paper 1</t>
  </si>
  <si>
    <t>See Work Paper 3</t>
  </si>
  <si>
    <t>interest</t>
  </si>
  <si>
    <t>total</t>
  </si>
  <si>
    <t>2002B $1,695,000 City Hall Expansion</t>
  </si>
  <si>
    <t>2004 $940,000 Electric Revenue Bonds</t>
  </si>
  <si>
    <t>2006 $3,595,000 Electric Revenue Bonds</t>
  </si>
  <si>
    <t>Promissory Note - Landfill Gas Generation Plant</t>
  </si>
  <si>
    <t xml:space="preserve">Interest Accruals </t>
  </si>
  <si>
    <t>ERS4 Elk River Schedule 4 -  Debt Detail</t>
  </si>
  <si>
    <t>See Work Paper 4</t>
  </si>
  <si>
    <t>See Work Paper 2</t>
  </si>
  <si>
    <t>Transmission Asset</t>
  </si>
  <si>
    <t>Year built</t>
  </si>
  <si>
    <t>Year Fully Depreciated</t>
  </si>
  <si>
    <t>Book Cost</t>
  </si>
  <si>
    <t>Accum Depr</t>
  </si>
  <si>
    <t>Annual Depr</t>
  </si>
  <si>
    <t>Stat 14-3</t>
  </si>
  <si>
    <t>Stat14-4</t>
  </si>
  <si>
    <t>West 1</t>
  </si>
  <si>
    <t>West 2</t>
  </si>
  <si>
    <t>North</t>
  </si>
  <si>
    <t>Otsego</t>
  </si>
  <si>
    <t>Waco</t>
  </si>
  <si>
    <t>ERS6:  Elk River Schedule 6 -  Elk River Transmission Asset breakdown</t>
  </si>
  <si>
    <t>Item Description</t>
  </si>
  <si>
    <t>In Service Date</t>
  </si>
  <si>
    <t>Useful Life</t>
  </si>
  <si>
    <t>Gross Plant Value</t>
  </si>
  <si>
    <t>Accum Depreciation</t>
  </si>
  <si>
    <t>Net Plant Value</t>
  </si>
  <si>
    <t>Land</t>
  </si>
  <si>
    <t>Buildings</t>
  </si>
  <si>
    <t>Total General</t>
  </si>
  <si>
    <t>ERS7:  Elk River Schedule 7 -  General Plant Detail</t>
  </si>
  <si>
    <t>Land improvements</t>
  </si>
  <si>
    <t>Equipment and machinery</t>
  </si>
  <si>
    <t>Total w/out A&amp;G</t>
  </si>
  <si>
    <t>7-20 years</t>
  </si>
  <si>
    <t>25-40 years</t>
  </si>
  <si>
    <t>5-20 years</t>
  </si>
  <si>
    <t>2007 $2,875,000 Electric Revenue Bonds</t>
  </si>
  <si>
    <t>Labor Costs</t>
  </si>
  <si>
    <t>Other (non A&amp; G)</t>
  </si>
  <si>
    <t>Totals</t>
  </si>
  <si>
    <t>Supervision and Labor</t>
  </si>
  <si>
    <t>Natural gas</t>
  </si>
  <si>
    <t>Supplies and power for pumping</t>
  </si>
  <si>
    <t>Landfill gas expense</t>
  </si>
  <si>
    <t>Maintenance of structures</t>
  </si>
  <si>
    <t>Maintenance of equipment</t>
  </si>
  <si>
    <t>Maintenance of plant</t>
  </si>
  <si>
    <t>Transmission and distribution</t>
  </si>
  <si>
    <t>Supervision and labor</t>
  </si>
  <si>
    <t>Maintenance of overhead lines</t>
  </si>
  <si>
    <t>Maintenance of underground lines</t>
  </si>
  <si>
    <t>Maintenance of station equipment</t>
  </si>
  <si>
    <t>Transportation</t>
  </si>
  <si>
    <t>Maintenance of customer service</t>
  </si>
  <si>
    <t>Maintenance of customer meters</t>
  </si>
  <si>
    <t>Miscellaneous</t>
  </si>
  <si>
    <t>Services to the city</t>
  </si>
  <si>
    <t>Customer accounts expense</t>
  </si>
  <si>
    <t>Meter reading</t>
  </si>
  <si>
    <t>Billing and collection</t>
  </si>
  <si>
    <t>Bad debts</t>
  </si>
  <si>
    <t>General and administrative</t>
  </si>
  <si>
    <t>Salaries</t>
  </si>
  <si>
    <t>Employee pensions and benefits</t>
  </si>
  <si>
    <t>Dues</t>
  </si>
  <si>
    <t>Office supplies and billing expense</t>
  </si>
  <si>
    <t>Office utilities and maintenance</t>
  </si>
  <si>
    <t>Consulting fees</t>
  </si>
  <si>
    <t>Legal and audit</t>
  </si>
  <si>
    <t>Environmental compliance</t>
  </si>
  <si>
    <t>Conservation improvement project</t>
  </si>
  <si>
    <t>Insurance</t>
  </si>
  <si>
    <t>Telephone</t>
  </si>
  <si>
    <t>Advertising</t>
  </si>
  <si>
    <t>Education and meetings</t>
  </si>
  <si>
    <t>Page 1 of 5</t>
  </si>
  <si>
    <t xml:space="preserve">Formula Rate - Non-Levelized </t>
  </si>
  <si>
    <t xml:space="preserve">   Rate Formula Template</t>
  </si>
  <si>
    <t xml:space="preserve"> </t>
  </si>
  <si>
    <t>Utilizing EIA 412 Form Data</t>
  </si>
  <si>
    <t>Line</t>
  </si>
  <si>
    <t>Allocated</t>
  </si>
  <si>
    <t>No.</t>
  </si>
  <si>
    <t>Amount</t>
  </si>
  <si>
    <t xml:space="preserve">REVENUE CREDITS </t>
  </si>
  <si>
    <t>(Note T)</t>
  </si>
  <si>
    <t>Allocator</t>
  </si>
  <si>
    <t xml:space="preserve">  Account No. 454</t>
  </si>
  <si>
    <t>(page 4, line 30)</t>
  </si>
  <si>
    <t>TP</t>
  </si>
  <si>
    <t>(page 4, line 33)</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</si>
  <si>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</si>
  <si>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</si>
  <si>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</si>
  <si>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</si>
  <si>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</si>
  <si>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</si>
  <si>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</si>
  <si>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</si>
  <si>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</si>
  <si>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</si>
  <si>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</si>
  <si>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</si>
  <si>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</si>
  <si>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</si>
  <si>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</si>
  <si>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</si>
  <si>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line 15)</t>
  </si>
  <si>
    <t>Network &amp; P-to-P Rate ($/kW/Mo) (line 11/ 12)</t>
  </si>
  <si>
    <t>Peak Rate</t>
  </si>
  <si>
    <t>Off-Peak Rate</t>
  </si>
  <si>
    <t>Point-To-Point Rate ($/kW/Wk)</t>
  </si>
  <si>
    <t>(line 16 / 52; line 16/ 52)</t>
  </si>
  <si>
    <t>Point-To-Point Rate ($/kW/Day)</t>
  </si>
  <si>
    <t>(line 16/260; line 16/365)</t>
  </si>
  <si>
    <t xml:space="preserve"> Capped at weekly rate</t>
  </si>
  <si>
    <t>Point-To-Point Rate ($/MWh)</t>
  </si>
  <si>
    <t>(line 16/4160; line 16/8760</t>
  </si>
  <si>
    <t xml:space="preserve"> Capped at weekly</t>
  </si>
  <si>
    <t xml:space="preserve"> times 1,000)</t>
  </si>
  <si>
    <t xml:space="preserve"> and daily rates</t>
  </si>
  <si>
    <t>FERC Annual Charge($/MWh)</t>
  </si>
  <si>
    <t xml:space="preserve">          (Note E)</t>
  </si>
  <si>
    <t>Short Term</t>
  </si>
  <si>
    <t>Long Term</t>
  </si>
  <si>
    <t>Page 2 of 5</t>
  </si>
  <si>
    <t>(1)</t>
  </si>
  <si>
    <t>(2)</t>
  </si>
  <si>
    <t>(3)</t>
  </si>
  <si>
    <t>(4)</t>
  </si>
  <si>
    <t>(5)</t>
  </si>
  <si>
    <t>EIA 412</t>
  </si>
  <si>
    <t>Reference</t>
  </si>
  <si>
    <t>Company Total</t>
  </si>
  <si>
    <t xml:space="preserve">                  Allocator</t>
  </si>
  <si>
    <t>(Col 3 times Col 4)</t>
  </si>
  <si>
    <t>RATE BASE:</t>
  </si>
  <si>
    <t xml:space="preserve">  Production</t>
  </si>
  <si>
    <t>IV.6.e</t>
  </si>
  <si>
    <t>NA</t>
  </si>
  <si>
    <t xml:space="preserve">  Transmission</t>
  </si>
  <si>
    <t>IV.7.e</t>
  </si>
  <si>
    <t xml:space="preserve">  Distribution</t>
  </si>
  <si>
    <t>IV.8.e</t>
  </si>
  <si>
    <t xml:space="preserve">  General &amp; Intangible</t>
  </si>
  <si>
    <t>W/S</t>
  </si>
  <si>
    <t xml:space="preserve">  Common</t>
  </si>
  <si>
    <t>CE</t>
  </si>
  <si>
    <t>TOTAL GROSS PLANT (sum lines 1-5)</t>
  </si>
  <si>
    <t>GP=</t>
  </si>
  <si>
    <t>TOTAL ACCUM. DEPRECIATION (sum lines 7-11)</t>
  </si>
  <si>
    <t>NET PLANT IN SERVICE</t>
  </si>
  <si>
    <t xml:space="preserve"> (line 1- line 7)</t>
  </si>
  <si>
    <t xml:space="preserve"> (line 2- line 8)</t>
  </si>
  <si>
    <t xml:space="preserve"> (line 3 - line 9)</t>
  </si>
  <si>
    <t xml:space="preserve"> (line 4 - line 10)</t>
  </si>
  <si>
    <t xml:space="preserve"> (line 5 - line 11)</t>
  </si>
  <si>
    <t>TOTAL NET PLANT (sum lines 13-17)</t>
  </si>
  <si>
    <t>NP=</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</si>
  <si>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</si>
  <si>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</si>
  <si>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</si>
  <si>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</si>
  <si>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</si>
  <si>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</si>
  <si>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</si>
  <si>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</si>
  <si>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TOTAL ADJUSTMENTS  (sum lines 19 - 23)</t>
  </si>
  <si>
    <t xml:space="preserve">LAND HELD FOR FUTURE USE </t>
  </si>
  <si>
    <t>IV.12.e     (Note G)</t>
  </si>
  <si>
    <t>WORKING CAPITAL</t>
  </si>
  <si>
    <t>(Note H)</t>
  </si>
  <si>
    <t xml:space="preserve">  CWC</t>
  </si>
  <si>
    <t xml:space="preserve">  Materials &amp; Supplies</t>
  </si>
  <si>
    <t xml:space="preserve"> (Note G)</t>
  </si>
  <si>
    <t>TE</t>
  </si>
  <si>
    <t xml:space="preserve">  Prepayments</t>
  </si>
  <si>
    <r>
      <t>I</t>
    </r>
    <r>
      <rPr>
        <sz val="12"/>
        <rFont val="Arial"/>
        <family val="2"/>
      </rPr>
      <t>I.20.b</t>
    </r>
  </si>
  <si>
    <t>GP</t>
  </si>
  <si>
    <t>TOTAL WORKING CAPITAL (sum lines 26 - 28)</t>
  </si>
  <si>
    <t>RATE BASE  (sum lines 18, 24, 25, and 29)</t>
  </si>
  <si>
    <t>Page 3 of 5</t>
  </si>
  <si>
    <t xml:space="preserve">  Transmission </t>
  </si>
  <si>
    <t>VII.8.d</t>
  </si>
  <si>
    <t>1a</t>
  </si>
  <si>
    <t xml:space="preserve">     Less LSE Expenses included in Transmission O&amp;M Accounts (Note V)</t>
  </si>
  <si>
    <t>Date</t>
  </si>
  <si>
    <t>Num</t>
  </si>
  <si>
    <t>Name</t>
  </si>
  <si>
    <t>Memo</t>
  </si>
  <si>
    <t>Clr</t>
  </si>
  <si>
    <t>Split</t>
  </si>
  <si>
    <t>Debit</t>
  </si>
  <si>
    <t>Credit</t>
  </si>
  <si>
    <t>447 SALES FOR RESALE</t>
  </si>
  <si>
    <t>MEMBER DUES INCOME</t>
  </si>
  <si>
    <t>ASSOCIATE MEMBER DUES-RES PLNG</t>
  </si>
  <si>
    <t>Total ASSOCIATE MEMBER DUES-RES PLNG</t>
  </si>
  <si>
    <t>Total MEMBER DUES INCOME</t>
  </si>
  <si>
    <t>Total 447 SALES FOR RESALE</t>
  </si>
  <si>
    <t>TOTAL</t>
  </si>
  <si>
    <t>GROSS REVENUE REQUIREMENT  (page 3, line 31)</t>
  </si>
  <si>
    <t xml:space="preserve">  Account No. 456.1</t>
  </si>
  <si>
    <t>ACCOUNT 456.1 (OTHER ELECTRIC REVENUES)</t>
  </si>
  <si>
    <t>GROSS PLANT IN SERVICE (Note AA)</t>
  </si>
  <si>
    <t>IV.9.e &amp; IV.1.e</t>
  </si>
  <si>
    <t>ACCUMULATED DEPRECIATION (Note AA)</t>
  </si>
  <si>
    <t>O&amp;M (Note BB)</t>
  </si>
  <si>
    <t xml:space="preserve">       where WCLTD=(page 4, line 22) and R= (page 4, line 24)</t>
  </si>
  <si>
    <t>30a</t>
  </si>
  <si>
    <t>LESS ATTACHMENT MM ADJUSTMENT [Attachment MM, page 2, line 3, column 10]  (Note Y)</t>
  </si>
  <si>
    <t>[Revenue Requirement for facilities included on page 2, line 2, and also included</t>
  </si>
  <si>
    <t>in Attachment MM]</t>
  </si>
  <si>
    <t>32a</t>
  </si>
  <si>
    <t>32b</t>
  </si>
  <si>
    <t>Utilizing EIA Form 412 Data</t>
  </si>
  <si>
    <t>From Reference III.17.b include only the amount from Accounts 428, 429, and 430.</t>
  </si>
  <si>
    <t>Account Nos. 561.4 and 561.8 consist of RTO expenses billed to load-serving entities and are not included in Transmission Owner revenue requirements.</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</si>
  <si>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</si>
  <si>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</si>
  <si>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</si>
  <si>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</si>
  <si>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</si>
  <si>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</si>
  <si>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Class</t>
  </si>
  <si>
    <t>principal</t>
  </si>
  <si>
    <t>Principal  &amp; Interest Subtotal</t>
  </si>
  <si>
    <t>Principal &amp; Interest Grand Total</t>
  </si>
  <si>
    <t>2010 $1,265,000 Capital Improvement Plan</t>
  </si>
  <si>
    <t>Line 32 supported by notes in Form 412 or detailed Schedule</t>
  </si>
  <si>
    <t>Tech Super   2080</t>
  </si>
  <si>
    <t>Elec Tech Lead 2130</t>
  </si>
  <si>
    <t>Elec Tech    2130</t>
  </si>
  <si>
    <t>Meter Reader 2xxx</t>
  </si>
  <si>
    <t>Page 24 Statement of Revenues, Expenses ..
Column:  2012 Electric
Line (s) Operating Expenses - Customer Accounts</t>
  </si>
  <si>
    <t>Attachment O-EIA Non-Levelized Generic</t>
  </si>
  <si>
    <t>DEPRECIATION AND AMORTIZATION EXPENSE (Note AA)</t>
  </si>
  <si>
    <t>THERE ARE NO CMMPA ASSETS REPRESENTED IN THE BOOKS AND RECORDS OF ELK RIVER MUNICIPAL UTILITIES,</t>
  </si>
  <si>
    <t>THERE ARE NO CMMPA EXPENSES REFLECTED ANYWHERE IN THE BOOKS AND RECORDS OF ELK RIVER MUNICIPAL UTILITIES.</t>
  </si>
  <si>
    <t>CMMPA DOES INVOICE ELK RIVER FOR A PREPARATION FEE FOR THEIR ATTACHMENT O.  THAT FEE IS REPORTED AS A</t>
  </si>
  <si>
    <t>TRANSMISSION EXPENSE BY ELK RIVER AND A NEGATIVE TRANSMISSION EXPENSE BY CMMPA.</t>
  </si>
  <si>
    <t>ELK RIVER HAS NO RECB OR OTHER "COST SHARED" PROJECTS' COSTS REFLECTED IN ITS ATTACHMENT O.</t>
  </si>
  <si>
    <t>Wages not included on pages 54 &amp; 56 (capitalized)</t>
  </si>
  <si>
    <t>Inventory 2xxx</t>
  </si>
  <si>
    <t>Account</t>
  </si>
  <si>
    <t>456.1 MISO TO REVENUE</t>
  </si>
  <si>
    <t>MISO TO REV-ELK RIVER</t>
  </si>
  <si>
    <t>MISO TO REV ALLOC-E.R. SCHED 7</t>
  </si>
  <si>
    <t>Total MISO TO REV ALLOC-E.R. SCHED 7</t>
  </si>
  <si>
    <t>MISO TO REV ALLOC-E.R. SCHED 8</t>
  </si>
  <si>
    <t>Total MISO TO REV ALLOC-E.R. SCHED 8</t>
  </si>
  <si>
    <t>MISO TO REV ALLOC-E.R. SCHED 9</t>
  </si>
  <si>
    <t>Total MISO TO REV ALLOC-E.R. SCHED 9</t>
  </si>
  <si>
    <t>Total MISO TO REV-ELK RIVER</t>
  </si>
  <si>
    <t>Total 456.1 MISO TO REVENUE</t>
  </si>
  <si>
    <t>Credit Memo</t>
  </si>
  <si>
    <t>ELK RIVER MUNICIPAL UTILITIES</t>
  </si>
  <si>
    <t>MISO T.O. REVENUE SCHED 7-ELK RIVER</t>
  </si>
  <si>
    <t>MISO T.O. REVENUE SCHED 8-ELK RIVER</t>
  </si>
  <si>
    <t>MISO T.O. REVENUE SCHED 9-ELK RIVER</t>
  </si>
  <si>
    <t>GENERAL</t>
  </si>
  <si>
    <t>142 ACCOUNTS RECEIVABLE</t>
  </si>
  <si>
    <t xml:space="preserve">  c.  Transmission charges from Schedules associated with Attachment GG (Note X)</t>
  </si>
  <si>
    <t xml:space="preserve">  d. Transmission charges from Schedules associated with Attachment MM (Note Z)</t>
  </si>
  <si>
    <t>MISO T.O. ADMIN FEE-ELK RIVER</t>
  </si>
  <si>
    <t>TRANS OUT-MISO TO FEE-NON-TRANS</t>
  </si>
  <si>
    <t>For the 12 months ended 12/31/14</t>
  </si>
  <si>
    <t>HENCE NO CMMPA ASSETS ARE REPRESENTED IN THE ACCOMPANYING ATTACHMENT O USING 2014 AUDITED INFORMATION.</t>
  </si>
  <si>
    <t>ELK RIVER HAS NO 2014 GFA LOAD OR REVENUE INCLUDED IN THEIR ATTACHMENT O FOR 2014 DATA.</t>
  </si>
  <si>
    <t>12/31/2014 - Dated provided by (Elk River)</t>
  </si>
  <si>
    <t>ERS5:  Elk River Schedule 5 -  2014 Load Data</t>
  </si>
  <si>
    <t>MW</t>
  </si>
  <si>
    <t>12 Avg MW</t>
  </si>
  <si>
    <t>2014 Depreciation</t>
  </si>
  <si>
    <t>Operating Expenses from audited financial statements 2014</t>
  </si>
  <si>
    <t>DEPARTMENT EXPENSES</t>
  </si>
  <si>
    <t>TRANSMISSION FERC 560-579</t>
  </si>
  <si>
    <t>566 OPER SUPPLIES &amp; EXP-TRANS</t>
  </si>
  <si>
    <t>922 TRANS EXP TRANSFERRED-TRANS</t>
  </si>
  <si>
    <t>Total TRANS OUT-MISO TO FEE-NON-TRANS</t>
  </si>
  <si>
    <t>Total 922 TRANS EXP TRANSFERRED-TRANS</t>
  </si>
  <si>
    <t>Total 566 OPER SUPPLIES &amp; EXP-TRANS</t>
  </si>
  <si>
    <t>Total TRANSMISSION FERC 560-579</t>
  </si>
  <si>
    <t>Total DEPARTMENT EXPENSES</t>
  </si>
  <si>
    <t>4331</t>
  </si>
  <si>
    <t>4363</t>
  </si>
  <si>
    <t>4393</t>
  </si>
  <si>
    <t>4446</t>
  </si>
  <si>
    <t>4481</t>
  </si>
  <si>
    <t>4515</t>
  </si>
  <si>
    <t>4547</t>
  </si>
  <si>
    <t>4581</t>
  </si>
  <si>
    <t>4614</t>
  </si>
  <si>
    <t>4647</t>
  </si>
  <si>
    <t>4681</t>
  </si>
  <si>
    <t>4716</t>
  </si>
  <si>
    <t>net of capacity bought/sold</t>
  </si>
  <si>
    <t>Page 20 Statement of Net Position
Column:  2014 Electric
Line (s) Accumulated Depreciation</t>
  </si>
  <si>
    <t>Page 20 Statement of Net Position
Column:  2014 Electric
Line (s) Prepaid expenses</t>
  </si>
  <si>
    <t>Page 22 Statement of Net Position
Column:  2014 Electric
Line (s) Notes payable + bonds payable current portion and Notes payable + bonds payable less current portion</t>
  </si>
  <si>
    <t>Page 22 Statement of Net Position
Column:  2014 Electric
Line (s) Total Net Assets</t>
  </si>
  <si>
    <t>Page 24 Statement of Revenues, Expenses ..
Column:  2014 Electric
Line (s) General and Administrative</t>
  </si>
  <si>
    <t>Page 24 Statement of Revenues, Expenses ..
Column:  2014 Electric
Line (s) Transfers to other City Funds</t>
  </si>
  <si>
    <t>Page 24 Statement of Revenues, Expenses ..
Column:  2014 Electric
Line (s) Depreciation</t>
  </si>
  <si>
    <t>Page 26 Statements of Cash Flow
Column:  2014 Electric
Line(s) Principal payments on revenue bonds + principal payments on promissory notes</t>
  </si>
  <si>
    <t>Page 24 Statement of Revenues, Expenses ..
Column:  2014 Electric
Line (s) Amortization of bond discount; included in Interest Expense recorded on NonOperating Expense</t>
  </si>
  <si>
    <t>Page 24 Statement of Revenues, Expenses ..
Column:  2014 Electric
Line (s) Operating Expenses - Production</t>
  </si>
  <si>
    <t>Page 24 Statement of Revenues, Expenses ..
Column:  2014 Electric
Line (s) Operating Expenses - Distribution</t>
  </si>
  <si>
    <t>Page 20  Statement of Net Position
Column:  2014 Electric 
Line (s) Infrastructure</t>
  </si>
  <si>
    <t>Page 20 Statement of Net Position
Column:  2014 Electric
Line (s) Land, Land improvements, Buildings, Equipment and machinery</t>
  </si>
  <si>
    <t>Page 24 Statement of Revenues, Expenses ..
Column:  2014 Electric
Line (s) Interest Expense; includes $3271 in Amortization of Bond Discount recorded as NonOperating Expense</t>
  </si>
  <si>
    <t>Page 23 Statements of Revenues, Expenses
Column:  2014 Electric
Line(s):  Depreciation</t>
  </si>
  <si>
    <t>2014 $2,030,000 Electric Revenue Bonds</t>
  </si>
  <si>
    <t>refunded 2014</t>
  </si>
  <si>
    <t>Note:  Purchased power is net of $784,248 generation facilities credit</t>
  </si>
  <si>
    <t>ERS8:  Elk River Schedule 8 -  Breakout of pg 46 &amp; 47</t>
  </si>
  <si>
    <t>Line 11 includes revenue from:  Security Systems sales- $241,919; Landfill Gas Project - $1,103,177; Interest Income - $98,442;</t>
  </si>
  <si>
    <t>Connection Charges - $149,911; Customer Penalties - $244,857;  Misc Revenue - $229,532, and Gain on Sale Assets - $29,525.</t>
  </si>
  <si>
    <t>North upgrade</t>
  </si>
  <si>
    <t>Waco upgrade</t>
  </si>
  <si>
    <t>6a</t>
  </si>
  <si>
    <t>Adjustments to Net Revenue Requirement (Note CC)</t>
  </si>
  <si>
    <t>6b</t>
  </si>
  <si>
    <t>Interest on Adjustments (Note DD)</t>
  </si>
  <si>
    <t>6c</t>
  </si>
  <si>
    <t>Total Adjustment (line 6a + line 6b)</t>
  </si>
  <si>
    <t xml:space="preserve"> (line 1 minus line 6 plus Line 6c)</t>
  </si>
  <si>
    <t>References to data from EIA Form 412 are indicated as:   x.y.z  (section, line, column)</t>
  </si>
  <si>
    <t>To the extent the page references to EIA Form 412 are missing, the entity will include a "Notes" section in the EIA 412 to provide this data.</t>
  </si>
  <si>
    <t xml:space="preserve">                            </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</si>
  <si>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</si>
  <si>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</si>
  <si>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</si>
  <si>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The FERC's annual charges for the year assessed the Transmission Owner for service under this tariff, if any.</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</si>
  <si>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</si>
  <si>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</si>
  <si>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</si>
  <si>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</si>
  <si>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</si>
  <si>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</si>
  <si>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Removes transmission plant determined  to be state-jurisdictional by Commission order according to the seven-factor test (until EIA 412 balances are adjusted to reflect application of seven-factor test).</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</si>
  <si>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</si>
  <si>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</si>
  <si>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</si>
  <si>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</si>
  <si>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</si>
  <si>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</si>
  <si>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CC</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</si>
  <si>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</si>
  <si>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</si>
  <si>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</si>
  <si>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</si>
  <si>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</si>
  <si>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 xml:space="preserve">  Total of a-b-c-d</t>
  </si>
  <si>
    <t>Schedule 4</t>
  </si>
  <si>
    <t>Other Production (340-346)</t>
  </si>
  <si>
    <t>NOTE FOR LINE 5:  Combustion Turbine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</si>
</sst>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quot;$&quot;#,##0.00"/>
    <numFmt numFmtId="167" formatCode="_(* #,##0_);_(* \(#,##0\);_(* &quot;-&quot;??_);_(@_)"/>
    <numFmt numFmtId="168" formatCode="General_)"/>
    <numFmt numFmtId="169" formatCode="0.00000"/>
    <numFmt numFmtId="170" formatCode="0.0000"/>
    <numFmt numFmtId="171" formatCode="#,##0.000"/>
    <numFmt numFmtId="172" formatCode="&quot;$&quot;#,##0.000"/>
    <numFmt numFmtId="173" formatCode="#,##0.00000"/>
    <numFmt numFmtId="174" formatCode="0.000%"/>
    <numFmt numFmtId="175" formatCode="#,##0.0000"/>
    <numFmt numFmtId="176" formatCode="0.00000%"/>
    <numFmt numFmtId="177" formatCode="mm/dd/yyyy"/>
    <numFmt numFmtId="178" formatCode="#,##0.00;\-#,##0.00"/>
  </numFmts>
  <fonts count="91">
    <font>
      <sz val="10"/>
      <name val="Arial"/>
    </font>
    <font>
      <sz val="10"/>
      <name val="Arial"/>
    </font>
    <font>
      <sz val="8"/>
      <name val="Arial"/>
      <family val="2"/>
    </font>
    <font>
      <b/>
      <sz val="10"/>
      <name val="Arial"/>
      <family val="2"/>
    </font>
    <font>
      <b/>
      <sz val="10"/>
      <color indexed="12"/>
      <name val="Arial"/>
      <family val="2"/>
    </font>
    <font>
      <b/>
      <i/>
      <sz val="10"/>
      <color indexed="12"/>
      <name val="Arial"/>
      <family val="2"/>
    </font>
    <font>
      <sz val="10"/>
      <name val="Arial"/>
      <family val="2"/>
    </font>
    <font>
      <b/>
      <i/>
      <sz val="10"/>
      <name val="Arial"/>
      <family val="2"/>
    </font>
    <font>
      <i/>
      <sz val="10"/>
      <name val="Arial"/>
      <family val="2"/>
    </font>
    <font>
      <sz val="10"/>
      <color indexed="10"/>
      <name val="Arial"/>
      <family val="2"/>
    </font>
    <font>
      <b/>
      <u/>
      <sz val="10"/>
      <color indexed="10"/>
      <name val="Arial"/>
      <family val="2"/>
    </font>
    <font>
      <sz val="10"/>
      <color indexed="12"/>
      <name val="Arial"/>
      <family val="2"/>
    </font>
    <font>
      <b/>
      <sz val="14"/>
      <color indexed="12"/>
      <name val="Arial"/>
      <family val="2"/>
    </font>
    <font>
      <sz val="14"/>
      <color indexed="12"/>
      <name val="Arial"/>
      <family val="2"/>
    </font>
    <font>
      <b/>
      <sz val="12"/>
      <color indexed="10"/>
      <name val="Arial"/>
      <family val="2"/>
    </font>
    <font>
      <b/>
      <sz val="8"/>
      <color indexed="12"/>
      <name val="Arial"/>
      <family val="2"/>
    </font>
    <font>
      <b/>
      <sz val="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2"/>
      <name val="Helv"/>
    </font>
    <font>
      <sz val="8"/>
      <name val="Helv"/>
    </font>
    <font>
      <b/>
      <sz val="10"/>
      <name val="Helv"/>
    </font>
    <font>
      <b/>
      <sz val="12"/>
      <name val="Helv"/>
    </font>
    <font>
      <b/>
      <sz val="14"/>
      <name val="Arial"/>
      <family val="2"/>
    </font>
    <font>
      <b/>
      <sz val="10"/>
      <name val="Arial"/>
      <family val="2"/>
    </font>
    <font>
      <b/>
      <sz val="14"/>
      <color indexed="8"/>
      <name val="Calibri"/>
      <family val="2"/>
    </font>
    <font>
      <sz val="9"/>
      <name val="Arial"/>
      <family val="2"/>
    </font>
    <font>
      <sz val="10"/>
      <name val="Arial"/>
      <family val="2"/>
    </font>
    <font>
      <i/>
      <sz val="11"/>
      <color indexed="8"/>
      <name val="Calibri"/>
      <family val="2"/>
    </font>
    <font>
      <b/>
      <sz val="11"/>
      <color indexed="12"/>
      <name val="Calibri"/>
      <family val="2"/>
    </font>
    <font>
      <sz val="8"/>
      <name val="Arial"/>
    </font>
    <font>
      <sz val="12"/>
      <name val="Arial"/>
      <family val="2"/>
    </font>
    <font>
      <sz val="12"/>
      <name val="Arial MT"/>
    </font>
    <font>
      <sz val="12"/>
      <color indexed="17"/>
      <name val="Arial MT"/>
    </font>
    <font>
      <sz val="12"/>
      <color indexed="10"/>
      <name val="Arial"/>
      <family val="2"/>
    </font>
    <font>
      <sz val="12"/>
      <name val="Times New Roman"/>
      <family val="1"/>
    </font>
    <font>
      <sz val="11"/>
      <name val="Arial"/>
      <family val="2"/>
    </font>
    <font>
      <sz val="12"/>
      <name val="Arial"/>
    </font>
    <font>
      <sz val="12"/>
      <color indexed="17"/>
      <name val="Arial"/>
      <family val="2"/>
    </font>
    <font>
      <strike/>
      <sz val="12"/>
      <name val="Arial"/>
      <family val="2"/>
    </font>
    <font>
      <b/>
      <sz val="12"/>
      <color indexed="17"/>
      <name val="Arial MT"/>
    </font>
    <font>
      <sz val="12"/>
      <color indexed="17"/>
      <name val="Times New Roman"/>
      <family val="1"/>
    </font>
    <font>
      <sz val="12"/>
      <color indexed="10"/>
      <name val="Times New Roman"/>
      <family val="1"/>
    </font>
    <font>
      <sz val="16"/>
      <name val="Arial MT"/>
    </font>
    <font>
      <sz val="14"/>
      <name val="Times New Roman"/>
      <family val="1"/>
    </font>
    <font>
      <sz val="10"/>
      <name val="Arial MT"/>
    </font>
    <font>
      <sz val="14"/>
      <name val="Arial MT"/>
    </font>
    <font>
      <sz val="12"/>
      <color indexed="12"/>
      <name val="Arial"/>
      <family val="2"/>
    </font>
    <font>
      <b/>
      <sz val="11"/>
      <name val="Arial"/>
      <family val="2"/>
    </font>
    <font>
      <sz val="10"/>
      <color indexed="12"/>
      <name val="Arial"/>
    </font>
    <font>
      <b/>
      <sz val="10"/>
      <color indexed="12"/>
      <name val="Arial"/>
    </font>
    <font>
      <b/>
      <sz val="10"/>
      <name val="Arial"/>
    </font>
    <font>
      <b/>
      <u/>
      <sz val="10"/>
      <name val="Arial"/>
      <family val="2"/>
    </font>
    <font>
      <sz val="10"/>
      <name val="Arial"/>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b/>
      <sz val="8"/>
      <color rgb="FF000000"/>
      <name val="Arial"/>
      <family val="2"/>
    </font>
    <font>
      <sz val="8"/>
      <color rgb="FF000000"/>
      <name val="Arial"/>
      <family val="2"/>
    </font>
    <font>
      <sz val="11"/>
      <name val="Calibri"/>
      <family val="2"/>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ck">
        <color indexed="64"/>
      </top>
      <bottom/>
      <diagonal/>
    </border>
    <border>
      <left/>
      <right/>
      <top style="medium">
        <color indexed="64"/>
      </top>
      <bottom style="double">
        <color indexed="64"/>
      </bottom>
      <diagonal/>
    </border>
    <border>
      <left/>
      <right/>
      <top/>
      <bottom style="thick">
        <color indexed="64"/>
      </bottom>
      <diagonal/>
    </border>
    <border>
      <left style="thin">
        <color indexed="64"/>
      </left>
      <right/>
      <top/>
      <bottom style="medium">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style="medium">
        <color indexed="64"/>
      </bottom>
      <diagonal/>
    </border>
    <border>
      <left/>
      <right/>
      <top style="thin">
        <color indexed="64"/>
      </top>
      <bottom style="medium">
        <color indexed="64"/>
      </bottom>
      <diagonal/>
    </border>
  </borders>
  <cellStyleXfs count="183">
    <xf numFmtId="0" fontId="0" fillId="0" borderId="0"/>
    <xf numFmtId="0" fontId="18" fillId="2" borderId="0" applyNumberFormat="0" applyBorder="0" applyAlignment="0" applyProtection="0"/>
    <xf numFmtId="0" fontId="71" fillId="29"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71" fillId="30"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71" fillId="31"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71" fillId="32"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71" fillId="3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71" fillId="34"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71" fillId="35"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71" fillId="3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1" fillId="37"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71" fillId="38"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71" fillId="39"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71" fillId="40"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72" fillId="4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72" fillId="4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72" fillId="43"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72" fillId="44"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72" fillId="45"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2" fillId="46"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72" fillId="47"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72" fillId="48"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72" fillId="49"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72" fillId="5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72" fillId="51"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72" fillId="52"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73" fillId="53"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74" fillId="54" borderId="73" applyNumberFormat="0" applyAlignment="0" applyProtection="0"/>
    <xf numFmtId="0" fontId="21" fillId="20" borderId="1" applyNumberFormat="0" applyAlignment="0" applyProtection="0"/>
    <xf numFmtId="0" fontId="22" fillId="21" borderId="2" applyNumberFormat="0" applyAlignment="0" applyProtection="0"/>
    <xf numFmtId="0" fontId="75" fillId="55" borderId="74" applyNumberFormat="0" applyAlignment="0" applyProtection="0"/>
    <xf numFmtId="0" fontId="22" fillId="21" borderId="2" applyNumberFormat="0" applyAlignment="0" applyProtection="0"/>
    <xf numFmtId="43" fontId="1"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0"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70" fillId="0" borderId="0" applyFont="0" applyFill="0" applyBorder="0" applyAlignment="0" applyProtection="0"/>
    <xf numFmtId="44" fontId="6" fillId="0" borderId="0" applyFont="0" applyFill="0" applyBorder="0" applyAlignment="0" applyProtection="0"/>
    <xf numFmtId="44" fontId="70" fillId="0" borderId="0" applyFon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77" fillId="56" borderId="0" applyNumberFormat="0" applyBorder="0" applyAlignment="0" applyProtection="0"/>
    <xf numFmtId="0" fontId="24" fillId="4" borderId="0" applyNumberFormat="0" applyBorder="0" applyAlignment="0" applyProtection="0"/>
    <xf numFmtId="0" fontId="25" fillId="0" borderId="3" applyNumberFormat="0" applyFill="0" applyAlignment="0" applyProtection="0"/>
    <xf numFmtId="0" fontId="78" fillId="0" borderId="75"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79" fillId="0" borderId="76"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80" fillId="0" borderId="77"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80" fillId="0" borderId="0" applyNumberFormat="0" applyFill="0" applyBorder="0" applyAlignment="0" applyProtection="0"/>
    <xf numFmtId="0" fontId="27" fillId="0" borderId="0" applyNumberFormat="0" applyFill="0" applyBorder="0" applyAlignment="0" applyProtection="0"/>
    <xf numFmtId="0" fontId="28" fillId="7" borderId="1" applyNumberFormat="0" applyAlignment="0" applyProtection="0"/>
    <xf numFmtId="0" fontId="81" fillId="57" borderId="73" applyNumberFormat="0" applyAlignment="0" applyProtection="0"/>
    <xf numFmtId="0" fontId="28" fillId="7" borderId="1" applyNumberFormat="0" applyAlignment="0" applyProtection="0"/>
    <xf numFmtId="0" fontId="29" fillId="0" borderId="6" applyNumberFormat="0" applyFill="0" applyAlignment="0" applyProtection="0"/>
    <xf numFmtId="0" fontId="82" fillId="0" borderId="78" applyNumberFormat="0" applyFill="0" applyAlignment="0" applyProtection="0"/>
    <xf numFmtId="0" fontId="29" fillId="0" borderId="6" applyNumberFormat="0" applyFill="0" applyAlignment="0" applyProtection="0"/>
    <xf numFmtId="0" fontId="30" fillId="22" borderId="0" applyNumberFormat="0" applyBorder="0" applyAlignment="0" applyProtection="0"/>
    <xf numFmtId="0" fontId="83" fillId="58" borderId="0" applyNumberFormat="0" applyBorder="0" applyAlignment="0" applyProtection="0"/>
    <xf numFmtId="0" fontId="30" fillId="22" borderId="0" applyNumberFormat="0" applyBorder="0" applyAlignment="0" applyProtection="0"/>
    <xf numFmtId="0" fontId="6" fillId="0" borderId="0"/>
    <xf numFmtId="166" fontId="49" fillId="0" borderId="0" applyProtection="0"/>
    <xf numFmtId="0" fontId="71" fillId="0" borderId="0"/>
    <xf numFmtId="0" fontId="18" fillId="0" borderId="0"/>
    <xf numFmtId="168" fontId="36" fillId="0" borderId="0"/>
    <xf numFmtId="0" fontId="18" fillId="0" borderId="0"/>
    <xf numFmtId="0" fontId="18" fillId="0" borderId="0"/>
    <xf numFmtId="0" fontId="18" fillId="23" borderId="7" applyNumberFormat="0" applyFont="0" applyAlignment="0" applyProtection="0"/>
    <xf numFmtId="0" fontId="71" fillId="59" borderId="79" applyNumberFormat="0" applyFont="0" applyAlignment="0" applyProtection="0"/>
    <xf numFmtId="0" fontId="18" fillId="23" borderId="7" applyNumberFormat="0" applyFont="0" applyAlignment="0" applyProtection="0"/>
    <xf numFmtId="0" fontId="31" fillId="20" borderId="8" applyNumberFormat="0" applyAlignment="0" applyProtection="0"/>
    <xf numFmtId="0" fontId="84" fillId="54" borderId="80" applyNumberFormat="0" applyAlignment="0" applyProtection="0"/>
    <xf numFmtId="0" fontId="31" fillId="20"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0" fontId="32" fillId="0" borderId="0" applyNumberFormat="0" applyFill="0" applyBorder="0" applyAlignment="0" applyProtection="0"/>
    <xf numFmtId="0" fontId="85"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86" fillId="0" borderId="81"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87" fillId="0" borderId="0" applyNumberFormat="0" applyFill="0" applyBorder="0" applyAlignment="0" applyProtection="0"/>
    <xf numFmtId="0" fontId="34" fillId="0" borderId="0" applyNumberForma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cellStyleXfs>
  <cellXfs count="760">
    <xf numFmtId="0" fontId="0" fillId="0" borderId="0" xfId="0"/>
    <xf numFmtId="0" fontId="6"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6" fillId="0" borderId="0" xfId="0" applyFont="1" applyBorder="1" applyAlignment="1">
      <alignment horizontal="center" vertical="center"/>
    </xf>
    <xf numFmtId="0" fontId="4" fillId="0" borderId="10" xfId="0" applyFont="1" applyBorder="1" applyAlignment="1">
      <alignment horizontal="left" vertical="center"/>
    </xf>
    <xf numFmtId="0" fontId="3" fillId="0" borderId="10" xfId="0" applyFont="1" applyBorder="1" applyAlignment="1">
      <alignment horizontal="left" vertical="center" indent="1"/>
    </xf>
    <xf numFmtId="0" fontId="0" fillId="0" borderId="10" xfId="0" applyBorder="1" applyAlignment="1">
      <alignment horizontal="left" vertical="center" indent="2"/>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wrapText="1"/>
    </xf>
    <xf numFmtId="0" fontId="4" fillId="0" borderId="14" xfId="0" applyFont="1" applyBorder="1" applyAlignment="1">
      <alignment horizontal="left" vertical="center" wrapText="1"/>
    </xf>
    <xf numFmtId="164" fontId="0" fillId="0" borderId="15" xfId="87" applyNumberFormat="1" applyFont="1" applyBorder="1" applyAlignment="1">
      <alignment horizontal="center" vertical="center"/>
    </xf>
    <xf numFmtId="14" fontId="4"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0" fillId="0" borderId="20" xfId="0" applyFont="1" applyBorder="1" applyAlignment="1">
      <alignment horizontal="center" vertical="center" wrapText="1"/>
    </xf>
    <xf numFmtId="164" fontId="1" fillId="0" borderId="10" xfId="87" applyNumberFormat="1" applyBorder="1" applyAlignment="1">
      <alignment vertical="center"/>
    </xf>
    <xf numFmtId="0" fontId="0" fillId="0" borderId="0" xfId="0" applyAlignment="1">
      <alignment vertical="center"/>
    </xf>
    <xf numFmtId="164" fontId="1" fillId="0" borderId="10" xfId="87" applyNumberFormat="1" applyFill="1" applyBorder="1" applyAlignment="1">
      <alignment vertical="center"/>
    </xf>
    <xf numFmtId="0" fontId="3" fillId="0" borderId="10" xfId="0" applyFont="1" applyBorder="1" applyAlignment="1">
      <alignment horizontal="left" vertical="center" indent="2"/>
    </xf>
    <xf numFmtId="164" fontId="1" fillId="0" borderId="0" xfId="87" applyNumberFormat="1" applyAlignment="1">
      <alignment vertical="center"/>
    </xf>
    <xf numFmtId="43"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vertical="center" wrapText="1"/>
    </xf>
    <xf numFmtId="0" fontId="0" fillId="0" borderId="0" xfId="0" applyAlignment="1">
      <alignment vertical="center" wrapText="1"/>
    </xf>
    <xf numFmtId="0" fontId="3" fillId="24" borderId="21" xfId="0" applyFont="1" applyFill="1" applyBorder="1" applyAlignment="1">
      <alignment horizontal="center" vertical="center"/>
    </xf>
    <xf numFmtId="0" fontId="3" fillId="24" borderId="0" xfId="0" applyFont="1" applyFill="1" applyBorder="1" applyAlignment="1">
      <alignment horizontal="center" vertical="center"/>
    </xf>
    <xf numFmtId="0" fontId="0" fillId="24" borderId="22" xfId="0" applyFill="1" applyBorder="1" applyAlignment="1">
      <alignment horizontal="center" vertical="center"/>
    </xf>
    <xf numFmtId="0" fontId="3" fillId="0" borderId="10" xfId="0" applyFont="1" applyBorder="1" applyAlignment="1">
      <alignment horizontal="left" vertical="center"/>
    </xf>
    <xf numFmtId="43" fontId="0" fillId="0" borderId="15" xfId="0" applyNumberFormat="1" applyBorder="1" applyAlignment="1">
      <alignment horizontal="center" vertical="center"/>
    </xf>
    <xf numFmtId="0" fontId="0" fillId="24" borderId="23" xfId="0" applyFill="1" applyBorder="1" applyAlignment="1">
      <alignment vertical="center"/>
    </xf>
    <xf numFmtId="0" fontId="9" fillId="24" borderId="24" xfId="0" applyFont="1" applyFill="1" applyBorder="1" applyAlignment="1">
      <alignment vertical="center" wrapText="1"/>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left" vertical="center"/>
    </xf>
    <xf numFmtId="164" fontId="0" fillId="25" borderId="15" xfId="87" applyNumberFormat="1" applyFont="1" applyFill="1" applyBorder="1" applyAlignment="1">
      <alignment horizontal="center" vertical="center"/>
    </xf>
    <xf numFmtId="0" fontId="0" fillId="0" borderId="23" xfId="0" applyBorder="1" applyAlignment="1">
      <alignment vertical="center" wrapText="1"/>
    </xf>
    <xf numFmtId="0" fontId="9" fillId="0" borderId="24" xfId="0" applyFont="1" applyBorder="1" applyAlignment="1">
      <alignment vertical="center" wrapText="1"/>
    </xf>
    <xf numFmtId="0" fontId="0" fillId="0" borderId="23" xfId="0" applyBorder="1" applyAlignment="1">
      <alignment vertical="center"/>
    </xf>
    <xf numFmtId="164" fontId="0" fillId="0" borderId="15" xfId="87" applyNumberFormat="1" applyFont="1" applyFill="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3" fillId="24" borderId="25" xfId="0" applyFont="1" applyFill="1" applyBorder="1" applyAlignment="1">
      <alignment horizontal="center" vertical="center"/>
    </xf>
    <xf numFmtId="0" fontId="3" fillId="24" borderId="23" xfId="0" applyFont="1" applyFill="1" applyBorder="1" applyAlignment="1">
      <alignment horizontal="center" vertical="center"/>
    </xf>
    <xf numFmtId="0" fontId="0" fillId="24" borderId="24" xfId="0" applyFill="1" applyBorder="1" applyAlignment="1">
      <alignment horizontal="center" vertical="center"/>
    </xf>
    <xf numFmtId="0" fontId="7" fillId="0" borderId="10" xfId="0" applyFont="1" applyBorder="1" applyAlignment="1">
      <alignment horizontal="left" vertical="center"/>
    </xf>
    <xf numFmtId="0" fontId="8" fillId="0" borderId="10" xfId="0" applyFont="1" applyBorder="1" applyAlignment="1">
      <alignment horizontal="left" vertical="center"/>
    </xf>
    <xf numFmtId="0" fontId="0" fillId="0" borderId="23" xfId="0" applyFill="1" applyBorder="1" applyAlignment="1">
      <alignment vertical="center"/>
    </xf>
    <xf numFmtId="0" fontId="9" fillId="0" borderId="24" xfId="0" applyFont="1" applyFill="1" applyBorder="1" applyAlignment="1">
      <alignment vertical="center" wrapText="1"/>
    </xf>
    <xf numFmtId="0" fontId="0" fillId="0" borderId="0" xfId="0" applyFill="1" applyAlignment="1">
      <alignment vertical="center"/>
    </xf>
    <xf numFmtId="0" fontId="6" fillId="0" borderId="26" xfId="0" applyFont="1" applyBorder="1" applyAlignment="1">
      <alignment horizontal="center" vertical="center"/>
    </xf>
    <xf numFmtId="164" fontId="1" fillId="0" borderId="15" xfId="87" applyNumberFormat="1" applyFont="1" applyFill="1" applyBorder="1" applyAlignment="1">
      <alignment horizontal="center" vertical="center"/>
    </xf>
    <xf numFmtId="0" fontId="6" fillId="0" borderId="25" xfId="0" applyFont="1" applyBorder="1" applyAlignment="1">
      <alignment horizontal="center" vertical="center" wrapText="1"/>
    </xf>
    <xf numFmtId="0" fontId="6" fillId="24" borderId="25" xfId="0" applyFont="1" applyFill="1" applyBorder="1" applyAlignment="1">
      <alignment horizontal="center" vertical="center"/>
    </xf>
    <xf numFmtId="0" fontId="4" fillId="24" borderId="25" xfId="0" applyFont="1" applyFill="1" applyBorder="1" applyAlignment="1">
      <alignment horizontal="center" vertical="center"/>
    </xf>
    <xf numFmtId="0" fontId="4" fillId="24" borderId="23" xfId="0" applyFont="1" applyFill="1" applyBorder="1" applyAlignment="1">
      <alignment horizontal="center" vertical="center"/>
    </xf>
    <xf numFmtId="0" fontId="11" fillId="24" borderId="24" xfId="0" applyFont="1" applyFill="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left" vertical="center"/>
    </xf>
    <xf numFmtId="0" fontId="0" fillId="0" borderId="28" xfId="0" applyBorder="1" applyAlignment="1">
      <alignment vertical="center"/>
    </xf>
    <xf numFmtId="0" fontId="9" fillId="0" borderId="29" xfId="0" applyFont="1" applyBorder="1" applyAlignment="1">
      <alignment vertical="center" wrapText="1"/>
    </xf>
    <xf numFmtId="164" fontId="0" fillId="0" borderId="31" xfId="87" applyNumberFormat="1" applyFont="1" applyFill="1" applyBorder="1" applyAlignment="1">
      <alignment horizontal="center" vertical="center"/>
    </xf>
    <xf numFmtId="164" fontId="3" fillId="0" borderId="10" xfId="87" applyNumberFormat="1" applyFont="1" applyBorder="1" applyAlignment="1">
      <alignment vertical="center"/>
    </xf>
    <xf numFmtId="164" fontId="1" fillId="0" borderId="0" xfId="87" applyNumberFormat="1" applyBorder="1" applyAlignment="1">
      <alignment vertical="center"/>
    </xf>
    <xf numFmtId="0" fontId="0" fillId="0" borderId="25" xfId="0" applyBorder="1" applyAlignment="1">
      <alignment vertical="center" wrapText="1"/>
    </xf>
    <xf numFmtId="0" fontId="0" fillId="24" borderId="25" xfId="0" applyFill="1" applyBorder="1" applyAlignment="1">
      <alignment vertical="center" wrapText="1"/>
    </xf>
    <xf numFmtId="0" fontId="0" fillId="0" borderId="25" xfId="0" applyFill="1" applyBorder="1" applyAlignment="1">
      <alignment vertical="center" wrapText="1"/>
    </xf>
    <xf numFmtId="0" fontId="0" fillId="0" borderId="27" xfId="0" applyBorder="1" applyAlignment="1">
      <alignment vertical="center" wrapText="1"/>
    </xf>
    <xf numFmtId="0" fontId="0" fillId="0" borderId="26" xfId="0" applyBorder="1" applyAlignment="1">
      <alignment vertical="center"/>
    </xf>
    <xf numFmtId="164" fontId="6" fillId="0" borderId="10" xfId="88" applyNumberFormat="1" applyBorder="1" applyAlignment="1">
      <alignment vertical="center"/>
    </xf>
    <xf numFmtId="0" fontId="6" fillId="0" borderId="0" xfId="119" applyAlignment="1">
      <alignment vertical="center"/>
    </xf>
    <xf numFmtId="0" fontId="6" fillId="0" borderId="10" xfId="119" applyBorder="1" applyAlignment="1">
      <alignment horizontal="left" vertical="center" indent="2"/>
    </xf>
    <xf numFmtId="0" fontId="3" fillId="0" borderId="10" xfId="119" applyFont="1" applyBorder="1" applyAlignment="1">
      <alignment horizontal="left" vertical="center" indent="2"/>
    </xf>
    <xf numFmtId="164" fontId="6" fillId="0" borderId="10" xfId="88" applyNumberFormat="1" applyFont="1" applyBorder="1" applyAlignment="1">
      <alignment vertical="center"/>
    </xf>
    <xf numFmtId="164" fontId="6" fillId="0" borderId="0" xfId="88" applyNumberFormat="1" applyAlignment="1">
      <alignment vertical="center"/>
    </xf>
    <xf numFmtId="0" fontId="14" fillId="0" borderId="0" xfId="119" applyFont="1" applyAlignment="1">
      <alignment horizontal="left" vertical="center" indent="1"/>
    </xf>
    <xf numFmtId="0" fontId="3" fillId="26" borderId="13" xfId="119" applyFont="1" applyFill="1" applyBorder="1" applyAlignment="1">
      <alignment horizontal="center" vertical="center"/>
    </xf>
    <xf numFmtId="164" fontId="3" fillId="26" borderId="14" xfId="88" applyNumberFormat="1" applyFont="1" applyFill="1" applyBorder="1" applyAlignment="1">
      <alignment vertical="center"/>
    </xf>
    <xf numFmtId="0" fontId="15" fillId="26" borderId="14" xfId="119" applyFont="1" applyFill="1" applyBorder="1" applyAlignment="1">
      <alignment horizontal="center" vertical="center"/>
    </xf>
    <xf numFmtId="0" fontId="16" fillId="26" borderId="14" xfId="119" applyFont="1" applyFill="1" applyBorder="1" applyAlignment="1">
      <alignment horizontal="center" vertical="center"/>
    </xf>
    <xf numFmtId="0" fontId="16" fillId="26" borderId="16" xfId="119" applyFont="1" applyFill="1" applyBorder="1" applyAlignment="1">
      <alignment horizontal="center" vertical="center"/>
    </xf>
    <xf numFmtId="0" fontId="6" fillId="0" borderId="11" xfId="119" applyBorder="1" applyAlignment="1">
      <alignment horizontal="center" vertical="center"/>
    </xf>
    <xf numFmtId="164" fontId="6" fillId="25" borderId="10" xfId="88" applyNumberFormat="1" applyFill="1" applyBorder="1" applyAlignment="1">
      <alignment vertical="center"/>
    </xf>
    <xf numFmtId="10" fontId="6" fillId="25" borderId="10" xfId="133" applyNumberFormat="1" applyFill="1" applyBorder="1" applyAlignment="1">
      <alignment vertical="center"/>
    </xf>
    <xf numFmtId="0" fontId="6" fillId="0" borderId="32" xfId="119" applyBorder="1" applyAlignment="1">
      <alignment horizontal="center" vertical="center"/>
    </xf>
    <xf numFmtId="164" fontId="6" fillId="25" borderId="33" xfId="88" applyNumberFormat="1" applyFill="1" applyBorder="1" applyAlignment="1">
      <alignment vertical="center"/>
    </xf>
    <xf numFmtId="10" fontId="6" fillId="25" borderId="33" xfId="133" applyNumberFormat="1" applyFill="1" applyBorder="1" applyAlignment="1">
      <alignment vertical="center"/>
    </xf>
    <xf numFmtId="0" fontId="17" fillId="0" borderId="34" xfId="119" applyFont="1" applyBorder="1" applyAlignment="1">
      <alignment horizontal="center" vertical="center"/>
    </xf>
    <xf numFmtId="164" fontId="3" fillId="0" borderId="35" xfId="88" applyNumberFormat="1" applyFont="1" applyBorder="1" applyAlignment="1">
      <alignment vertical="center"/>
    </xf>
    <xf numFmtId="10" fontId="6" fillId="0" borderId="35" xfId="133" applyNumberFormat="1" applyBorder="1" applyAlignment="1">
      <alignment vertical="center"/>
    </xf>
    <xf numFmtId="43" fontId="6" fillId="0" borderId="0" xfId="119" applyNumberFormat="1" applyAlignment="1">
      <alignment vertical="center"/>
    </xf>
    <xf numFmtId="10" fontId="6" fillId="0" borderId="0" xfId="133" applyNumberFormat="1" applyAlignment="1">
      <alignment vertical="center"/>
    </xf>
    <xf numFmtId="44" fontId="6" fillId="0" borderId="0" xfId="88" applyAlignment="1">
      <alignment vertical="center"/>
    </xf>
    <xf numFmtId="0" fontId="35" fillId="0" borderId="25" xfId="0" applyFont="1" applyBorder="1" applyAlignment="1">
      <alignment vertical="center" wrapText="1"/>
    </xf>
    <xf numFmtId="0" fontId="17" fillId="0" borderId="0" xfId="0" applyFont="1" applyBorder="1" applyAlignment="1">
      <alignment vertical="center"/>
    </xf>
    <xf numFmtId="0" fontId="17" fillId="0" borderId="10" xfId="0" applyFont="1" applyBorder="1" applyAlignment="1">
      <alignment vertical="center"/>
    </xf>
    <xf numFmtId="164" fontId="1" fillId="0" borderId="0" xfId="87" applyNumberFormat="1" applyFill="1" applyBorder="1" applyAlignment="1">
      <alignment vertical="center"/>
    </xf>
    <xf numFmtId="164" fontId="3" fillId="0" borderId="0" xfId="87" applyNumberFormat="1" applyFont="1" applyFill="1" applyBorder="1" applyAlignment="1">
      <alignment vertical="center"/>
    </xf>
    <xf numFmtId="164" fontId="1" fillId="0" borderId="0" xfId="87" applyNumberFormat="1" applyFill="1" applyAlignment="1">
      <alignment vertical="center"/>
    </xf>
    <xf numFmtId="0" fontId="0" fillId="0" borderId="36" xfId="0" applyBorder="1" applyAlignment="1">
      <alignment vertical="center"/>
    </xf>
    <xf numFmtId="0" fontId="0" fillId="0" borderId="37" xfId="0" applyBorder="1" applyAlignment="1">
      <alignment vertical="center"/>
    </xf>
    <xf numFmtId="164" fontId="1" fillId="0" borderId="37" xfId="87" applyNumberFormat="1" applyBorder="1" applyAlignment="1">
      <alignment vertical="center"/>
    </xf>
    <xf numFmtId="164" fontId="1" fillId="0" borderId="38" xfId="87" applyNumberFormat="1" applyBorder="1" applyAlignment="1">
      <alignment vertical="center"/>
    </xf>
    <xf numFmtId="0" fontId="0" fillId="0" borderId="39" xfId="0" applyBorder="1" applyAlignment="1">
      <alignment vertical="center"/>
    </xf>
    <xf numFmtId="164" fontId="1" fillId="0" borderId="22" xfId="87" applyNumberFormat="1" applyBorder="1" applyAlignment="1">
      <alignment vertical="center"/>
    </xf>
    <xf numFmtId="164" fontId="1" fillId="0" borderId="22" xfId="87" applyNumberFormat="1" applyFill="1" applyBorder="1" applyAlignment="1">
      <alignment vertical="center"/>
    </xf>
    <xf numFmtId="164" fontId="3" fillId="0" borderId="22" xfId="87" applyNumberFormat="1"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164" fontId="1" fillId="0" borderId="41" xfId="87" applyNumberFormat="1" applyBorder="1" applyAlignment="1">
      <alignment vertical="center"/>
    </xf>
    <xf numFmtId="164" fontId="1" fillId="0" borderId="42" xfId="87" applyNumberFormat="1" applyBorder="1" applyAlignment="1">
      <alignment vertical="center"/>
    </xf>
    <xf numFmtId="164" fontId="6" fillId="0" borderId="0" xfId="88" applyNumberFormat="1" applyBorder="1" applyAlignment="1">
      <alignment vertical="center"/>
    </xf>
    <xf numFmtId="164" fontId="6" fillId="0" borderId="0" xfId="88" applyNumberFormat="1" applyFont="1" applyBorder="1" applyAlignment="1">
      <alignment vertical="center"/>
    </xf>
    <xf numFmtId="0" fontId="6" fillId="0" borderId="36" xfId="119" applyBorder="1" applyAlignment="1">
      <alignment vertical="center"/>
    </xf>
    <xf numFmtId="0" fontId="6" fillId="0" borderId="37" xfId="119" applyBorder="1" applyAlignment="1">
      <alignment vertical="center"/>
    </xf>
    <xf numFmtId="164" fontId="6" fillId="0" borderId="37" xfId="88" applyNumberFormat="1" applyBorder="1" applyAlignment="1">
      <alignment vertical="center"/>
    </xf>
    <xf numFmtId="164" fontId="6" fillId="0" borderId="38" xfId="88" applyNumberFormat="1" applyBorder="1" applyAlignment="1">
      <alignment vertical="center"/>
    </xf>
    <xf numFmtId="0" fontId="6" fillId="0" borderId="39" xfId="119" applyBorder="1" applyAlignment="1">
      <alignment vertical="center"/>
    </xf>
    <xf numFmtId="164" fontId="6" fillId="0" borderId="22" xfId="88" applyNumberFormat="1" applyBorder="1" applyAlignment="1">
      <alignment vertical="center"/>
    </xf>
    <xf numFmtId="164" fontId="6" fillId="0" borderId="22" xfId="88" applyNumberFormat="1" applyFont="1" applyBorder="1" applyAlignment="1">
      <alignment vertical="center"/>
    </xf>
    <xf numFmtId="0" fontId="6" fillId="0" borderId="40" xfId="119" applyBorder="1" applyAlignment="1">
      <alignment vertical="center"/>
    </xf>
    <xf numFmtId="0" fontId="6" fillId="0" borderId="41" xfId="119" applyBorder="1" applyAlignment="1">
      <alignment vertical="center"/>
    </xf>
    <xf numFmtId="164" fontId="6" fillId="0" borderId="41" xfId="88" applyNumberFormat="1" applyBorder="1" applyAlignment="1">
      <alignment vertical="center"/>
    </xf>
    <xf numFmtId="164" fontId="6" fillId="0" borderId="42" xfId="88" applyNumberFormat="1" applyBorder="1" applyAlignment="1">
      <alignment vertical="center"/>
    </xf>
    <xf numFmtId="168" fontId="36" fillId="0" borderId="0" xfId="123" applyAlignment="1">
      <alignment vertical="center"/>
    </xf>
    <xf numFmtId="43" fontId="36" fillId="0" borderId="0" xfId="123" applyNumberFormat="1" applyAlignment="1">
      <alignment vertical="center"/>
    </xf>
    <xf numFmtId="168" fontId="36" fillId="0" borderId="36" xfId="123" applyBorder="1" applyAlignment="1">
      <alignment vertical="center"/>
    </xf>
    <xf numFmtId="168" fontId="36" fillId="0" borderId="37" xfId="123" applyBorder="1" applyAlignment="1">
      <alignment vertical="center"/>
    </xf>
    <xf numFmtId="43" fontId="36" fillId="0" borderId="37" xfId="123" applyNumberFormat="1" applyBorder="1" applyAlignment="1">
      <alignment vertical="center"/>
    </xf>
    <xf numFmtId="43" fontId="36" fillId="0" borderId="38" xfId="123" applyNumberFormat="1" applyBorder="1" applyAlignment="1">
      <alignment vertical="center"/>
    </xf>
    <xf numFmtId="168" fontId="36" fillId="0" borderId="39" xfId="123" applyBorder="1" applyAlignment="1">
      <alignment vertical="center"/>
    </xf>
    <xf numFmtId="168" fontId="36" fillId="0" borderId="0" xfId="123" applyBorder="1" applyAlignment="1">
      <alignment vertical="center"/>
    </xf>
    <xf numFmtId="43" fontId="36" fillId="0" borderId="0" xfId="123" applyNumberFormat="1" applyBorder="1" applyAlignment="1">
      <alignment vertical="center"/>
    </xf>
    <xf numFmtId="43" fontId="36" fillId="0" borderId="22" xfId="123" applyNumberFormat="1" applyBorder="1" applyAlignment="1">
      <alignment vertical="center"/>
    </xf>
    <xf numFmtId="43" fontId="38" fillId="0" borderId="0" xfId="123" applyNumberFormat="1" applyFont="1" applyBorder="1" applyAlignment="1">
      <alignment vertical="center"/>
    </xf>
    <xf numFmtId="43" fontId="38" fillId="0" borderId="0" xfId="123" applyNumberFormat="1" applyFont="1" applyBorder="1" applyAlignment="1">
      <alignment horizontal="center" vertical="center"/>
    </xf>
    <xf numFmtId="43" fontId="36" fillId="0" borderId="0" xfId="123" applyNumberFormat="1" applyBorder="1" applyAlignment="1">
      <alignment horizontal="center" vertical="center"/>
    </xf>
    <xf numFmtId="168" fontId="36" fillId="0" borderId="0" xfId="123" applyFont="1" applyBorder="1" applyAlignment="1">
      <alignment vertical="center"/>
    </xf>
    <xf numFmtId="164" fontId="36" fillId="0" borderId="0" xfId="87" applyNumberFormat="1" applyFont="1" applyBorder="1" applyAlignment="1">
      <alignment vertical="center"/>
    </xf>
    <xf numFmtId="164" fontId="36" fillId="0" borderId="43" xfId="87" applyNumberFormat="1" applyFont="1" applyBorder="1" applyAlignment="1">
      <alignment vertical="center"/>
    </xf>
    <xf numFmtId="168" fontId="39" fillId="0" borderId="0" xfId="123" applyFont="1" applyAlignment="1">
      <alignment horizontal="center" vertical="center"/>
    </xf>
    <xf numFmtId="164" fontId="36" fillId="0" borderId="44" xfId="87" applyNumberFormat="1" applyFont="1" applyBorder="1" applyAlignment="1">
      <alignment vertical="center"/>
    </xf>
    <xf numFmtId="168" fontId="36" fillId="0" borderId="40" xfId="123" applyBorder="1" applyAlignment="1">
      <alignment vertical="center"/>
    </xf>
    <xf numFmtId="168" fontId="36" fillId="0" borderId="41" xfId="123" applyBorder="1" applyAlignment="1">
      <alignment vertical="center"/>
    </xf>
    <xf numFmtId="43" fontId="36" fillId="0" borderId="41" xfId="123" applyNumberFormat="1" applyBorder="1" applyAlignment="1">
      <alignment vertical="center"/>
    </xf>
    <xf numFmtId="43" fontId="36" fillId="0" borderId="42" xfId="123" applyNumberFormat="1" applyBorder="1" applyAlignment="1">
      <alignment vertical="center"/>
    </xf>
    <xf numFmtId="168" fontId="36" fillId="0" borderId="45" xfId="123" applyFont="1" applyBorder="1" applyAlignment="1">
      <alignment horizontal="left" vertical="center" wrapText="1" indent="1"/>
    </xf>
    <xf numFmtId="0" fontId="18" fillId="0" borderId="0" xfId="125" applyAlignment="1">
      <alignment vertical="center"/>
    </xf>
    <xf numFmtId="0" fontId="18" fillId="0" borderId="36" xfId="125" applyBorder="1" applyAlignment="1">
      <alignment vertical="center"/>
    </xf>
    <xf numFmtId="0" fontId="18" fillId="0" borderId="37" xfId="125" applyBorder="1" applyAlignment="1">
      <alignment vertical="center"/>
    </xf>
    <xf numFmtId="0" fontId="18" fillId="0" borderId="39" xfId="125" applyBorder="1" applyAlignment="1">
      <alignment vertical="center"/>
    </xf>
    <xf numFmtId="0" fontId="17" fillId="0" borderId="0" xfId="125" applyFont="1" applyBorder="1" applyAlignment="1">
      <alignment vertical="center"/>
    </xf>
    <xf numFmtId="0" fontId="40" fillId="0" borderId="0" xfId="125" applyFont="1" applyBorder="1" applyAlignment="1">
      <alignment vertical="center"/>
    </xf>
    <xf numFmtId="0" fontId="18" fillId="0" borderId="0" xfId="125" applyBorder="1" applyAlignment="1">
      <alignment vertical="center"/>
    </xf>
    <xf numFmtId="0" fontId="41" fillId="0" borderId="0" xfId="125" applyFont="1" applyBorder="1" applyAlignment="1">
      <alignment vertical="center"/>
    </xf>
    <xf numFmtId="0" fontId="18" fillId="0" borderId="0" xfId="125" applyBorder="1" applyAlignment="1">
      <alignment horizontal="center" vertical="center"/>
    </xf>
    <xf numFmtId="0" fontId="18" fillId="0" borderId="41" xfId="125" applyBorder="1" applyAlignment="1">
      <alignment horizontal="center" vertical="center"/>
    </xf>
    <xf numFmtId="167" fontId="18" fillId="0" borderId="46" xfId="82" applyNumberFormat="1" applyFont="1" applyBorder="1" applyAlignment="1">
      <alignment horizontal="center" vertical="center"/>
    </xf>
    <xf numFmtId="0" fontId="18" fillId="0" borderId="40" xfId="125" applyBorder="1" applyAlignment="1">
      <alignment vertical="center"/>
    </xf>
    <xf numFmtId="0" fontId="18" fillId="0" borderId="41" xfId="125" applyBorder="1" applyAlignment="1">
      <alignment vertical="center"/>
    </xf>
    <xf numFmtId="0" fontId="33" fillId="25" borderId="0" xfId="125" applyFont="1" applyFill="1" applyBorder="1" applyAlignment="1">
      <alignment vertical="center"/>
    </xf>
    <xf numFmtId="167" fontId="33" fillId="25" borderId="0" xfId="82" applyNumberFormat="1" applyFont="1" applyFill="1" applyBorder="1" applyAlignment="1">
      <alignment vertical="center"/>
    </xf>
    <xf numFmtId="164" fontId="35" fillId="0" borderId="0" xfId="88" applyNumberFormat="1" applyFont="1" applyBorder="1" applyAlignment="1">
      <alignment horizontal="center" vertical="center" wrapText="1"/>
    </xf>
    <xf numFmtId="0" fontId="6" fillId="0" borderId="11" xfId="119" applyFont="1" applyBorder="1" applyAlignment="1">
      <alignment horizontal="center" vertical="center"/>
    </xf>
    <xf numFmtId="0" fontId="6" fillId="0" borderId="25" xfId="0" applyFont="1" applyBorder="1" applyAlignment="1">
      <alignment vertical="center" wrapText="1"/>
    </xf>
    <xf numFmtId="0" fontId="0" fillId="0" borderId="36" xfId="0" applyBorder="1"/>
    <xf numFmtId="0" fontId="0" fillId="0" borderId="37" xfId="0" applyBorder="1"/>
    <xf numFmtId="0" fontId="0" fillId="0" borderId="38" xfId="0" applyBorder="1"/>
    <xf numFmtId="0" fontId="0" fillId="0" borderId="39" xfId="0" applyBorder="1"/>
    <xf numFmtId="0" fontId="0" fillId="0" borderId="0" xfId="0" applyBorder="1"/>
    <xf numFmtId="0" fontId="0" fillId="0" borderId="22" xfId="0" applyBorder="1"/>
    <xf numFmtId="0" fontId="0" fillId="0" borderId="40" xfId="0" applyBorder="1"/>
    <xf numFmtId="0" fontId="0" fillId="0" borderId="41" xfId="0" applyBorder="1"/>
    <xf numFmtId="0" fontId="0" fillId="0" borderId="42" xfId="0" applyBorder="1"/>
    <xf numFmtId="0" fontId="18" fillId="0" borderId="0" xfId="124"/>
    <xf numFmtId="0" fontId="42" fillId="0" borderId="0" xfId="124" applyFont="1"/>
    <xf numFmtId="0" fontId="33" fillId="0" borderId="0" xfId="124" applyFont="1"/>
    <xf numFmtId="0" fontId="18" fillId="0" borderId="36" xfId="124" applyBorder="1"/>
    <xf numFmtId="0" fontId="18" fillId="0" borderId="37" xfId="124" applyBorder="1"/>
    <xf numFmtId="0" fontId="18" fillId="0" borderId="38" xfId="124" applyBorder="1"/>
    <xf numFmtId="0" fontId="18" fillId="0" borderId="39" xfId="124" applyBorder="1"/>
    <xf numFmtId="0" fontId="18" fillId="0" borderId="0" xfId="124" applyBorder="1"/>
    <xf numFmtId="0" fontId="18" fillId="0" borderId="22" xfId="124" applyBorder="1"/>
    <xf numFmtId="0" fontId="18" fillId="0" borderId="39" xfId="124" applyBorder="1" applyAlignment="1">
      <alignment horizontal="center"/>
    </xf>
    <xf numFmtId="0" fontId="33" fillId="0" borderId="0" xfId="124" applyFont="1" applyBorder="1" applyAlignment="1">
      <alignment horizontal="center"/>
    </xf>
    <xf numFmtId="0" fontId="18" fillId="0" borderId="22" xfId="124" applyBorder="1" applyAlignment="1">
      <alignment horizontal="center"/>
    </xf>
    <xf numFmtId="0" fontId="18" fillId="0" borderId="0" xfId="124" applyAlignment="1">
      <alignment horizontal="center"/>
    </xf>
    <xf numFmtId="0" fontId="33" fillId="0" borderId="0" xfId="124" applyFont="1" applyBorder="1"/>
    <xf numFmtId="0" fontId="18" fillId="0" borderId="0" xfId="124" applyBorder="1" applyAlignment="1">
      <alignment horizontal="center"/>
    </xf>
    <xf numFmtId="0" fontId="18" fillId="0" borderId="0" xfId="124" applyBorder="1" applyAlignment="1">
      <alignment horizontal="left" indent="1"/>
    </xf>
    <xf numFmtId="164" fontId="18" fillId="0" borderId="0" xfId="87" applyNumberFormat="1" applyFont="1" applyBorder="1" applyAlignment="1">
      <alignment horizontal="center"/>
    </xf>
    <xf numFmtId="164" fontId="18" fillId="0" borderId="0" xfId="87" applyNumberFormat="1" applyFont="1" applyBorder="1"/>
    <xf numFmtId="0" fontId="18" fillId="0" borderId="41" xfId="124" applyBorder="1" applyAlignment="1">
      <alignment horizontal="center"/>
    </xf>
    <xf numFmtId="164" fontId="18" fillId="0" borderId="41" xfId="87" applyNumberFormat="1" applyFont="1" applyBorder="1" applyAlignment="1">
      <alignment horizontal="center"/>
    </xf>
    <xf numFmtId="164" fontId="18" fillId="0" borderId="41" xfId="87" applyNumberFormat="1" applyFont="1" applyBorder="1"/>
    <xf numFmtId="0" fontId="18" fillId="0" borderId="40" xfId="124" applyBorder="1"/>
    <xf numFmtId="0" fontId="18" fillId="0" borderId="41" xfId="124" applyBorder="1"/>
    <xf numFmtId="0" fontId="18" fillId="0" borderId="42" xfId="124" applyBorder="1"/>
    <xf numFmtId="0" fontId="18" fillId="0" borderId="0" xfId="124" applyFont="1" applyBorder="1"/>
    <xf numFmtId="0" fontId="0" fillId="0" borderId="0" xfId="0" applyAlignment="1">
      <alignment horizontal="center"/>
    </xf>
    <xf numFmtId="0" fontId="0" fillId="0" borderId="37" xfId="0" applyBorder="1"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indent="1"/>
    </xf>
    <xf numFmtId="164" fontId="1" fillId="0" borderId="0" xfId="87" applyNumberFormat="1" applyBorder="1"/>
    <xf numFmtId="164" fontId="1" fillId="0" borderId="43" xfId="87" applyNumberFormat="1" applyBorder="1"/>
    <xf numFmtId="164" fontId="3" fillId="0" borderId="0" xfId="87" applyNumberFormat="1" applyFont="1" applyBorder="1"/>
    <xf numFmtId="0" fontId="0" fillId="0" borderId="41" xfId="0" applyBorder="1" applyAlignment="1">
      <alignment horizontal="center"/>
    </xf>
    <xf numFmtId="0" fontId="0" fillId="0" borderId="0" xfId="0" applyFill="1" applyBorder="1"/>
    <xf numFmtId="164" fontId="6" fillId="0" borderId="15" xfId="88" applyNumberFormat="1" applyBorder="1" applyAlignment="1">
      <alignment vertical="center"/>
    </xf>
    <xf numFmtId="164" fontId="6" fillId="0" borderId="35" xfId="88" applyNumberFormat="1" applyBorder="1" applyAlignment="1">
      <alignment vertical="center"/>
    </xf>
    <xf numFmtId="164" fontId="6" fillId="0" borderId="47" xfId="88" applyNumberFormat="1" applyBorder="1" applyAlignment="1">
      <alignment vertical="center"/>
    </xf>
    <xf numFmtId="0" fontId="6" fillId="0" borderId="0" xfId="119" applyBorder="1" applyAlignment="1">
      <alignment vertical="center"/>
    </xf>
    <xf numFmtId="0" fontId="3" fillId="0" borderId="0" xfId="119" applyFont="1" applyBorder="1" applyAlignment="1">
      <alignment horizontal="left" vertical="center" indent="1"/>
    </xf>
    <xf numFmtId="0" fontId="6" fillId="0" borderId="0" xfId="119" applyFont="1" applyBorder="1" applyAlignment="1">
      <alignment vertical="center" wrapText="1"/>
    </xf>
    <xf numFmtId="164" fontId="6" fillId="0" borderId="0" xfId="87" applyNumberFormat="1" applyFont="1" applyBorder="1" applyAlignment="1">
      <alignment vertical="center"/>
    </xf>
    <xf numFmtId="0" fontId="6" fillId="0" borderId="0" xfId="119" applyBorder="1" applyAlignment="1">
      <alignment vertical="center" wrapText="1"/>
    </xf>
    <xf numFmtId="0" fontId="6" fillId="0" borderId="0" xfId="119" applyBorder="1" applyAlignment="1">
      <alignment horizontal="center" vertical="center" wrapText="1"/>
    </xf>
    <xf numFmtId="0" fontId="6" fillId="0" borderId="10" xfId="119" applyFont="1" applyBorder="1" applyAlignment="1">
      <alignment horizontal="left" vertical="center" indent="2"/>
    </xf>
    <xf numFmtId="0" fontId="0" fillId="0" borderId="0" xfId="0" quotePrefix="1" applyNumberFormat="1" applyFill="1" applyBorder="1"/>
    <xf numFmtId="0" fontId="0" fillId="0" borderId="0" xfId="0" applyFill="1" applyBorder="1" applyAlignment="1">
      <alignment horizontal="center"/>
    </xf>
    <xf numFmtId="164" fontId="1" fillId="0" borderId="0" xfId="87" applyNumberFormat="1" applyFill="1" applyBorder="1"/>
    <xf numFmtId="0" fontId="0" fillId="0" borderId="43" xfId="0" quotePrefix="1" applyNumberFormat="1" applyFill="1" applyBorder="1"/>
    <xf numFmtId="0" fontId="0" fillId="0" borderId="43" xfId="0" applyFill="1" applyBorder="1" applyAlignment="1">
      <alignment horizontal="center"/>
    </xf>
    <xf numFmtId="164" fontId="1" fillId="0" borderId="43" xfId="87" applyNumberFormat="1" applyFill="1" applyBorder="1"/>
    <xf numFmtId="0" fontId="6" fillId="0" borderId="0" xfId="119"/>
    <xf numFmtId="43" fontId="6" fillId="0" borderId="0" xfId="119" applyNumberFormat="1" applyFont="1"/>
    <xf numFmtId="0" fontId="6" fillId="0" borderId="36" xfId="119" applyBorder="1"/>
    <xf numFmtId="0" fontId="6" fillId="0" borderId="37" xfId="119" applyBorder="1"/>
    <xf numFmtId="43" fontId="6" fillId="0" borderId="37" xfId="119" applyNumberFormat="1" applyFont="1" applyBorder="1"/>
    <xf numFmtId="0" fontId="6" fillId="0" borderId="38" xfId="119" applyBorder="1"/>
    <xf numFmtId="0" fontId="6" fillId="0" borderId="39" xfId="119" applyBorder="1"/>
    <xf numFmtId="0" fontId="17" fillId="0" borderId="0" xfId="119" applyFont="1" applyBorder="1" applyAlignment="1">
      <alignment vertical="center"/>
    </xf>
    <xf numFmtId="43" fontId="6" fillId="0" borderId="0" xfId="119" applyNumberFormat="1" applyFont="1" applyBorder="1"/>
    <xf numFmtId="0" fontId="6" fillId="0" borderId="0" xfId="119" applyBorder="1"/>
    <xf numFmtId="0" fontId="6" fillId="0" borderId="22" xfId="119" applyBorder="1"/>
    <xf numFmtId="0" fontId="43" fillId="0" borderId="0" xfId="119" applyFont="1" applyFill="1" applyBorder="1" applyAlignment="1">
      <alignment horizontal="left"/>
    </xf>
    <xf numFmtId="0" fontId="6" fillId="0" borderId="0" xfId="119" applyBorder="1" applyAlignment="1">
      <alignment horizontal="right"/>
    </xf>
    <xf numFmtId="43" fontId="6" fillId="0" borderId="48" xfId="119" applyNumberFormat="1" applyFont="1" applyBorder="1"/>
    <xf numFmtId="0" fontId="43" fillId="0" borderId="0" xfId="119" applyFont="1" applyBorder="1" applyAlignment="1">
      <alignment horizontal="left"/>
    </xf>
    <xf numFmtId="0" fontId="43" fillId="0" borderId="0" xfId="119" applyFont="1" applyFill="1" applyAlignment="1">
      <alignment horizontal="left"/>
    </xf>
    <xf numFmtId="43" fontId="6" fillId="0" borderId="49" xfId="119" applyNumberFormat="1" applyFont="1" applyBorder="1"/>
    <xf numFmtId="0" fontId="6" fillId="0" borderId="0" xfId="119" applyBorder="1" applyAlignment="1">
      <alignment horizontal="left"/>
    </xf>
    <xf numFmtId="43" fontId="6" fillId="0" borderId="0" xfId="119" applyNumberFormat="1" applyBorder="1"/>
    <xf numFmtId="0" fontId="6" fillId="0" borderId="48" xfId="119" applyBorder="1"/>
    <xf numFmtId="43" fontId="6" fillId="0" borderId="43" xfId="119" applyNumberFormat="1" applyFont="1" applyBorder="1"/>
    <xf numFmtId="43" fontId="6" fillId="0" borderId="50" xfId="119" applyNumberFormat="1" applyBorder="1"/>
    <xf numFmtId="0" fontId="6" fillId="0" borderId="40" xfId="119" applyBorder="1"/>
    <xf numFmtId="0" fontId="6" fillId="0" borderId="41" xfId="119" applyBorder="1"/>
    <xf numFmtId="43" fontId="6" fillId="0" borderId="41" xfId="119" applyNumberFormat="1" applyFont="1" applyBorder="1"/>
    <xf numFmtId="0" fontId="6" fillId="0" borderId="42" xfId="119" applyBorder="1"/>
    <xf numFmtId="0" fontId="6" fillId="0" borderId="0" xfId="119" applyAlignment="1">
      <alignment horizontal="right"/>
    </xf>
    <xf numFmtId="0" fontId="18" fillId="0" borderId="0" xfId="122"/>
    <xf numFmtId="0" fontId="18" fillId="0" borderId="36" xfId="122" applyBorder="1"/>
    <xf numFmtId="0" fontId="18" fillId="0" borderId="37" xfId="122" applyBorder="1"/>
    <xf numFmtId="0" fontId="18" fillId="0" borderId="38" xfId="122" applyBorder="1"/>
    <xf numFmtId="0" fontId="18" fillId="0" borderId="39" xfId="122" applyBorder="1"/>
    <xf numFmtId="0" fontId="18" fillId="0" borderId="0" xfId="122" applyBorder="1"/>
    <xf numFmtId="0" fontId="18" fillId="0" borderId="22" xfId="122" applyBorder="1"/>
    <xf numFmtId="0" fontId="18" fillId="0" borderId="0" xfId="122" applyBorder="1" applyAlignment="1">
      <alignment horizontal="center"/>
    </xf>
    <xf numFmtId="41" fontId="18" fillId="0" borderId="0" xfId="122" applyNumberFormat="1" applyBorder="1"/>
    <xf numFmtId="41" fontId="18" fillId="0" borderId="43" xfId="122" applyNumberFormat="1" applyBorder="1"/>
    <xf numFmtId="0" fontId="45" fillId="0" borderId="0" xfId="122" applyFont="1" applyBorder="1"/>
    <xf numFmtId="41" fontId="45" fillId="0" borderId="43" xfId="122" applyNumberFormat="1" applyFont="1" applyBorder="1"/>
    <xf numFmtId="0" fontId="46" fillId="0" borderId="0" xfId="122" applyFont="1" applyBorder="1"/>
    <xf numFmtId="41" fontId="46" fillId="0" borderId="0" xfId="122" applyNumberFormat="1" applyFont="1" applyBorder="1"/>
    <xf numFmtId="0" fontId="18" fillId="0" borderId="40" xfId="122" applyBorder="1"/>
    <xf numFmtId="0" fontId="18" fillId="0" borderId="41" xfId="122" applyBorder="1"/>
    <xf numFmtId="0" fontId="18" fillId="0" borderId="42" xfId="122" applyBorder="1"/>
    <xf numFmtId="0" fontId="0" fillId="0" borderId="0" xfId="0" applyAlignment="1"/>
    <xf numFmtId="0" fontId="48" fillId="0" borderId="0" xfId="0" applyNumberFormat="1" applyFont="1" applyAlignment="1"/>
    <xf numFmtId="0" fontId="48" fillId="0" borderId="0" xfId="0" applyNumberFormat="1" applyFont="1"/>
    <xf numFmtId="0" fontId="49" fillId="0" borderId="0" xfId="0" applyNumberFormat="1" applyFont="1"/>
    <xf numFmtId="0" fontId="49" fillId="0" borderId="0" xfId="0" applyFont="1" applyAlignment="1"/>
    <xf numFmtId="0" fontId="48" fillId="0" borderId="0" xfId="0" applyNumberFormat="1" applyFont="1" applyAlignment="1">
      <alignment horizontal="left"/>
    </xf>
    <xf numFmtId="0" fontId="48" fillId="0" borderId="0" xfId="0" applyNumberFormat="1" applyFont="1" applyAlignment="1">
      <alignment horizontal="center"/>
    </xf>
    <xf numFmtId="0" fontId="48" fillId="27" borderId="0" xfId="0" applyNumberFormat="1" applyFont="1" applyFill="1"/>
    <xf numFmtId="3" fontId="48" fillId="0" borderId="0" xfId="0" applyNumberFormat="1" applyFont="1" applyAlignment="1"/>
    <xf numFmtId="0" fontId="0" fillId="0" borderId="0" xfId="0" applyNumberFormat="1" applyAlignment="1">
      <alignment horizontal="center"/>
    </xf>
    <xf numFmtId="49" fontId="48" fillId="27" borderId="0" xfId="0" applyNumberFormat="1" applyFont="1" applyFill="1"/>
    <xf numFmtId="49" fontId="48" fillId="0" borderId="0" xfId="0" applyNumberFormat="1" applyFont="1"/>
    <xf numFmtId="0" fontId="49" fillId="0" borderId="0" xfId="0" applyFont="1" applyFill="1" applyAlignment="1"/>
    <xf numFmtId="0" fontId="0" fillId="0" borderId="41" xfId="0" applyNumberFormat="1" applyBorder="1" applyAlignment="1">
      <alignment horizontal="center"/>
    </xf>
    <xf numFmtId="0" fontId="48" fillId="0" borderId="41" xfId="0" applyNumberFormat="1" applyFont="1" applyBorder="1" applyAlignment="1">
      <alignment horizontal="center"/>
    </xf>
    <xf numFmtId="3" fontId="48" fillId="0" borderId="0" xfId="0" applyNumberFormat="1" applyFont="1"/>
    <xf numFmtId="42" fontId="48" fillId="0" borderId="0" xfId="0" applyNumberFormat="1" applyFont="1"/>
    <xf numFmtId="0" fontId="48" fillId="0" borderId="41" xfId="0" applyNumberFormat="1" applyFont="1" applyBorder="1" applyAlignment="1">
      <alignment horizontal="centerContinuous"/>
    </xf>
    <xf numFmtId="169" fontId="48" fillId="0" borderId="0" xfId="0" applyNumberFormat="1" applyFont="1" applyAlignment="1"/>
    <xf numFmtId="0" fontId="0" fillId="0" borderId="0" xfId="0" applyFill="1" applyBorder="1" applyAlignment="1"/>
    <xf numFmtId="0" fontId="49" fillId="0" borderId="0" xfId="0" applyFont="1" applyFill="1" applyBorder="1" applyAlignment="1"/>
    <xf numFmtId="0" fontId="49" fillId="0" borderId="0" xfId="0" applyNumberFormat="1" applyFont="1" applyFill="1" applyBorder="1"/>
    <xf numFmtId="3" fontId="48" fillId="27" borderId="0" xfId="0" applyNumberFormat="1" applyFont="1" applyFill="1"/>
    <xf numFmtId="3" fontId="48" fillId="0" borderId="41" xfId="0" applyNumberFormat="1" applyFont="1" applyBorder="1" applyAlignment="1"/>
    <xf numFmtId="3" fontId="48" fillId="0" borderId="0" xfId="0" applyNumberFormat="1" applyFont="1" applyAlignment="1">
      <alignment horizontal="fill"/>
    </xf>
    <xf numFmtId="0" fontId="48" fillId="0" borderId="0" xfId="0" applyFont="1" applyAlignment="1"/>
    <xf numFmtId="0" fontId="51" fillId="0" borderId="0" xfId="0" applyNumberFormat="1" applyFont="1"/>
    <xf numFmtId="0" fontId="50" fillId="0" borderId="0" xfId="0" applyFont="1" applyFill="1" applyBorder="1" applyAlignment="1"/>
    <xf numFmtId="3" fontId="48" fillId="0" borderId="0" xfId="0" applyNumberFormat="1" applyFont="1" applyFill="1" applyBorder="1"/>
    <xf numFmtId="3" fontId="48" fillId="27" borderId="0" xfId="0" applyNumberFormat="1" applyFont="1" applyFill="1" applyBorder="1"/>
    <xf numFmtId="3" fontId="48" fillId="27" borderId="41" xfId="0" applyNumberFormat="1" applyFont="1" applyFill="1" applyBorder="1"/>
    <xf numFmtId="171" fontId="48" fillId="0" borderId="0" xfId="0" applyNumberFormat="1" applyFont="1"/>
    <xf numFmtId="171" fontId="48" fillId="0" borderId="0" xfId="0" applyNumberFormat="1" applyFont="1" applyAlignment="1">
      <alignment horizontal="center"/>
    </xf>
    <xf numFmtId="0" fontId="48" fillId="0" borderId="0" xfId="0" applyFont="1" applyAlignment="1">
      <alignment horizontal="center"/>
    </xf>
    <xf numFmtId="172" fontId="48" fillId="0" borderId="0" xfId="0" applyNumberFormat="1" applyFont="1" applyAlignment="1"/>
    <xf numFmtId="172" fontId="48" fillId="27" borderId="0" xfId="0" applyNumberFormat="1" applyFont="1" applyFill="1" applyProtection="1">
      <protection locked="0"/>
    </xf>
    <xf numFmtId="172" fontId="48" fillId="0" borderId="0" xfId="0" applyNumberFormat="1" applyFont="1" applyProtection="1">
      <protection locked="0"/>
    </xf>
    <xf numFmtId="0" fontId="48" fillId="0" borderId="0" xfId="0" applyNumberFormat="1" applyFont="1" applyProtection="1">
      <protection locked="0"/>
    </xf>
    <xf numFmtId="0" fontId="52" fillId="0" borderId="0" xfId="0" applyFont="1" applyAlignment="1"/>
    <xf numFmtId="0" fontId="52" fillId="0" borderId="0" xfId="0" applyNumberFormat="1" applyFont="1" applyAlignment="1"/>
    <xf numFmtId="0" fontId="52" fillId="0" borderId="0" xfId="0" applyNumberFormat="1" applyFont="1"/>
    <xf numFmtId="170" fontId="52" fillId="0" borderId="0" xfId="0" applyNumberFormat="1" applyFont="1"/>
    <xf numFmtId="0" fontId="52" fillId="0" borderId="0" xfId="0" applyNumberFormat="1" applyFont="1" applyAlignment="1">
      <alignment horizontal="right"/>
    </xf>
    <xf numFmtId="0" fontId="49" fillId="0" borderId="0" xfId="0" applyNumberFormat="1" applyFont="1" applyAlignment="1"/>
    <xf numFmtId="0" fontId="49" fillId="0" borderId="0" xfId="0" applyNumberFormat="1" applyFont="1" applyFill="1" applyBorder="1" applyAlignment="1"/>
    <xf numFmtId="3" fontId="49" fillId="0" borderId="0" xfId="0" applyNumberFormat="1" applyFont="1" applyAlignment="1"/>
    <xf numFmtId="3" fontId="49" fillId="0" borderId="0" xfId="0" applyNumberFormat="1" applyFont="1" applyFill="1" applyBorder="1" applyAlignment="1"/>
    <xf numFmtId="49" fontId="48" fillId="0" borderId="0" xfId="0" applyNumberFormat="1" applyFont="1" applyAlignment="1">
      <alignment horizontal="left"/>
    </xf>
    <xf numFmtId="49" fontId="48" fillId="0" borderId="0" xfId="0" applyNumberFormat="1" applyFont="1" applyAlignment="1">
      <alignment horizontal="center"/>
    </xf>
    <xf numFmtId="0" fontId="49" fillId="0" borderId="0" xfId="0" applyNumberFormat="1" applyFont="1" applyFill="1" applyBorder="1" applyAlignment="1">
      <alignment horizontal="center"/>
    </xf>
    <xf numFmtId="3" fontId="17" fillId="0" borderId="0" xfId="0" applyNumberFormat="1" applyFont="1" applyAlignment="1">
      <alignment horizontal="center"/>
    </xf>
    <xf numFmtId="0" fontId="17" fillId="0" borderId="0" xfId="0" applyNumberFormat="1" applyFont="1" applyAlignment="1">
      <alignment horizontal="center"/>
    </xf>
    <xf numFmtId="0" fontId="17" fillId="0" borderId="0" xfId="0" applyFont="1" applyAlignment="1">
      <alignment horizontal="center"/>
    </xf>
    <xf numFmtId="3" fontId="17" fillId="0" borderId="0" xfId="0" applyNumberFormat="1" applyFont="1" applyAlignment="1"/>
    <xf numFmtId="0" fontId="53" fillId="0" borderId="0" xfId="0" applyNumberFormat="1" applyFont="1" applyAlignment="1">
      <alignment horizontal="center"/>
    </xf>
    <xf numFmtId="0" fontId="17" fillId="0" borderId="0" xfId="0" applyNumberFormat="1" applyFont="1" applyAlignment="1"/>
    <xf numFmtId="3" fontId="48" fillId="27" borderId="0" xfId="0" applyNumberFormat="1" applyFont="1" applyFill="1" applyBorder="1" applyAlignment="1"/>
    <xf numFmtId="173" fontId="48" fillId="0" borderId="0" xfId="0" applyNumberFormat="1" applyFont="1" applyAlignment="1"/>
    <xf numFmtId="3" fontId="48" fillId="27" borderId="41" xfId="0" applyNumberFormat="1" applyFont="1" applyFill="1" applyBorder="1" applyAlignment="1"/>
    <xf numFmtId="174" fontId="48" fillId="0" borderId="0" xfId="0" applyNumberFormat="1" applyFont="1" applyAlignment="1">
      <alignment horizontal="center"/>
    </xf>
    <xf numFmtId="3" fontId="48" fillId="27" borderId="0" xfId="0" applyNumberFormat="1" applyFont="1" applyFill="1" applyAlignment="1"/>
    <xf numFmtId="0" fontId="49" fillId="0" borderId="0" xfId="0" applyNumberFormat="1" applyFont="1" applyFill="1" applyBorder="1" applyAlignment="1">
      <alignment horizontal="fill"/>
    </xf>
    <xf numFmtId="3" fontId="49" fillId="0" borderId="0" xfId="0" applyNumberFormat="1" applyFont="1" applyFill="1" applyBorder="1" applyAlignment="1">
      <alignment horizontal="fill"/>
    </xf>
    <xf numFmtId="173" fontId="48" fillId="0" borderId="0" xfId="0" applyNumberFormat="1" applyFont="1" applyAlignment="1">
      <alignment horizontal="right"/>
    </xf>
    <xf numFmtId="174" fontId="49" fillId="0" borderId="0" xfId="0" applyNumberFormat="1" applyFont="1" applyFill="1" applyBorder="1" applyAlignment="1">
      <alignment horizontal="center"/>
    </xf>
    <xf numFmtId="0" fontId="54" fillId="0" borderId="0" xfId="0" applyFont="1" applyAlignment="1"/>
    <xf numFmtId="3" fontId="49" fillId="0" borderId="0" xfId="0" applyNumberFormat="1" applyFont="1" applyFill="1" applyBorder="1" applyAlignment="1">
      <alignment horizontal="center"/>
    </xf>
    <xf numFmtId="0" fontId="49" fillId="0" borderId="0" xfId="0" applyNumberFormat="1" applyFont="1" applyFill="1" applyBorder="1" applyAlignment="1">
      <alignment horizontal="left"/>
    </xf>
    <xf numFmtId="0" fontId="55" fillId="0" borderId="0" xfId="0" applyFont="1" applyAlignment="1"/>
    <xf numFmtId="0" fontId="0" fillId="0" borderId="41" xfId="0" applyBorder="1" applyAlignment="1"/>
    <xf numFmtId="3" fontId="48" fillId="0" borderId="43" xfId="0" applyNumberFormat="1" applyFont="1" applyBorder="1" applyAlignment="1"/>
    <xf numFmtId="0" fontId="0" fillId="0" borderId="0" xfId="0" applyNumberFormat="1"/>
    <xf numFmtId="0" fontId="0" fillId="0" borderId="0" xfId="0" applyNumberFormat="1" applyFill="1" applyBorder="1"/>
    <xf numFmtId="0" fontId="48" fillId="0" borderId="0" xfId="0" applyNumberFormat="1" applyFont="1" applyFill="1" applyBorder="1" applyAlignment="1">
      <alignment horizontal="center"/>
    </xf>
    <xf numFmtId="0" fontId="17" fillId="0" borderId="0" xfId="0" applyNumberFormat="1" applyFont="1" applyFill="1" applyBorder="1" applyAlignment="1">
      <alignment horizontal="center"/>
    </xf>
    <xf numFmtId="0" fontId="0" fillId="0" borderId="0" xfId="0" applyNumberFormat="1" applyFill="1" applyAlignment="1">
      <alignment horizontal="center"/>
    </xf>
    <xf numFmtId="0" fontId="0" fillId="0" borderId="0" xfId="0" applyFill="1" applyAlignment="1"/>
    <xf numFmtId="0" fontId="48" fillId="0" borderId="0" xfId="0" applyNumberFormat="1" applyFont="1" applyFill="1" applyAlignment="1"/>
    <xf numFmtId="0" fontId="56" fillId="0" borderId="0" xfId="0" applyFont="1" applyFill="1" applyAlignment="1"/>
    <xf numFmtId="3" fontId="48" fillId="0" borderId="0" xfId="0" applyNumberFormat="1" applyFont="1" applyFill="1" applyAlignment="1"/>
    <xf numFmtId="173" fontId="48" fillId="0" borderId="0" xfId="0" applyNumberFormat="1" applyFont="1" applyFill="1" applyAlignment="1"/>
    <xf numFmtId="0" fontId="48" fillId="0" borderId="0" xfId="0" applyNumberFormat="1" applyFont="1" applyFill="1"/>
    <xf numFmtId="3" fontId="49" fillId="0" borderId="0" xfId="0" applyNumberFormat="1" applyFont="1" applyFill="1" applyAlignment="1"/>
    <xf numFmtId="3" fontId="49" fillId="0" borderId="0" xfId="0" applyNumberFormat="1" applyFont="1" applyFill="1" applyBorder="1" applyAlignment="1">
      <alignment horizontal="left"/>
    </xf>
    <xf numFmtId="169" fontId="48" fillId="0" borderId="0" xfId="0" applyNumberFormat="1" applyFont="1" applyAlignment="1">
      <alignment horizontal="right"/>
    </xf>
    <xf numFmtId="10" fontId="48" fillId="0" borderId="0" xfId="0" applyNumberFormat="1" applyFont="1" applyAlignment="1">
      <alignment horizontal="left"/>
    </xf>
    <xf numFmtId="169" fontId="48" fillId="0" borderId="0" xfId="0" applyNumberFormat="1" applyFont="1" applyAlignment="1">
      <alignment horizontal="center"/>
    </xf>
    <xf numFmtId="174" fontId="48" fillId="0" borderId="0" xfId="0" applyNumberFormat="1" applyFont="1" applyAlignment="1">
      <alignment horizontal="left"/>
    </xf>
    <xf numFmtId="10" fontId="48" fillId="0" borderId="0" xfId="0" applyNumberFormat="1" applyFont="1" applyFill="1" applyAlignment="1">
      <alignment horizontal="right"/>
    </xf>
    <xf numFmtId="170" fontId="48" fillId="0" borderId="0" xfId="0" applyNumberFormat="1" applyFont="1" applyFill="1" applyAlignment="1">
      <alignment horizontal="right"/>
    </xf>
    <xf numFmtId="3" fontId="48" fillId="0" borderId="0" xfId="0" applyNumberFormat="1" applyFont="1" applyFill="1" applyAlignment="1">
      <alignment horizontal="right"/>
    </xf>
    <xf numFmtId="175" fontId="48" fillId="0" borderId="0" xfId="0" applyNumberFormat="1" applyFont="1" applyAlignment="1"/>
    <xf numFmtId="3" fontId="48" fillId="0" borderId="0" xfId="0" applyNumberFormat="1" applyFont="1" applyBorder="1" applyAlignment="1"/>
    <xf numFmtId="3" fontId="48" fillId="0" borderId="49" xfId="0" applyNumberFormat="1" applyFont="1" applyBorder="1" applyAlignment="1"/>
    <xf numFmtId="0" fontId="48" fillId="0" borderId="48" xfId="0" applyFont="1" applyBorder="1" applyAlignment="1"/>
    <xf numFmtId="0" fontId="48" fillId="0" borderId="0" xfId="0" applyFont="1" applyFill="1" applyAlignment="1"/>
    <xf numFmtId="3" fontId="48" fillId="0" borderId="50" xfId="0" applyNumberFormat="1" applyFont="1" applyBorder="1" applyAlignment="1"/>
    <xf numFmtId="0" fontId="52" fillId="0" borderId="0" xfId="0" applyNumberFormat="1" applyFont="1" applyAlignment="1" applyProtection="1">
      <protection locked="0"/>
    </xf>
    <xf numFmtId="0" fontId="57" fillId="0" borderId="0" xfId="0" applyNumberFormat="1" applyFont="1" applyFill="1" applyBorder="1"/>
    <xf numFmtId="0" fontId="48" fillId="0" borderId="41" xfId="0" applyNumberFormat="1" applyFont="1" applyBorder="1"/>
    <xf numFmtId="3" fontId="48" fillId="0" borderId="0" xfId="0" applyNumberFormat="1" applyFont="1" applyAlignment="1">
      <alignment horizontal="center"/>
    </xf>
    <xf numFmtId="49" fontId="48" fillId="0" borderId="0" xfId="0" applyNumberFormat="1" applyFont="1" applyAlignment="1"/>
    <xf numFmtId="0" fontId="50" fillId="0" borderId="0" xfId="0" applyNumberFormat="1" applyFont="1" applyFill="1" applyBorder="1" applyAlignment="1"/>
    <xf numFmtId="173" fontId="48" fillId="0" borderId="0" xfId="0" applyNumberFormat="1" applyFont="1"/>
    <xf numFmtId="169" fontId="48" fillId="0" borderId="0" xfId="0" applyNumberFormat="1" applyFont="1"/>
    <xf numFmtId="165" fontId="49" fillId="0" borderId="0" xfId="0" applyNumberFormat="1" applyFont="1" applyFill="1" applyBorder="1" applyAlignment="1"/>
    <xf numFmtId="3" fontId="48" fillId="0" borderId="41" xfId="0" applyNumberFormat="1" applyFont="1" applyBorder="1" applyAlignment="1">
      <alignment horizontal="center"/>
    </xf>
    <xf numFmtId="4" fontId="48" fillId="0" borderId="0" xfId="0" applyNumberFormat="1" applyFont="1" applyAlignment="1"/>
    <xf numFmtId="3" fontId="48" fillId="0" borderId="0" xfId="0" applyNumberFormat="1" applyFont="1" applyBorder="1" applyAlignment="1">
      <alignment horizontal="center"/>
    </xf>
    <xf numFmtId="0" fontId="48" fillId="0" borderId="41" xfId="0" applyNumberFormat="1" applyFont="1" applyBorder="1" applyAlignment="1"/>
    <xf numFmtId="165" fontId="48" fillId="27" borderId="0" xfId="0" applyNumberFormat="1" applyFont="1" applyFill="1" applyAlignment="1"/>
    <xf numFmtId="9" fontId="48" fillId="0" borderId="0" xfId="0" applyNumberFormat="1" applyFont="1" applyAlignment="1"/>
    <xf numFmtId="170" fontId="48" fillId="0" borderId="0" xfId="0" applyNumberFormat="1" applyFont="1" applyAlignment="1"/>
    <xf numFmtId="10" fontId="48" fillId="0" borderId="0" xfId="0" applyNumberFormat="1" applyFont="1" applyAlignment="1"/>
    <xf numFmtId="3" fontId="48" fillId="0" borderId="0" xfId="0" quotePrefix="1" applyNumberFormat="1" applyFont="1" applyAlignment="1"/>
    <xf numFmtId="10" fontId="48" fillId="0" borderId="0" xfId="132" applyNumberFormat="1" applyFont="1" applyAlignment="1"/>
    <xf numFmtId="170" fontId="48" fillId="0" borderId="41" xfId="0" applyNumberFormat="1" applyFont="1" applyBorder="1" applyAlignment="1"/>
    <xf numFmtId="10" fontId="48" fillId="27" borderId="0" xfId="0" applyNumberFormat="1" applyFont="1" applyFill="1" applyAlignment="1"/>
    <xf numFmtId="3" fontId="48" fillId="0" borderId="0" xfId="0" applyNumberFormat="1" applyFont="1" applyFill="1" applyBorder="1" applyAlignment="1">
      <alignment horizontal="center"/>
    </xf>
    <xf numFmtId="0" fontId="48" fillId="0" borderId="0" xfId="0" applyNumberFormat="1" applyFont="1" applyFill="1" applyBorder="1" applyAlignment="1"/>
    <xf numFmtId="0" fontId="51" fillId="0" borderId="0" xfId="0" applyFont="1" applyAlignment="1"/>
    <xf numFmtId="0" fontId="0" fillId="0" borderId="0" xfId="0" applyFill="1" applyAlignment="1" applyProtection="1"/>
    <xf numFmtId="3" fontId="0" fillId="27" borderId="0" xfId="0" applyNumberFormat="1" applyFill="1" applyAlignment="1"/>
    <xf numFmtId="0" fontId="48" fillId="0" borderId="41" xfId="0" applyFont="1" applyBorder="1" applyAlignment="1"/>
    <xf numFmtId="3" fontId="0" fillId="27" borderId="41" xfId="0" applyNumberFormat="1" applyFill="1" applyBorder="1" applyAlignment="1"/>
    <xf numFmtId="165" fontId="48" fillId="0" borderId="0" xfId="0" applyNumberFormat="1" applyFont="1" applyFill="1" applyBorder="1" applyProtection="1"/>
    <xf numFmtId="172" fontId="48" fillId="0" borderId="0" xfId="0" applyNumberFormat="1" applyFont="1"/>
    <xf numFmtId="165" fontId="48" fillId="27" borderId="0" xfId="0" applyNumberFormat="1" applyFont="1" applyFill="1" applyBorder="1" applyProtection="1"/>
    <xf numFmtId="165" fontId="48" fillId="27" borderId="0" xfId="0" applyNumberFormat="1" applyFont="1" applyFill="1" applyBorder="1" applyAlignment="1" applyProtection="1">
      <protection locked="0"/>
    </xf>
    <xf numFmtId="3" fontId="58" fillId="0" borderId="0" xfId="0" applyNumberFormat="1" applyFont="1" applyAlignment="1">
      <alignment horizontal="left"/>
    </xf>
    <xf numFmtId="0" fontId="48" fillId="0" borderId="0" xfId="0" applyNumberFormat="1" applyFont="1" applyBorder="1" applyAlignment="1"/>
    <xf numFmtId="0" fontId="48" fillId="0" borderId="0" xfId="0" applyNumberFormat="1" applyFont="1" applyBorder="1"/>
    <xf numFmtId="0" fontId="59" fillId="0" borderId="0" xfId="0" applyFont="1" applyAlignment="1"/>
    <xf numFmtId="0" fontId="59" fillId="0" borderId="0" xfId="0" applyNumberFormat="1" applyFont="1"/>
    <xf numFmtId="166" fontId="48" fillId="0" borderId="0" xfId="0" applyNumberFormat="1" applyFont="1" applyAlignment="1"/>
    <xf numFmtId="165" fontId="48" fillId="0" borderId="0" xfId="0" applyNumberFormat="1" applyFont="1" applyFill="1" applyBorder="1" applyAlignment="1" applyProtection="1"/>
    <xf numFmtId="0" fontId="52" fillId="0" borderId="0" xfId="0" applyNumberFormat="1" applyFont="1" applyFill="1" applyBorder="1" applyAlignment="1">
      <alignment horizontal="center"/>
    </xf>
    <xf numFmtId="0" fontId="60" fillId="0" borderId="0" xfId="0" applyNumberFormat="1" applyFont="1"/>
    <xf numFmtId="0" fontId="61" fillId="0" borderId="0" xfId="0" applyNumberFormat="1" applyFont="1" applyFill="1" applyBorder="1" applyAlignment="1">
      <alignment horizontal="center"/>
    </xf>
    <xf numFmtId="0" fontId="52" fillId="0" borderId="0" xfId="0" applyNumberFormat="1" applyFont="1" applyAlignment="1" applyProtection="1">
      <alignment horizontal="center"/>
      <protection locked="0"/>
    </xf>
    <xf numFmtId="0" fontId="52" fillId="0" borderId="0" xfId="0" applyNumberFormat="1" applyFont="1" applyAlignment="1" applyProtection="1">
      <alignment vertical="top" wrapText="1"/>
      <protection locked="0"/>
    </xf>
    <xf numFmtId="0" fontId="52" fillId="0" borderId="0" xfId="0" applyFont="1" applyAlignment="1">
      <alignment horizontal="center" vertical="top" wrapText="1"/>
    </xf>
    <xf numFmtId="0" fontId="59" fillId="0" borderId="0" xfId="0" applyFont="1" applyAlignment="1">
      <alignment horizontal="center" vertical="top" wrapText="1"/>
    </xf>
    <xf numFmtId="0" fontId="59" fillId="0" borderId="0" xfId="0" applyNumberFormat="1" applyFont="1" applyAlignment="1" applyProtection="1">
      <alignment vertical="top" wrapText="1"/>
      <protection locked="0"/>
    </xf>
    <xf numFmtId="0" fontId="59" fillId="0" borderId="0" xfId="0" applyNumberFormat="1" applyFont="1" applyAlignment="1" applyProtection="1">
      <alignment horizontal="center"/>
      <protection locked="0"/>
    </xf>
    <xf numFmtId="0" fontId="62" fillId="0" borderId="0" xfId="0" applyFont="1" applyFill="1" applyBorder="1" applyAlignment="1"/>
    <xf numFmtId="3" fontId="61" fillId="0" borderId="0" xfId="0" applyNumberFormat="1" applyFont="1" applyFill="1" applyBorder="1" applyAlignment="1">
      <alignment horizontal="center"/>
    </xf>
    <xf numFmtId="3" fontId="59" fillId="0" borderId="0" xfId="0" applyNumberFormat="1" applyFont="1" applyFill="1" applyAlignment="1">
      <alignment horizontal="right"/>
    </xf>
    <xf numFmtId="0" fontId="63" fillId="0" borderId="0" xfId="0" applyNumberFormat="1" applyFont="1" applyAlignment="1">
      <alignment horizontal="center"/>
    </xf>
    <xf numFmtId="0" fontId="63" fillId="0" borderId="0" xfId="0" applyNumberFormat="1" applyFont="1"/>
    <xf numFmtId="0" fontId="62" fillId="0" borderId="0" xfId="0" applyNumberFormat="1" applyFont="1"/>
    <xf numFmtId="0" fontId="62" fillId="0" borderId="0" xfId="0" applyNumberFormat="1" applyFont="1" applyFill="1" applyBorder="1"/>
    <xf numFmtId="0" fontId="62" fillId="0" borderId="0" xfId="0" applyFont="1" applyAlignment="1"/>
    <xf numFmtId="0" fontId="0" fillId="0" borderId="51" xfId="0" applyBorder="1" applyAlignment="1">
      <alignment horizontal="center"/>
    </xf>
    <xf numFmtId="0" fontId="0" fillId="0" borderId="51" xfId="0" applyBorder="1"/>
    <xf numFmtId="0" fontId="0" fillId="0" borderId="53" xfId="0" applyBorder="1" applyAlignment="1">
      <alignment horizontal="center"/>
    </xf>
    <xf numFmtId="0" fontId="3" fillId="0" borderId="54" xfId="0" applyFont="1" applyBorder="1" applyAlignment="1">
      <alignment horizontal="center"/>
    </xf>
    <xf numFmtId="43" fontId="0" fillId="0" borderId="55" xfId="82" applyFont="1" applyBorder="1"/>
    <xf numFmtId="0" fontId="0" fillId="0" borderId="55" xfId="0" applyBorder="1" applyAlignment="1">
      <alignment horizontal="center"/>
    </xf>
    <xf numFmtId="0" fontId="0" fillId="0" borderId="56" xfId="0" applyBorder="1"/>
    <xf numFmtId="37" fontId="0" fillId="0" borderId="56" xfId="82" applyNumberFormat="1" applyFont="1" applyBorder="1"/>
    <xf numFmtId="0" fontId="0" fillId="0" borderId="56" xfId="0" applyBorder="1" applyAlignment="1">
      <alignment horizontal="center"/>
    </xf>
    <xf numFmtId="0" fontId="0" fillId="0" borderId="48" xfId="0" applyBorder="1" applyAlignment="1">
      <alignment horizontal="center"/>
    </xf>
    <xf numFmtId="0" fontId="0" fillId="0" borderId="57" xfId="0" applyBorder="1"/>
    <xf numFmtId="37" fontId="66" fillId="0" borderId="57" xfId="82" applyNumberFormat="1" applyFont="1" applyFill="1" applyBorder="1"/>
    <xf numFmtId="0" fontId="0" fillId="0" borderId="57" xfId="0" applyBorder="1" applyAlignment="1">
      <alignment horizontal="center"/>
    </xf>
    <xf numFmtId="37" fontId="66" fillId="0" borderId="57" xfId="82" applyNumberFormat="1" applyFont="1" applyBorder="1"/>
    <xf numFmtId="0" fontId="0" fillId="0" borderId="49" xfId="0" applyBorder="1" applyAlignment="1">
      <alignment horizontal="center"/>
    </xf>
    <xf numFmtId="0" fontId="0" fillId="0" borderId="10" xfId="0" applyBorder="1"/>
    <xf numFmtId="37" fontId="0" fillId="0" borderId="10" xfId="82" applyNumberFormat="1" applyFont="1" applyBorder="1"/>
    <xf numFmtId="0" fontId="0" fillId="0" borderId="10" xfId="0" applyBorder="1" applyAlignment="1">
      <alignment horizontal="center"/>
    </xf>
    <xf numFmtId="0" fontId="0" fillId="0" borderId="10" xfId="0" applyFill="1" applyBorder="1"/>
    <xf numFmtId="37" fontId="66" fillId="0" borderId="10" xfId="82" applyNumberFormat="1" applyFont="1" applyBorder="1"/>
    <xf numFmtId="0" fontId="3" fillId="0" borderId="10" xfId="0" applyFont="1" applyFill="1" applyBorder="1"/>
    <xf numFmtId="37" fontId="3" fillId="0" borderId="10" xfId="82" applyNumberFormat="1" applyFont="1" applyBorder="1"/>
    <xf numFmtId="0" fontId="0" fillId="0" borderId="10" xfId="0" applyFill="1" applyBorder="1" applyAlignment="1">
      <alignment horizontal="center"/>
    </xf>
    <xf numFmtId="0" fontId="3" fillId="0" borderId="55" xfId="0" applyFont="1" applyFill="1" applyBorder="1" applyAlignment="1">
      <alignment wrapText="1"/>
    </xf>
    <xf numFmtId="37" fontId="3" fillId="0" borderId="10" xfId="82" applyNumberFormat="1" applyFont="1" applyFill="1" applyBorder="1"/>
    <xf numFmtId="0" fontId="0" fillId="0" borderId="49" xfId="0" applyFill="1" applyBorder="1" applyAlignment="1">
      <alignment horizontal="center"/>
    </xf>
    <xf numFmtId="0" fontId="3" fillId="0" borderId="54" xfId="0" applyFont="1" applyFill="1" applyBorder="1" applyAlignment="1">
      <alignment horizontal="center"/>
    </xf>
    <xf numFmtId="37" fontId="1" fillId="0" borderId="57" xfId="82" applyNumberFormat="1" applyFont="1" applyBorder="1"/>
    <xf numFmtId="0" fontId="3" fillId="0" borderId="56" xfId="0" applyFont="1" applyBorder="1"/>
    <xf numFmtId="0" fontId="0" fillId="0" borderId="58" xfId="0" applyBorder="1" applyAlignment="1">
      <alignment horizontal="center"/>
    </xf>
    <xf numFmtId="37" fontId="3" fillId="0" borderId="57" xfId="82" applyNumberFormat="1" applyFont="1" applyBorder="1"/>
    <xf numFmtId="0" fontId="0" fillId="0" borderId="55" xfId="0" applyFill="1" applyBorder="1"/>
    <xf numFmtId="37" fontId="0" fillId="0" borderId="55" xfId="82" applyNumberFormat="1" applyFont="1" applyBorder="1"/>
    <xf numFmtId="0" fontId="0" fillId="0" borderId="10" xfId="0" applyBorder="1" applyAlignment="1">
      <alignment wrapText="1"/>
    </xf>
    <xf numFmtId="37" fontId="1" fillId="0" borderId="10" xfId="82" applyNumberFormat="1" applyFont="1" applyBorder="1"/>
    <xf numFmtId="0" fontId="0" fillId="0" borderId="49" xfId="0" quotePrefix="1" applyBorder="1" applyAlignment="1">
      <alignment horizontal="center"/>
    </xf>
    <xf numFmtId="0" fontId="0" fillId="0" borderId="57" xfId="0" applyFill="1" applyBorder="1"/>
    <xf numFmtId="0" fontId="0" fillId="0" borderId="56" xfId="0" applyFill="1" applyBorder="1"/>
    <xf numFmtId="0" fontId="3" fillId="0" borderId="56" xfId="0" applyFont="1" applyFill="1" applyBorder="1"/>
    <xf numFmtId="37" fontId="3" fillId="0" borderId="57" xfId="82" applyNumberFormat="1" applyFont="1" applyFill="1" applyBorder="1"/>
    <xf numFmtId="0" fontId="3" fillId="0" borderId="55" xfId="0" applyFont="1" applyBorder="1" applyAlignment="1">
      <alignment wrapText="1"/>
    </xf>
    <xf numFmtId="37" fontId="0" fillId="0" borderId="57" xfId="82" applyNumberFormat="1" applyFont="1" applyBorder="1"/>
    <xf numFmtId="0" fontId="3" fillId="0" borderId="57" xfId="0" applyFont="1" applyBorder="1"/>
    <xf numFmtId="37" fontId="0" fillId="0" borderId="0" xfId="0" applyNumberFormat="1"/>
    <xf numFmtId="37" fontId="66" fillId="0" borderId="10" xfId="82" applyNumberFormat="1" applyFont="1" applyFill="1" applyBorder="1"/>
    <xf numFmtId="0" fontId="3" fillId="0" borderId="56" xfId="0" applyFont="1" applyBorder="1" applyAlignment="1">
      <alignment wrapText="1"/>
    </xf>
    <xf numFmtId="0" fontId="0" fillId="0" borderId="56" xfId="0" applyFill="1" applyBorder="1" applyAlignment="1">
      <alignment horizontal="center"/>
    </xf>
    <xf numFmtId="0" fontId="0" fillId="0" borderId="48" xfId="0" applyFill="1" applyBorder="1" applyAlignment="1">
      <alignment horizontal="center"/>
    </xf>
    <xf numFmtId="0" fontId="0" fillId="0" borderId="57" xfId="0" quotePrefix="1" applyBorder="1"/>
    <xf numFmtId="0" fontId="0" fillId="0" borderId="48" xfId="0" applyBorder="1"/>
    <xf numFmtId="0" fontId="3" fillId="0" borderId="10" xfId="0" applyFont="1" applyBorder="1"/>
    <xf numFmtId="0" fontId="3" fillId="0" borderId="35" xfId="0" applyFont="1" applyBorder="1" applyAlignment="1">
      <alignment wrapText="1"/>
    </xf>
    <xf numFmtId="37" fontId="3" fillId="0" borderId="35" xfId="82" applyNumberFormat="1" applyFont="1" applyBorder="1"/>
    <xf numFmtId="0" fontId="0" fillId="0" borderId="35" xfId="0" applyBorder="1" applyAlignment="1">
      <alignment horizontal="center"/>
    </xf>
    <xf numFmtId="0" fontId="3" fillId="0" borderId="35" xfId="0" applyFont="1" applyBorder="1"/>
    <xf numFmtId="37" fontId="0" fillId="0" borderId="0" xfId="82" applyNumberFormat="1" applyFont="1" applyBorder="1"/>
    <xf numFmtId="43" fontId="0" fillId="0" borderId="0" xfId="82" applyFont="1" applyBorder="1"/>
    <xf numFmtId="0" fontId="6" fillId="0" borderId="0" xfId="0" applyFont="1" applyFill="1" applyBorder="1"/>
    <xf numFmtId="37" fontId="0" fillId="0" borderId="0" xfId="0" applyNumberFormat="1" applyBorder="1"/>
    <xf numFmtId="14" fontId="48" fillId="0" borderId="0" xfId="0" applyNumberFormat="1" applyFont="1" applyAlignment="1">
      <alignment horizontal="center"/>
    </xf>
    <xf numFmtId="0" fontId="48" fillId="0" borderId="0" xfId="0" applyFont="1" applyAlignment="1">
      <alignment horizontal="left"/>
    </xf>
    <xf numFmtId="14" fontId="48" fillId="0" borderId="0" xfId="0" applyNumberFormat="1" applyFont="1" applyAlignment="1">
      <alignment horizontal="left"/>
    </xf>
    <xf numFmtId="0" fontId="0" fillId="0" borderId="0" xfId="0" applyAlignment="1">
      <alignment horizontal="left"/>
    </xf>
    <xf numFmtId="0" fontId="0" fillId="0" borderId="0" xfId="0" applyFill="1" applyAlignment="1">
      <alignment horizontal="left"/>
    </xf>
    <xf numFmtId="0" fontId="65" fillId="0" borderId="0" xfId="0" applyFont="1" applyBorder="1" applyAlignment="1">
      <alignment horizontal="left"/>
    </xf>
    <xf numFmtId="0" fontId="0" fillId="0" borderId="59" xfId="0" applyBorder="1"/>
    <xf numFmtId="0" fontId="0" fillId="0" borderId="59" xfId="0" applyFill="1" applyBorder="1" applyAlignment="1">
      <alignment horizontal="center"/>
    </xf>
    <xf numFmtId="0" fontId="0" fillId="0" borderId="53" xfId="0" applyBorder="1"/>
    <xf numFmtId="0" fontId="0" fillId="0" borderId="53" xfId="0" applyFill="1" applyBorder="1" applyAlignment="1">
      <alignment horizontal="center"/>
    </xf>
    <xf numFmtId="37" fontId="11" fillId="0" borderId="53" xfId="0" applyNumberFormat="1" applyFont="1" applyFill="1" applyBorder="1"/>
    <xf numFmtId="37" fontId="0" fillId="0" borderId="53" xfId="0" applyNumberFormat="1" applyFill="1" applyBorder="1"/>
    <xf numFmtId="0" fontId="0" fillId="0" borderId="60" xfId="0" applyBorder="1" applyAlignment="1">
      <alignment horizontal="center"/>
    </xf>
    <xf numFmtId="0" fontId="0" fillId="0" borderId="60" xfId="0" applyBorder="1"/>
    <xf numFmtId="37" fontId="11" fillId="0" borderId="60" xfId="0" applyNumberFormat="1" applyFont="1" applyFill="1" applyBorder="1"/>
    <xf numFmtId="0" fontId="3" fillId="0" borderId="60" xfId="0" applyFont="1" applyBorder="1"/>
    <xf numFmtId="37" fontId="0" fillId="0" borderId="60" xfId="0" applyNumberFormat="1" applyFill="1" applyBorder="1"/>
    <xf numFmtId="37" fontId="66" fillId="0" borderId="53" xfId="0" applyNumberFormat="1" applyFont="1" applyFill="1" applyBorder="1"/>
    <xf numFmtId="0" fontId="0" fillId="0" borderId="53" xfId="0" applyBorder="1" applyAlignment="1">
      <alignment wrapText="1"/>
    </xf>
    <xf numFmtId="0" fontId="3" fillId="0" borderId="53" xfId="0" applyFont="1" applyBorder="1"/>
    <xf numFmtId="37" fontId="0" fillId="0" borderId="10" xfId="0" applyNumberFormat="1" applyFill="1" applyBorder="1"/>
    <xf numFmtId="37" fontId="1" fillId="0" borderId="53" xfId="0" applyNumberFormat="1" applyFont="1" applyFill="1" applyBorder="1"/>
    <xf numFmtId="37" fontId="0" fillId="0" borderId="0" xfId="0" applyNumberFormat="1" applyFill="1"/>
    <xf numFmtId="0" fontId="0" fillId="0" borderId="0" xfId="0" applyFill="1"/>
    <xf numFmtId="0" fontId="0" fillId="0" borderId="59" xfId="0" applyBorder="1" applyAlignment="1">
      <alignment horizontal="center"/>
    </xf>
    <xf numFmtId="37" fontId="4" fillId="0" borderId="10" xfId="0" applyNumberFormat="1" applyFont="1" applyBorder="1"/>
    <xf numFmtId="37" fontId="66" fillId="0" borderId="10" xfId="0" applyNumberFormat="1" applyFont="1" applyBorder="1"/>
    <xf numFmtId="37" fontId="3" fillId="0" borderId="10" xfId="0" applyNumberFormat="1" applyFont="1" applyBorder="1"/>
    <xf numFmtId="37" fontId="0" fillId="0" borderId="10" xfId="0" applyNumberFormat="1" applyBorder="1"/>
    <xf numFmtId="37" fontId="67" fillId="0" borderId="10" xfId="0" applyNumberFormat="1" applyFont="1" applyBorder="1"/>
    <xf numFmtId="0" fontId="3" fillId="0" borderId="0" xfId="0" applyFont="1"/>
    <xf numFmtId="167" fontId="0" fillId="0" borderId="0" xfId="82" applyNumberFormat="1" applyFont="1"/>
    <xf numFmtId="37" fontId="68" fillId="0" borderId="10" xfId="0" applyNumberFormat="1" applyFont="1" applyBorder="1"/>
    <xf numFmtId="37" fontId="3" fillId="0" borderId="10" xfId="0" applyNumberFormat="1" applyFont="1" applyFill="1" applyBorder="1"/>
    <xf numFmtId="37" fontId="3" fillId="0" borderId="56" xfId="0" applyNumberFormat="1" applyFont="1" applyFill="1" applyBorder="1"/>
    <xf numFmtId="0" fontId="3" fillId="0" borderId="10" xfId="0" applyFont="1" applyBorder="1" applyAlignment="1">
      <alignment wrapText="1"/>
    </xf>
    <xf numFmtId="14" fontId="48" fillId="0" borderId="0" xfId="0" applyNumberFormat="1" applyFont="1" applyAlignment="1"/>
    <xf numFmtId="0" fontId="0" fillId="0" borderId="55" xfId="0" applyBorder="1"/>
    <xf numFmtId="164" fontId="66" fillId="0" borderId="55" xfId="87" applyNumberFormat="1" applyFont="1" applyBorder="1"/>
    <xf numFmtId="164" fontId="0" fillId="0" borderId="56" xfId="0" applyNumberFormat="1" applyBorder="1"/>
    <xf numFmtId="164" fontId="0" fillId="0" borderId="57" xfId="0" applyNumberFormat="1" applyBorder="1"/>
    <xf numFmtId="0" fontId="0" fillId="0" borderId="61" xfId="0" applyBorder="1"/>
    <xf numFmtId="0" fontId="0" fillId="0" borderId="46" xfId="0" applyBorder="1"/>
    <xf numFmtId="0" fontId="0" fillId="0" borderId="52" xfId="0" applyBorder="1"/>
    <xf numFmtId="0" fontId="0" fillId="0" borderId="57" xfId="0" applyBorder="1" applyAlignment="1">
      <alignment wrapText="1" readingOrder="1"/>
    </xf>
    <xf numFmtId="0" fontId="69" fillId="0" borderId="0" xfId="0" applyFont="1" applyAlignment="1">
      <alignment horizontal="center"/>
    </xf>
    <xf numFmtId="164" fontId="0" fillId="0" borderId="0" xfId="87" applyNumberFormat="1" applyFont="1"/>
    <xf numFmtId="10" fontId="0" fillId="0" borderId="0" xfId="132" applyNumberFormat="1" applyFont="1"/>
    <xf numFmtId="164" fontId="0" fillId="0" borderId="0" xfId="0" applyNumberFormat="1"/>
    <xf numFmtId="44" fontId="0" fillId="0" borderId="0" xfId="87" applyFont="1"/>
    <xf numFmtId="176" fontId="0" fillId="0" borderId="0" xfId="132" applyNumberFormat="1" applyFont="1"/>
    <xf numFmtId="37" fontId="0" fillId="0" borderId="62" xfId="0" applyNumberFormat="1" applyBorder="1"/>
    <xf numFmtId="37" fontId="0" fillId="0" borderId="51" xfId="0" applyNumberFormat="1" applyBorder="1"/>
    <xf numFmtId="37" fontId="66" fillId="0" borderId="63" xfId="0" applyNumberFormat="1" applyFont="1" applyBorder="1"/>
    <xf numFmtId="37" fontId="66" fillId="0" borderId="53" xfId="0" applyNumberFormat="1" applyFont="1" applyBorder="1"/>
    <xf numFmtId="37" fontId="0" fillId="0" borderId="53" xfId="0" applyNumberFormat="1" applyBorder="1"/>
    <xf numFmtId="0" fontId="0" fillId="0" borderId="48" xfId="0" applyBorder="1" applyAlignment="1">
      <alignment wrapText="1"/>
    </xf>
    <xf numFmtId="37" fontId="0" fillId="0" borderId="64" xfId="0" applyNumberFormat="1" applyBorder="1"/>
    <xf numFmtId="0" fontId="0" fillId="0" borderId="51" xfId="0" applyFill="1" applyBorder="1"/>
    <xf numFmtId="0" fontId="0" fillId="0" borderId="65" xfId="0" applyFill="1" applyBorder="1"/>
    <xf numFmtId="0" fontId="0" fillId="0" borderId="48" xfId="0" applyFill="1" applyBorder="1"/>
    <xf numFmtId="0" fontId="0" fillId="0" borderId="60" xfId="0" applyFill="1" applyBorder="1"/>
    <xf numFmtId="0" fontId="0" fillId="0" borderId="49" xfId="0" applyFill="1" applyBorder="1"/>
    <xf numFmtId="37" fontId="66" fillId="0" borderId="66" xfId="0" applyNumberFormat="1" applyFont="1" applyBorder="1"/>
    <xf numFmtId="37" fontId="66" fillId="0" borderId="60" xfId="0" applyNumberFormat="1" applyFont="1" applyBorder="1"/>
    <xf numFmtId="37" fontId="0" fillId="0" borderId="60" xfId="0" applyNumberFormat="1" applyBorder="1"/>
    <xf numFmtId="37" fontId="66" fillId="0" borderId="67" xfId="0" applyNumberFormat="1" applyFont="1" applyBorder="1"/>
    <xf numFmtId="37" fontId="3" fillId="0" borderId="53" xfId="0" applyNumberFormat="1" applyFont="1" applyBorder="1" applyAlignment="1">
      <alignment horizontal="right"/>
    </xf>
    <xf numFmtId="37" fontId="3" fillId="0" borderId="60" xfId="0" applyNumberFormat="1" applyFont="1" applyBorder="1"/>
    <xf numFmtId="37" fontId="0" fillId="0" borderId="60" xfId="0" applyNumberFormat="1" applyBorder="1" applyAlignment="1">
      <alignment horizontal="right"/>
    </xf>
    <xf numFmtId="37" fontId="66" fillId="0" borderId="60" xfId="0" applyNumberFormat="1" applyFont="1" applyFill="1" applyBorder="1"/>
    <xf numFmtId="37" fontId="3" fillId="0" borderId="60" xfId="0" applyNumberFormat="1" applyFont="1" applyBorder="1" applyAlignment="1">
      <alignment horizontal="right"/>
    </xf>
    <xf numFmtId="37" fontId="3" fillId="0" borderId="53" xfId="0" applyNumberFormat="1" applyFont="1" applyBorder="1"/>
    <xf numFmtId="37" fontId="66" fillId="0" borderId="59" xfId="0" applyNumberFormat="1" applyFont="1" applyBorder="1"/>
    <xf numFmtId="37" fontId="0" fillId="0" borderId="48" xfId="0" applyNumberFormat="1" applyBorder="1"/>
    <xf numFmtId="0" fontId="66" fillId="0" borderId="10" xfId="0" applyFont="1" applyBorder="1"/>
    <xf numFmtId="0" fontId="66" fillId="0" borderId="10" xfId="0" applyFont="1" applyBorder="1" applyAlignment="1">
      <alignment horizontal="center"/>
    </xf>
    <xf numFmtId="37" fontId="66" fillId="28" borderId="10" xfId="0" applyNumberFormat="1" applyFont="1" applyFill="1" applyBorder="1"/>
    <xf numFmtId="37" fontId="66" fillId="0" borderId="10" xfId="0" applyNumberFormat="1" applyFont="1" applyFill="1" applyBorder="1"/>
    <xf numFmtId="1" fontId="0" fillId="0" borderId="0" xfId="0" applyNumberFormat="1"/>
    <xf numFmtId="0" fontId="66" fillId="0" borderId="10" xfId="0" applyFont="1" applyFill="1" applyBorder="1" applyAlignment="1">
      <alignment horizontal="center"/>
    </xf>
    <xf numFmtId="39" fontId="0" fillId="0" borderId="0" xfId="0" applyNumberFormat="1" applyBorder="1"/>
    <xf numFmtId="0" fontId="66" fillId="0" borderId="56" xfId="0" applyFont="1" applyFill="1" applyBorder="1"/>
    <xf numFmtId="0" fontId="66" fillId="0" borderId="56" xfId="0" applyFont="1" applyFill="1" applyBorder="1" applyAlignment="1">
      <alignment horizontal="center"/>
    </xf>
    <xf numFmtId="41" fontId="0" fillId="0" borderId="0" xfId="0" applyNumberFormat="1"/>
    <xf numFmtId="41" fontId="0" fillId="0" borderId="0" xfId="82" applyNumberFormat="1" applyFont="1"/>
    <xf numFmtId="0" fontId="0" fillId="0" borderId="68" xfId="0" applyBorder="1"/>
    <xf numFmtId="164" fontId="0" fillId="0" borderId="68" xfId="87" applyNumberFormat="1" applyFont="1" applyBorder="1"/>
    <xf numFmtId="0" fontId="69" fillId="0" borderId="0" xfId="0" applyFont="1"/>
    <xf numFmtId="0" fontId="6" fillId="0" borderId="0" xfId="119" applyFont="1"/>
    <xf numFmtId="168" fontId="36" fillId="0" borderId="0" xfId="123" applyFont="1" applyAlignment="1">
      <alignment vertical="center"/>
    </xf>
    <xf numFmtId="43" fontId="36" fillId="0" borderId="0" xfId="123" applyNumberFormat="1" applyFont="1" applyAlignment="1">
      <alignment vertical="center"/>
    </xf>
    <xf numFmtId="41" fontId="18" fillId="0" borderId="0" xfId="122" applyNumberFormat="1" applyFont="1" applyBorder="1"/>
    <xf numFmtId="41" fontId="18" fillId="0" borderId="0" xfId="122" applyNumberFormat="1"/>
    <xf numFmtId="0" fontId="18" fillId="0" borderId="0" xfId="122" applyFont="1"/>
    <xf numFmtId="0" fontId="49" fillId="27" borderId="0" xfId="0" applyNumberFormat="1" applyFont="1" applyFill="1"/>
    <xf numFmtId="0" fontId="18" fillId="0" borderId="0" xfId="122" applyFont="1" applyBorder="1"/>
    <xf numFmtId="0" fontId="33" fillId="0" borderId="0" xfId="122" applyFont="1" applyBorder="1"/>
    <xf numFmtId="43" fontId="18" fillId="0" borderId="0" xfId="122" applyNumberFormat="1" applyFont="1"/>
    <xf numFmtId="0" fontId="18" fillId="0" borderId="0" xfId="125" applyFont="1" applyBorder="1" applyAlignment="1">
      <alignment horizontal="center" vertical="center"/>
    </xf>
    <xf numFmtId="43" fontId="18" fillId="0" borderId="0" xfId="125" applyNumberFormat="1" applyFont="1" applyAlignment="1">
      <alignment vertical="center"/>
    </xf>
    <xf numFmtId="164" fontId="6" fillId="0" borderId="0" xfId="87" applyNumberFormat="1" applyFont="1"/>
    <xf numFmtId="14" fontId="6" fillId="0" borderId="0" xfId="119" applyNumberFormat="1" applyAlignment="1">
      <alignment horizontal="center"/>
    </xf>
    <xf numFmtId="0" fontId="6" fillId="0" borderId="0" xfId="119" applyFont="1" applyAlignment="1">
      <alignment horizontal="center"/>
    </xf>
    <xf numFmtId="43" fontId="6" fillId="0" borderId="0" xfId="119" applyNumberFormat="1"/>
    <xf numFmtId="0" fontId="6" fillId="0" borderId="0" xfId="119" applyFont="1" applyBorder="1" applyAlignment="1">
      <alignment horizontal="right"/>
    </xf>
    <xf numFmtId="43" fontId="6" fillId="0" borderId="48" xfId="119" applyNumberFormat="1" applyFont="1" applyFill="1" applyBorder="1"/>
    <xf numFmtId="43" fontId="6" fillId="0" borderId="49" xfId="119" applyNumberFormat="1" applyFont="1" applyFill="1" applyBorder="1"/>
    <xf numFmtId="164" fontId="6" fillId="0" borderId="0" xfId="88" applyNumberFormat="1" applyFont="1" applyAlignment="1">
      <alignment vertical="center"/>
    </xf>
    <xf numFmtId="37" fontId="0" fillId="0" borderId="0" xfId="0" applyNumberFormat="1" applyAlignment="1">
      <alignment horizontal="center"/>
    </xf>
    <xf numFmtId="49" fontId="0" fillId="0" borderId="0" xfId="0" applyNumberFormat="1"/>
    <xf numFmtId="49" fontId="88" fillId="0" borderId="0" xfId="0" applyNumberFormat="1" applyFont="1"/>
    <xf numFmtId="177" fontId="88" fillId="0" borderId="0" xfId="0" applyNumberFormat="1" applyFont="1"/>
    <xf numFmtId="178" fontId="88" fillId="0" borderId="0" xfId="0" applyNumberFormat="1" applyFont="1"/>
    <xf numFmtId="49" fontId="89" fillId="0" borderId="0" xfId="0" applyNumberFormat="1" applyFont="1"/>
    <xf numFmtId="177" fontId="89" fillId="0" borderId="0" xfId="0" applyNumberFormat="1" applyFont="1"/>
    <xf numFmtId="49" fontId="89" fillId="0" borderId="0" xfId="0" applyNumberFormat="1" applyFont="1" applyAlignment="1">
      <alignment horizontal="centerContinuous"/>
    </xf>
    <xf numFmtId="178" fontId="89" fillId="0" borderId="0" xfId="0" applyNumberFormat="1" applyFont="1"/>
    <xf numFmtId="178" fontId="89" fillId="0" borderId="0" xfId="0" applyNumberFormat="1" applyFont="1" applyBorder="1"/>
    <xf numFmtId="178" fontId="89" fillId="0" borderId="37" xfId="0" applyNumberFormat="1" applyFont="1" applyBorder="1"/>
    <xf numFmtId="178" fontId="88" fillId="0" borderId="69" xfId="0" applyNumberFormat="1" applyFont="1" applyBorder="1"/>
    <xf numFmtId="0" fontId="88" fillId="0" borderId="0" xfId="0" applyFont="1"/>
    <xf numFmtId="49" fontId="0" fillId="0" borderId="0" xfId="0" applyNumberFormat="1" applyAlignment="1">
      <alignment horizontal="center"/>
    </xf>
    <xf numFmtId="49" fontId="88" fillId="0" borderId="70" xfId="0" applyNumberFormat="1" applyFont="1" applyBorder="1" applyAlignment="1">
      <alignment horizontal="center"/>
    </xf>
    <xf numFmtId="0" fontId="48" fillId="0" borderId="0" xfId="0" applyNumberFormat="1" applyFont="1" applyAlignment="1">
      <alignment horizontal="right"/>
    </xf>
    <xf numFmtId="165" fontId="48" fillId="27" borderId="48" xfId="0" applyNumberFormat="1" applyFont="1" applyFill="1" applyBorder="1" applyAlignment="1" applyProtection="1">
      <protection locked="0"/>
    </xf>
    <xf numFmtId="166" fontId="49" fillId="0" borderId="0" xfId="120" applyAlignment="1"/>
    <xf numFmtId="0" fontId="52" fillId="0" borderId="0" xfId="120" applyNumberFormat="1" applyFont="1" applyAlignment="1" applyProtection="1">
      <alignment horizontal="center"/>
      <protection locked="0"/>
    </xf>
    <xf numFmtId="166" fontId="52" fillId="0" borderId="0" xfId="120" applyFont="1" applyAlignment="1"/>
    <xf numFmtId="0" fontId="52" fillId="0" borderId="0" xfId="120" applyNumberFormat="1" applyFont="1" applyAlignment="1"/>
    <xf numFmtId="0" fontId="52" fillId="27" borderId="41" xfId="120" applyNumberFormat="1" applyFont="1" applyFill="1" applyBorder="1" applyAlignment="1"/>
    <xf numFmtId="0" fontId="49" fillId="0" borderId="0" xfId="0" quotePrefix="1" applyNumberFormat="1" applyFont="1" applyFill="1" applyBorder="1"/>
    <xf numFmtId="0" fontId="55" fillId="0" borderId="0" xfId="0" applyNumberFormat="1" applyFont="1" applyFill="1" applyBorder="1" applyAlignment="1">
      <alignment horizontal="left"/>
    </xf>
    <xf numFmtId="3" fontId="52" fillId="0" borderId="0" xfId="0" applyNumberFormat="1" applyFont="1" applyAlignment="1">
      <alignment horizontal="center"/>
    </xf>
    <xf numFmtId="0" fontId="52" fillId="0" borderId="0" xfId="0" applyNumberFormat="1" applyFont="1" applyFill="1" applyAlignment="1" applyProtection="1">
      <alignment horizontal="center"/>
      <protection locked="0"/>
    </xf>
    <xf numFmtId="0" fontId="52" fillId="0" borderId="0" xfId="0" applyFont="1" applyFill="1" applyAlignment="1"/>
    <xf numFmtId="0" fontId="6" fillId="0" borderId="0" xfId="0" applyFont="1"/>
    <xf numFmtId="44" fontId="6" fillId="0" borderId="0" xfId="87" applyFont="1"/>
    <xf numFmtId="0" fontId="38" fillId="0" borderId="0" xfId="123" quotePrefix="1" applyNumberFormat="1" applyFont="1" applyBorder="1" applyAlignment="1">
      <alignment horizontal="center" vertical="center"/>
    </xf>
    <xf numFmtId="164" fontId="6" fillId="0" borderId="0" xfId="87" applyNumberFormat="1" applyFont="1" applyAlignment="1">
      <alignment vertical="center"/>
    </xf>
    <xf numFmtId="164" fontId="6" fillId="0" borderId="15" xfId="87" applyNumberFormat="1" applyFont="1" applyBorder="1" applyAlignment="1">
      <alignment horizontal="center" vertical="center"/>
    </xf>
    <xf numFmtId="164" fontId="6" fillId="0" borderId="25" xfId="0" applyNumberFormat="1" applyFont="1" applyBorder="1" applyAlignment="1">
      <alignment vertical="center" wrapText="1"/>
    </xf>
    <xf numFmtId="37" fontId="6" fillId="0" borderId="0" xfId="0" applyNumberFormat="1" applyFont="1"/>
    <xf numFmtId="0" fontId="6" fillId="0" borderId="23" xfId="0" applyFont="1" applyBorder="1" applyAlignment="1">
      <alignment vertical="center" wrapText="1"/>
    </xf>
    <xf numFmtId="164" fontId="70" fillId="60" borderId="15" xfId="87" applyNumberFormat="1" applyFont="1" applyFill="1" applyBorder="1" applyAlignment="1">
      <alignment horizontal="center" vertical="center"/>
    </xf>
    <xf numFmtId="41" fontId="18" fillId="0" borderId="0" xfId="122" applyNumberFormat="1" applyFill="1" applyBorder="1"/>
    <xf numFmtId="167" fontId="70" fillId="60" borderId="15" xfId="82" applyNumberFormat="1" applyFont="1" applyFill="1" applyBorder="1" applyAlignment="1">
      <alignment horizontal="center" vertical="center"/>
    </xf>
    <xf numFmtId="164" fontId="6" fillId="0" borderId="0" xfId="119" applyNumberFormat="1"/>
    <xf numFmtId="164" fontId="6" fillId="0" borderId="50" xfId="87" applyNumberFormat="1" applyFont="1" applyBorder="1"/>
    <xf numFmtId="0" fontId="0" fillId="0" borderId="0" xfId="0"/>
    <xf numFmtId="0" fontId="0" fillId="0" borderId="0" xfId="0" applyNumberFormat="1"/>
    <xf numFmtId="0" fontId="0" fillId="0" borderId="0" xfId="0" applyAlignment="1"/>
    <xf numFmtId="0" fontId="49" fillId="0" borderId="0" xfId="0" applyNumberFormat="1" applyFont="1"/>
    <xf numFmtId="0" fontId="49" fillId="0" borderId="0" xfId="0" applyFont="1" applyAlignment="1"/>
    <xf numFmtId="0" fontId="48" fillId="0" borderId="0" xfId="0" applyNumberFormat="1" applyFont="1" applyAlignment="1"/>
    <xf numFmtId="0" fontId="48" fillId="0" borderId="0" xfId="0" applyNumberFormat="1" applyFont="1"/>
    <xf numFmtId="0" fontId="48" fillId="0" borderId="0" xfId="0" applyNumberFormat="1" applyFont="1" applyAlignment="1">
      <alignment horizontal="center"/>
    </xf>
    <xf numFmtId="3" fontId="48" fillId="0" borderId="0" xfId="0" applyNumberFormat="1" applyFont="1" applyAlignment="1"/>
    <xf numFmtId="0" fontId="0" fillId="0" borderId="0" xfId="0" applyNumberFormat="1" applyAlignment="1">
      <alignment horizontal="center"/>
    </xf>
    <xf numFmtId="3" fontId="48" fillId="0" borderId="0" xfId="0" applyNumberFormat="1" applyFont="1"/>
    <xf numFmtId="42" fontId="48" fillId="0" borderId="0" xfId="0" applyNumberFormat="1" applyFont="1"/>
    <xf numFmtId="0" fontId="0" fillId="0" borderId="0" xfId="0" applyFill="1" applyBorder="1" applyAlignment="1"/>
    <xf numFmtId="0" fontId="49" fillId="0" borderId="0" xfId="0" applyFont="1" applyFill="1" applyBorder="1" applyAlignment="1"/>
    <xf numFmtId="0" fontId="49" fillId="0" borderId="0" xfId="0" applyNumberFormat="1" applyFont="1" applyFill="1" applyBorder="1"/>
    <xf numFmtId="0" fontId="50" fillId="0" borderId="0" xfId="0" applyNumberFormat="1" applyFont="1" applyFill="1" applyBorder="1"/>
    <xf numFmtId="3" fontId="48" fillId="0" borderId="0" xfId="0" applyNumberFormat="1" applyFont="1" applyAlignment="1">
      <alignment horizontal="fill"/>
    </xf>
    <xf numFmtId="0" fontId="48" fillId="0" borderId="0" xfId="0" applyFont="1" applyAlignment="1"/>
    <xf numFmtId="0" fontId="49" fillId="0" borderId="0" xfId="0" applyNumberFormat="1" applyFont="1" applyFill="1" applyBorder="1" applyAlignment="1"/>
    <xf numFmtId="3" fontId="49" fillId="0" borderId="0" xfId="0" applyNumberFormat="1" applyFont="1" applyAlignment="1"/>
    <xf numFmtId="3" fontId="49" fillId="0" borderId="0" xfId="0" applyNumberFormat="1" applyFont="1" applyFill="1" applyBorder="1" applyAlignment="1"/>
    <xf numFmtId="173" fontId="48" fillId="0" borderId="0" xfId="0" applyNumberFormat="1" applyFont="1" applyAlignment="1"/>
    <xf numFmtId="169" fontId="48" fillId="0" borderId="0" xfId="0" applyNumberFormat="1" applyFont="1"/>
    <xf numFmtId="0" fontId="48" fillId="0" borderId="0" xfId="0" applyFont="1"/>
    <xf numFmtId="42" fontId="48" fillId="0" borderId="0" xfId="0" applyNumberFormat="1" applyFont="1" applyBorder="1" applyAlignment="1">
      <alignment horizontal="right"/>
    </xf>
    <xf numFmtId="0" fontId="48" fillId="0" borderId="0" xfId="119" applyNumberFormat="1" applyFont="1" applyAlignment="1"/>
    <xf numFmtId="0" fontId="0" fillId="0" borderId="0" xfId="0"/>
    <xf numFmtId="164" fontId="6" fillId="0" borderId="0" xfId="87" applyNumberFormat="1" applyFont="1" applyFill="1"/>
    <xf numFmtId="164" fontId="6" fillId="0" borderId="49" xfId="87" applyNumberFormat="1" applyFont="1" applyFill="1" applyBorder="1"/>
    <xf numFmtId="43" fontId="6" fillId="0" borderId="0" xfId="119" applyNumberFormat="1" applyFont="1" applyFill="1" applyBorder="1"/>
    <xf numFmtId="43" fontId="6" fillId="0" borderId="0" xfId="119" applyNumberFormat="1" applyFont="1" applyFill="1" applyBorder="1" applyAlignment="1">
      <alignment horizontal="left"/>
    </xf>
    <xf numFmtId="37" fontId="66" fillId="61" borderId="57" xfId="82" applyNumberFormat="1" applyFont="1" applyFill="1" applyBorder="1"/>
    <xf numFmtId="164" fontId="0" fillId="60" borderId="15" xfId="87" applyNumberFormat="1" applyFont="1" applyFill="1" applyBorder="1" applyAlignment="1">
      <alignment horizontal="center" vertical="center"/>
    </xf>
    <xf numFmtId="164" fontId="36" fillId="0" borderId="0" xfId="87" applyNumberFormat="1" applyFont="1" applyFill="1" applyBorder="1" applyAlignment="1">
      <alignment vertical="center"/>
    </xf>
    <xf numFmtId="164" fontId="36" fillId="0" borderId="43" xfId="87" applyNumberFormat="1" applyFont="1" applyFill="1" applyBorder="1" applyAlignment="1">
      <alignment vertical="center"/>
    </xf>
    <xf numFmtId="0" fontId="6" fillId="0" borderId="0" xfId="119" applyFill="1" applyBorder="1"/>
    <xf numFmtId="164" fontId="3" fillId="0" borderId="0" xfId="87" applyNumberFormat="1" applyFont="1" applyFill="1" applyBorder="1"/>
    <xf numFmtId="164" fontId="44" fillId="0" borderId="15" xfId="87" applyNumberFormat="1" applyFont="1" applyFill="1" applyBorder="1" applyAlignment="1">
      <alignment horizontal="center" vertical="center"/>
    </xf>
    <xf numFmtId="37" fontId="0" fillId="0" borderId="0" xfId="0" applyNumberFormat="1" applyAlignment="1"/>
    <xf numFmtId="178" fontId="89" fillId="0" borderId="41" xfId="0" applyNumberFormat="1" applyFont="1" applyBorder="1"/>
    <xf numFmtId="0" fontId="48" fillId="0" borderId="41" xfId="120" applyNumberFormat="1" applyFont="1" applyBorder="1" applyAlignment="1" applyProtection="1">
      <protection locked="0"/>
    </xf>
    <xf numFmtId="0" fontId="48" fillId="0" borderId="41" xfId="120" applyNumberFormat="1" applyFont="1" applyBorder="1" applyProtection="1">
      <protection locked="0"/>
    </xf>
    <xf numFmtId="178" fontId="89" fillId="0" borderId="82" xfId="0" applyNumberFormat="1" applyFont="1" applyBorder="1"/>
    <xf numFmtId="37" fontId="66" fillId="60" borderId="10" xfId="0" applyNumberFormat="1" applyFont="1" applyFill="1" applyBorder="1"/>
    <xf numFmtId="37" fontId="68" fillId="60" borderId="10" xfId="0" applyNumberFormat="1" applyFont="1" applyFill="1" applyBorder="1"/>
    <xf numFmtId="37" fontId="67" fillId="60" borderId="10" xfId="0" applyNumberFormat="1" applyFont="1" applyFill="1" applyBorder="1"/>
    <xf numFmtId="0" fontId="0" fillId="0" borderId="0" xfId="0" applyAlignment="1"/>
    <xf numFmtId="0" fontId="0" fillId="0" borderId="0" xfId="0"/>
    <xf numFmtId="0" fontId="48" fillId="0" borderId="0" xfId="0" applyNumberFormat="1" applyFont="1" applyAlignment="1"/>
    <xf numFmtId="0" fontId="48" fillId="0" borderId="0" xfId="0" applyNumberFormat="1" applyFont="1"/>
    <xf numFmtId="3" fontId="48" fillId="0" borderId="0" xfId="0" applyNumberFormat="1" applyFont="1" applyAlignment="1"/>
    <xf numFmtId="0" fontId="0" fillId="0" borderId="0" xfId="0" applyNumberFormat="1" applyAlignment="1">
      <alignment horizontal="center"/>
    </xf>
    <xf numFmtId="169" fontId="48" fillId="0" borderId="0" xfId="0" applyNumberFormat="1" applyFont="1" applyAlignment="1"/>
    <xf numFmtId="3" fontId="48" fillId="0" borderId="0" xfId="0" applyNumberFormat="1" applyFont="1" applyAlignment="1">
      <alignment horizontal="fill"/>
    </xf>
    <xf numFmtId="42" fontId="48" fillId="0" borderId="43" xfId="0" applyNumberFormat="1" applyFont="1" applyBorder="1" applyAlignment="1">
      <alignment horizontal="right"/>
    </xf>
    <xf numFmtId="0" fontId="52" fillId="0" borderId="0" xfId="0" applyFont="1" applyAlignment="1"/>
    <xf numFmtId="0" fontId="52" fillId="0" borderId="0" xfId="0" applyNumberFormat="1" applyFont="1" applyAlignment="1"/>
    <xf numFmtId="0" fontId="52" fillId="0" borderId="0" xfId="0" applyNumberFormat="1" applyFont="1" applyAlignment="1" applyProtection="1">
      <alignment horizontal="center"/>
      <protection locked="0"/>
    </xf>
    <xf numFmtId="3" fontId="52" fillId="62" borderId="0" xfId="0" applyNumberFormat="1" applyFont="1" applyFill="1" applyAlignment="1"/>
    <xf numFmtId="0" fontId="0" fillId="0" borderId="0" xfId="0"/>
    <xf numFmtId="0" fontId="0" fillId="0" borderId="0" xfId="0" applyAlignment="1"/>
    <xf numFmtId="0" fontId="49" fillId="0" borderId="0" xfId="0" applyFont="1" applyAlignment="1"/>
    <xf numFmtId="0" fontId="49" fillId="0" borderId="0" xfId="0" applyFont="1" applyFill="1" applyBorder="1" applyAlignment="1"/>
    <xf numFmtId="0" fontId="49" fillId="0" borderId="0" xfId="0" applyNumberFormat="1" applyFont="1" applyFill="1" applyBorder="1"/>
    <xf numFmtId="0" fontId="49" fillId="0" borderId="0" xfId="0" applyNumberFormat="1" applyFont="1" applyFill="1" applyBorder="1" applyAlignment="1"/>
    <xf numFmtId="3" fontId="49" fillId="0" borderId="0" xfId="0" applyNumberFormat="1" applyFont="1" applyFill="1" applyBorder="1" applyAlignment="1"/>
    <xf numFmtId="3" fontId="52" fillId="0" borderId="83" xfId="0" applyNumberFormat="1" applyFont="1" applyBorder="1" applyAlignment="1"/>
    <xf numFmtId="0" fontId="52" fillId="0" borderId="0" xfId="0" applyFont="1" applyAlignment="1"/>
    <xf numFmtId="0" fontId="52" fillId="0" borderId="0" xfId="0" applyNumberFormat="1" applyFont="1" applyAlignment="1" applyProtection="1">
      <protection locked="0"/>
    </xf>
    <xf numFmtId="3" fontId="52" fillId="0" borderId="0" xfId="0" applyNumberFormat="1" applyFont="1" applyAlignment="1"/>
    <xf numFmtId="3" fontId="52" fillId="0" borderId="0" xfId="0" applyNumberFormat="1" applyFont="1" applyBorder="1" applyAlignment="1"/>
    <xf numFmtId="0" fontId="52" fillId="0" borderId="0" xfId="0" applyNumberFormat="1" applyFont="1" applyAlignment="1" applyProtection="1">
      <alignment horizontal="center" vertical="top" wrapText="1"/>
      <protection locked="0"/>
    </xf>
    <xf numFmtId="0" fontId="52" fillId="0" borderId="0" xfId="0" applyNumberFormat="1" applyFont="1" applyAlignment="1" applyProtection="1">
      <alignment horizontal="center"/>
      <protection locked="0"/>
    </xf>
    <xf numFmtId="0" fontId="52" fillId="0" borderId="0" xfId="0" applyNumberFormat="1" applyFont="1" applyAlignment="1" applyProtection="1">
      <alignment vertical="top" wrapText="1"/>
      <protection locked="0"/>
    </xf>
    <xf numFmtId="0" fontId="52" fillId="0" borderId="0" xfId="0" applyFont="1" applyAlignment="1">
      <alignment horizontal="center" vertical="top" wrapText="1"/>
    </xf>
    <xf numFmtId="0" fontId="52" fillId="0" borderId="0" xfId="0" applyFont="1" applyFill="1" applyAlignment="1">
      <alignment horizontal="center" vertical="top" wrapText="1"/>
    </xf>
    <xf numFmtId="0" fontId="59" fillId="0" borderId="0" xfId="0" applyNumberFormat="1" applyFont="1" applyAlignment="1" applyProtection="1">
      <alignment vertical="top" wrapText="1"/>
      <protection locked="0"/>
    </xf>
    <xf numFmtId="0" fontId="52" fillId="0" borderId="0" xfId="0" applyNumberFormat="1" applyFont="1" applyProtection="1">
      <protection locked="0"/>
    </xf>
    <xf numFmtId="166" fontId="52" fillId="0" borderId="0" xfId="0" applyNumberFormat="1" applyFont="1" applyAlignment="1" applyProtection="1">
      <protection locked="0"/>
    </xf>
    <xf numFmtId="165" fontId="52" fillId="0" borderId="0" xfId="0" applyNumberFormat="1" applyFont="1" applyFill="1" applyBorder="1" applyAlignment="1" applyProtection="1"/>
    <xf numFmtId="0" fontId="52" fillId="0" borderId="0" xfId="0" applyFont="1" applyAlignment="1">
      <alignment horizontal="right"/>
    </xf>
    <xf numFmtId="0" fontId="52" fillId="0" borderId="0" xfId="0" applyNumberFormat="1" applyFont="1" applyAlignment="1">
      <alignment horizontal="right"/>
    </xf>
    <xf numFmtId="3" fontId="52" fillId="0" borderId="0" xfId="0" applyNumberFormat="1" applyFont="1" applyProtection="1">
      <protection locked="0"/>
    </xf>
    <xf numFmtId="165" fontId="52" fillId="0" borderId="0" xfId="0" applyNumberFormat="1" applyFont="1" applyProtection="1">
      <protection locked="0"/>
    </xf>
    <xf numFmtId="0" fontId="52" fillId="0" borderId="0" xfId="0" applyFont="1" applyFill="1" applyAlignment="1" applyProtection="1"/>
    <xf numFmtId="3" fontId="52" fillId="0" borderId="0" xfId="0" applyNumberFormat="1" applyFont="1" applyFill="1" applyAlignment="1" applyProtection="1"/>
    <xf numFmtId="0" fontId="52" fillId="0" borderId="0" xfId="0" applyNumberFormat="1" applyFont="1" applyAlignment="1" applyProtection="1">
      <alignment horizontal="left" indent="8"/>
      <protection locked="0"/>
    </xf>
    <xf numFmtId="3" fontId="52" fillId="0" borderId="0" xfId="0" applyNumberFormat="1" applyFont="1" applyAlignment="1">
      <alignment horizontal="fill"/>
    </xf>
    <xf numFmtId="0" fontId="52" fillId="0" borderId="41" xfId="0" applyNumberFormat="1" applyFont="1" applyBorder="1" applyAlignment="1" applyProtection="1">
      <alignment horizontal="center"/>
      <protection locked="0"/>
    </xf>
    <xf numFmtId="0" fontId="52" fillId="0" borderId="0" xfId="0" applyNumberFormat="1" applyFont="1" applyFill="1" applyAlignment="1" applyProtection="1">
      <alignment horizontal="left" vertical="top" wrapText="1" indent="8"/>
      <protection locked="0"/>
    </xf>
    <xf numFmtId="0" fontId="52" fillId="0" borderId="0" xfId="0" applyNumberFormat="1" applyFont="1" applyFill="1" applyAlignment="1" applyProtection="1">
      <alignment vertical="top" wrapText="1"/>
      <protection locked="0"/>
    </xf>
    <xf numFmtId="10" fontId="52" fillId="27" borderId="0" xfId="0" applyNumberFormat="1" applyFont="1" applyFill="1" applyAlignment="1" applyProtection="1">
      <alignment vertical="top" wrapText="1"/>
      <protection locked="0"/>
    </xf>
    <xf numFmtId="3" fontId="52" fillId="0" borderId="0" xfId="0" applyNumberFormat="1" applyFont="1" applyAlignment="1">
      <alignment vertical="top" wrapText="1"/>
    </xf>
    <xf numFmtId="0" fontId="52" fillId="0" borderId="0" xfId="0" applyNumberFormat="1" applyFont="1" applyFill="1" applyAlignment="1">
      <alignment horizontal="left" vertical="top"/>
    </xf>
    <xf numFmtId="0" fontId="52" fillId="0" borderId="0" xfId="0" applyNumberFormat="1" applyFont="1" applyFill="1" applyAlignment="1">
      <alignment vertical="top"/>
    </xf>
    <xf numFmtId="0" fontId="0" fillId="0" borderId="0" xfId="0" applyFont="1" applyAlignment="1">
      <alignment horizontal="center"/>
    </xf>
    <xf numFmtId="0" fontId="52" fillId="0" borderId="0" xfId="0" applyNumberFormat="1" applyFont="1" applyFill="1"/>
    <xf numFmtId="167" fontId="0" fillId="0" borderId="46" xfId="84" applyNumberFormat="1" applyFont="1" applyBorder="1" applyAlignment="1">
      <alignment horizontal="center"/>
    </xf>
    <xf numFmtId="167" fontId="0" fillId="0" borderId="71" xfId="84" applyNumberFormat="1" applyFont="1" applyBorder="1" applyAlignment="1">
      <alignment horizontal="center"/>
    </xf>
    <xf numFmtId="37" fontId="3" fillId="0" borderId="0" xfId="0" applyNumberFormat="1" applyFont="1" applyFill="1" applyBorder="1"/>
    <xf numFmtId="0" fontId="48" fillId="0" borderId="0" xfId="0" applyNumberFormat="1" applyFont="1" applyAlignment="1"/>
    <xf numFmtId="0" fontId="52" fillId="0" borderId="0" xfId="0" applyNumberFormat="1" applyFont="1" applyFill="1" applyAlignment="1">
      <alignment vertical="top" wrapText="1"/>
    </xf>
    <xf numFmtId="0" fontId="48" fillId="0" borderId="0" xfId="0" applyNumberFormat="1" applyFont="1" applyAlignment="1">
      <alignment horizontal="right"/>
    </xf>
    <xf numFmtId="0" fontId="52" fillId="0" borderId="0" xfId="0" applyNumberFormat="1" applyFont="1" applyAlignment="1" applyProtection="1">
      <alignment vertical="top" wrapText="1"/>
      <protection locked="0"/>
    </xf>
    <xf numFmtId="0" fontId="52" fillId="0" borderId="0" xfId="0" applyNumberFormat="1" applyFont="1" applyFill="1" applyAlignment="1" applyProtection="1">
      <alignment vertical="top" wrapText="1"/>
      <protection locked="0"/>
    </xf>
    <xf numFmtId="165" fontId="52" fillId="0" borderId="0" xfId="0" applyNumberFormat="1" applyFont="1" applyAlignment="1" applyProtection="1">
      <alignment horizontal="center"/>
      <protection locked="0"/>
    </xf>
    <xf numFmtId="3" fontId="52" fillId="0" borderId="0" xfId="0" applyNumberFormat="1" applyFont="1" applyAlignment="1">
      <alignment horizontal="right"/>
    </xf>
    <xf numFmtId="0" fontId="64" fillId="0" borderId="0" xfId="0" applyFont="1" applyAlignment="1">
      <alignment horizontal="center"/>
    </xf>
    <xf numFmtId="0" fontId="48" fillId="0" borderId="0" xfId="0" applyFont="1" applyAlignment="1">
      <alignment horizontal="center"/>
    </xf>
    <xf numFmtId="14" fontId="64" fillId="0" borderId="0" xfId="0" applyNumberFormat="1" applyFont="1" applyAlignment="1">
      <alignment horizontal="center"/>
    </xf>
    <xf numFmtId="0" fontId="65" fillId="0" borderId="48" xfId="0" applyFont="1" applyBorder="1" applyAlignment="1">
      <alignment horizontal="center"/>
    </xf>
    <xf numFmtId="14" fontId="48" fillId="0" borderId="0" xfId="0" applyNumberFormat="1" applyFont="1" applyAlignment="1">
      <alignment horizontal="center"/>
    </xf>
    <xf numFmtId="0" fontId="0" fillId="0" borderId="58" xfId="0" applyBorder="1" applyAlignment="1">
      <alignment horizontal="center"/>
    </xf>
    <xf numFmtId="0" fontId="0" fillId="0" borderId="49" xfId="0" applyBorder="1" applyAlignment="1">
      <alignment horizontal="center"/>
    </xf>
    <xf numFmtId="0" fontId="0" fillId="0" borderId="60" xfId="0" applyBorder="1" applyAlignment="1">
      <alignment horizontal="center"/>
    </xf>
    <xf numFmtId="0" fontId="0" fillId="0" borderId="61" xfId="0" applyBorder="1" applyAlignment="1">
      <alignment horizontal="left"/>
    </xf>
    <xf numFmtId="0" fontId="0" fillId="0" borderId="72" xfId="0" applyBorder="1" applyAlignment="1">
      <alignment horizontal="left"/>
    </xf>
    <xf numFmtId="0" fontId="3" fillId="0" borderId="48" xfId="0" applyFont="1" applyBorder="1" applyAlignment="1">
      <alignment horizontal="center"/>
    </xf>
    <xf numFmtId="0" fontId="12"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8" fillId="0" borderId="0" xfId="122" applyBorder="1" applyAlignment="1">
      <alignment horizontal="center"/>
    </xf>
    <xf numFmtId="0" fontId="0" fillId="0" borderId="0" xfId="0" applyAlignment="1"/>
    <xf numFmtId="0" fontId="90" fillId="0" borderId="0" xfId="0" applyFont="1" applyAlignment="1">
      <alignment wrapText="1"/>
    </xf>
  </cellXfs>
  <cellStyles count="183">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1 2" xfId="38"/>
    <cellStyle name="60% - Accent1 3" xfId="39"/>
    <cellStyle name="60% - Accent2" xfId="40" builtinId="36" customBuiltin="1"/>
    <cellStyle name="60% - Accent2 2" xfId="41"/>
    <cellStyle name="60% - Accent2 3" xfId="42"/>
    <cellStyle name="60% - Accent3" xfId="43" builtinId="40" customBuiltin="1"/>
    <cellStyle name="60% - Accent3 2" xfId="44"/>
    <cellStyle name="60% - Accent3 3" xfId="45"/>
    <cellStyle name="60% - Accent4" xfId="46" builtinId="44" customBuiltin="1"/>
    <cellStyle name="60% - Accent4 2" xfId="47"/>
    <cellStyle name="60% - Accent4 3" xfId="48"/>
    <cellStyle name="60% - Accent5" xfId="49" builtinId="48" customBuiltin="1"/>
    <cellStyle name="60% - Accent5 2" xfId="50"/>
    <cellStyle name="60% - Accent5 3" xfId="51"/>
    <cellStyle name="60% - Accent6" xfId="52" builtinId="52" customBuiltin="1"/>
    <cellStyle name="60% - Accent6 2" xfId="53"/>
    <cellStyle name="60% - Accent6 3" xfId="54"/>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Bad" xfId="73" builtinId="27" customBuiltin="1"/>
    <cellStyle name="Bad 2" xfId="74"/>
    <cellStyle name="Bad 3" xfId="75"/>
    <cellStyle name="Calculation" xfId="76" builtinId="22" customBuiltin="1"/>
    <cellStyle name="Calculation 2" xfId="77"/>
    <cellStyle name="Calculation 3" xfId="78"/>
    <cellStyle name="Check Cell" xfId="79" builtinId="23" customBuiltin="1"/>
    <cellStyle name="Check Cell 2" xfId="80"/>
    <cellStyle name="Check Cell 3" xfId="81"/>
    <cellStyle name="Comma" xfId="82" builtinId="3"/>
    <cellStyle name="Comma 2" xfId="83"/>
    <cellStyle name="Comma 2 2" xfId="84"/>
    <cellStyle name="Comma 2 2 2" xfId="159"/>
    <cellStyle name="Comma 2 3" xfId="146"/>
    <cellStyle name="Comma 2 3 2" xfId="158"/>
    <cellStyle name="Comma 2 3 3" xfId="175"/>
    <cellStyle name="Comma 2 4" xfId="169"/>
    <cellStyle name="Comma 3" xfId="85"/>
    <cellStyle name="Comma 3 2" xfId="160"/>
    <cellStyle name="Comma 4" xfId="86"/>
    <cellStyle name="Comma 4 2" xfId="147"/>
    <cellStyle name="Comma 4 2 2" xfId="157"/>
    <cellStyle name="Comma 4 2 3" xfId="176"/>
    <cellStyle name="Comma 4 3" xfId="153"/>
    <cellStyle name="Comma 4 4" xfId="170"/>
    <cellStyle name="Comma 5" xfId="181"/>
    <cellStyle name="Currency" xfId="87" builtinId="4"/>
    <cellStyle name="Currency 2" xfId="88"/>
    <cellStyle name="Currency 2 2" xfId="161"/>
    <cellStyle name="Currency 3" xfId="89"/>
    <cellStyle name="Currency 3 2" xfId="90"/>
    <cellStyle name="Currency 3 2 2" xfId="163"/>
    <cellStyle name="Currency 3 3" xfId="148"/>
    <cellStyle name="Currency 3 3 2" xfId="162"/>
    <cellStyle name="Currency 3 3 3" xfId="177"/>
    <cellStyle name="Currency 3 4" xfId="171"/>
    <cellStyle name="Currency 4" xfId="91"/>
    <cellStyle name="Currency 4 2" xfId="149"/>
    <cellStyle name="Currency 4 2 2" xfId="156"/>
    <cellStyle name="Currency 4 2 3" xfId="178"/>
    <cellStyle name="Currency 4 3" xfId="152"/>
    <cellStyle name="Currency 4 4" xfId="172"/>
    <cellStyle name="Currency 5" xfId="182"/>
    <cellStyle name="Explanatory Text" xfId="92" builtinId="53" customBuiltin="1"/>
    <cellStyle name="Explanatory Text 2" xfId="93"/>
    <cellStyle name="Explanatory Text 3" xfId="94"/>
    <cellStyle name="Good" xfId="95" builtinId="26" customBuiltin="1"/>
    <cellStyle name="Good 2" xfId="96"/>
    <cellStyle name="Good 3" xfId="97"/>
    <cellStyle name="Heading 1" xfId="98" builtinId="16" customBuiltin="1"/>
    <cellStyle name="Heading 1 2" xfId="99"/>
    <cellStyle name="Heading 1 3" xfId="100"/>
    <cellStyle name="Heading 2" xfId="101" builtinId="17" customBuiltin="1"/>
    <cellStyle name="Heading 2 2" xfId="102"/>
    <cellStyle name="Heading 2 3" xfId="103"/>
    <cellStyle name="Heading 3" xfId="104" builtinId="18" customBuiltin="1"/>
    <cellStyle name="Heading 3 2" xfId="105"/>
    <cellStyle name="Heading 3 3" xfId="106"/>
    <cellStyle name="Heading 4" xfId="107" builtinId="19" customBuiltin="1"/>
    <cellStyle name="Heading 4 2" xfId="108"/>
    <cellStyle name="Heading 4 3" xfId="109"/>
    <cellStyle name="Input" xfId="110" builtinId="20" customBuiltin="1"/>
    <cellStyle name="Input 2" xfId="111"/>
    <cellStyle name="Input 3" xfId="112"/>
    <cellStyle name="Linked Cell" xfId="113" builtinId="24" customBuiltin="1"/>
    <cellStyle name="Linked Cell 2" xfId="114"/>
    <cellStyle name="Linked Cell 3" xfId="115"/>
    <cellStyle name="Neutral" xfId="116" builtinId="28" customBuiltin="1"/>
    <cellStyle name="Neutral 2" xfId="117"/>
    <cellStyle name="Neutral 3" xfId="118"/>
    <cellStyle name="Normal" xfId="0" builtinId="0"/>
    <cellStyle name="Normal 2" xfId="119"/>
    <cellStyle name="Normal 2 2" xfId="164"/>
    <cellStyle name="Normal 3" xfId="120"/>
    <cellStyle name="Normal 4" xfId="121"/>
    <cellStyle name="Normal 5" xfId="155"/>
    <cellStyle name="Normal_Att O ERS2 breakout" xfId="122"/>
    <cellStyle name="Normal_Debt Service" xfId="123"/>
    <cellStyle name="Normal_Trans Assets" xfId="124"/>
    <cellStyle name="Normal_Transmission Costs2 (2)" xfId="125"/>
    <cellStyle name="Note" xfId="126" builtinId="10" customBuiltin="1"/>
    <cellStyle name="Note 2" xfId="127"/>
    <cellStyle name="Note 3" xfId="128"/>
    <cellStyle name="Output" xfId="129" builtinId="21" customBuiltin="1"/>
    <cellStyle name="Output 2" xfId="130"/>
    <cellStyle name="Output 3" xfId="131"/>
    <cellStyle name="Percent" xfId="132" builtinId="5"/>
    <cellStyle name="Percent 2" xfId="133"/>
    <cellStyle name="Percent 2 2" xfId="165"/>
    <cellStyle name="Percent 3" xfId="134"/>
    <cellStyle name="Percent 3 2" xfId="135"/>
    <cellStyle name="Percent 3 2 2" xfId="167"/>
    <cellStyle name="Percent 3 3" xfId="150"/>
    <cellStyle name="Percent 3 3 2" xfId="166"/>
    <cellStyle name="Percent 3 3 3" xfId="179"/>
    <cellStyle name="Percent 3 4" xfId="173"/>
    <cellStyle name="Percent 4" xfId="136"/>
    <cellStyle name="Percent 4 2" xfId="151"/>
    <cellStyle name="Percent 4 2 2" xfId="168"/>
    <cellStyle name="Percent 4 2 3" xfId="180"/>
    <cellStyle name="Percent 4 3" xfId="154"/>
    <cellStyle name="Percent 4 4" xfId="174"/>
    <cellStyle name="Title" xfId="137" builtinId="15" customBuiltin="1"/>
    <cellStyle name="Title 2" xfId="138"/>
    <cellStyle name="Title 3" xfId="139"/>
    <cellStyle name="Total" xfId="140" builtinId="25" customBuiltin="1"/>
    <cellStyle name="Total 2" xfId="141"/>
    <cellStyle name="Total 3" xfId="142"/>
    <cellStyle name="Warning Text" xfId="143" builtinId="11" customBuiltin="1"/>
    <cellStyle name="Warning Text 2" xfId="144"/>
    <cellStyle name="Warning Text 3" xfId="1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314325</xdr:colOff>
      <xdr:row>28</xdr:row>
      <xdr:rowOff>19050</xdr:rowOff>
    </xdr:to>
    <xdr:pic>
      <xdr:nvPicPr>
        <xdr:cNvPr id="2"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58325" cy="455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114300</xdr:colOff>
          <xdr:row>1</xdr:row>
          <xdr:rowOff>57150</xdr:rowOff>
        </xdr:to>
        <xdr:sp macro="" textlink="">
          <xdr:nvSpPr>
            <xdr:cNvPr id="2053" name="FILTER" hidden="1">
              <a:extLst>
                <a:ext uri="{63B3BB69-23CF-44E3-9099-C40C66FF867C}">
                  <a14:compatExt spid="_x0000_s205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114300</xdr:colOff>
          <xdr:row>1</xdr:row>
          <xdr:rowOff>57150</xdr:rowOff>
        </xdr:to>
        <xdr:sp macro="" textlink="">
          <xdr:nvSpPr>
            <xdr:cNvPr id="2054" name="HEADER" hidden="1">
              <a:extLst>
                <a:ext uri="{63B3BB69-23CF-44E3-9099-C40C66FF867C}">
                  <a14:compatExt spid="_x0000_s205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14.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04"/>
  <sheetViews>
    <sheetView tabSelected="1" topLeftCell="A236" workbookViewId="0">
      <selection activeCell="B319" sqref="B319"/>
    </sheetView>
  </sheetViews>
  <sheetFormatPr defaultRowHeight="12.75"/>
  <cols>
    <col min="1" max="1" width="7.7109375" style="275" customWidth="1"/>
    <col min="2" max="2" width="58" style="275" customWidth="1"/>
    <col min="3" max="3" width="35.85546875" style="275" customWidth="1"/>
    <col min="4" max="4" width="17.85546875" style="275" customWidth="1"/>
    <col min="5" max="5" width="7.7109375" style="275" customWidth="1"/>
    <col min="6" max="6" width="7.28515625" style="275" customWidth="1"/>
    <col min="7" max="7" width="13.7109375" style="275" customWidth="1"/>
    <col min="8" max="8" width="7.42578125" style="275" customWidth="1"/>
    <col min="9" max="9" width="16.42578125" style="275" customWidth="1"/>
    <col min="10" max="10" width="16" style="275" customWidth="1"/>
    <col min="11" max="11" width="11.7109375" style="275" customWidth="1"/>
    <col min="12" max="12" width="2.42578125" style="275" customWidth="1"/>
    <col min="13" max="13" width="13" style="275" bestFit="1" customWidth="1"/>
    <col min="14" max="14" width="9.140625" style="275"/>
    <col min="15" max="15" width="21.5703125" style="275" customWidth="1"/>
    <col min="16" max="16384" width="9.140625" style="275"/>
  </cols>
  <sheetData>
    <row r="1" spans="1:64" ht="15">
      <c r="H1" s="736" t="s">
        <v>826</v>
      </c>
      <c r="I1" s="736"/>
      <c r="J1" s="736"/>
      <c r="K1" s="736"/>
      <c r="L1" s="736"/>
    </row>
    <row r="2" spans="1:64" ht="15">
      <c r="B2" s="276"/>
      <c r="C2" s="276"/>
      <c r="D2" s="280"/>
      <c r="E2" s="276"/>
      <c r="F2" s="276"/>
      <c r="G2" s="276"/>
      <c r="H2" s="277"/>
      <c r="I2" s="277"/>
      <c r="J2" s="277"/>
      <c r="K2" s="738" t="s">
        <v>666</v>
      </c>
      <c r="L2" s="738"/>
      <c r="M2" s="278"/>
      <c r="N2" s="279"/>
      <c r="O2" s="278"/>
      <c r="P2" s="278"/>
      <c r="Q2" s="278"/>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row>
    <row r="3" spans="1:64" ht="15">
      <c r="B3" s="276"/>
      <c r="C3" s="276"/>
      <c r="D3" s="280"/>
      <c r="E3" s="276"/>
      <c r="F3" s="276"/>
      <c r="G3" s="276"/>
      <c r="H3" s="277"/>
      <c r="I3" s="277"/>
      <c r="J3" s="277"/>
      <c r="K3" s="281"/>
      <c r="L3" s="281"/>
      <c r="M3" s="278"/>
      <c r="N3" s="279"/>
      <c r="O3" s="278"/>
      <c r="P3" s="278"/>
      <c r="Q3" s="278"/>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row>
    <row r="4" spans="1:64" ht="15">
      <c r="B4" s="276" t="s">
        <v>667</v>
      </c>
      <c r="C4" s="276"/>
      <c r="D4" s="280" t="s">
        <v>668</v>
      </c>
      <c r="E4" s="276"/>
      <c r="F4" s="276"/>
      <c r="G4" s="276"/>
      <c r="H4" s="277"/>
      <c r="I4" s="282" t="s">
        <v>857</v>
      </c>
      <c r="J4" s="282"/>
      <c r="K4" s="282"/>
      <c r="L4" s="582"/>
      <c r="M4" s="278"/>
      <c r="N4" s="279"/>
      <c r="O4" s="278"/>
      <c r="P4" s="278"/>
      <c r="Q4" s="278"/>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row>
    <row r="5" spans="1:64" ht="15">
      <c r="B5" s="276"/>
      <c r="C5" s="283" t="s">
        <v>669</v>
      </c>
      <c r="D5" s="283" t="s">
        <v>670</v>
      </c>
      <c r="E5" s="283"/>
      <c r="F5" s="283"/>
      <c r="G5" s="283"/>
      <c r="H5" s="277"/>
      <c r="I5" s="277"/>
      <c r="J5" s="277"/>
      <c r="K5" s="277"/>
      <c r="L5" s="278"/>
      <c r="M5" s="278"/>
      <c r="N5" s="279"/>
      <c r="O5" s="278"/>
      <c r="P5" s="278"/>
      <c r="Q5" s="278"/>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row>
    <row r="6" spans="1:64" ht="15">
      <c r="B6" s="277"/>
      <c r="C6" s="277"/>
      <c r="D6" s="277"/>
      <c r="E6" s="277"/>
      <c r="F6" s="277"/>
      <c r="G6" s="277"/>
      <c r="H6" s="277"/>
      <c r="I6" s="277"/>
      <c r="J6" s="277"/>
      <c r="K6" s="277"/>
      <c r="L6" s="278"/>
      <c r="M6" s="278"/>
      <c r="N6" s="279"/>
      <c r="O6" s="278"/>
      <c r="P6" s="278"/>
      <c r="Q6" s="278"/>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row>
    <row r="7" spans="1:64" ht="15">
      <c r="A7" s="284"/>
      <c r="B7" s="277"/>
      <c r="C7" s="277"/>
      <c r="D7" s="285" t="s">
        <v>147</v>
      </c>
      <c r="E7" s="282"/>
      <c r="F7" s="282"/>
      <c r="G7" s="282"/>
      <c r="H7" s="282"/>
      <c r="I7" s="277"/>
      <c r="J7" s="277"/>
      <c r="K7" s="277"/>
      <c r="L7" s="278"/>
      <c r="M7" s="278"/>
      <c r="N7" s="279"/>
      <c r="O7" s="278"/>
      <c r="P7" s="278"/>
      <c r="Q7" s="278"/>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row>
    <row r="8" spans="1:64" ht="15">
      <c r="A8" s="284"/>
      <c r="B8" s="277"/>
      <c r="C8" s="277"/>
      <c r="D8" s="286"/>
      <c r="E8" s="277"/>
      <c r="F8" s="277"/>
      <c r="G8" s="277"/>
      <c r="H8" s="277"/>
      <c r="I8" s="277"/>
      <c r="J8" s="277"/>
      <c r="K8" s="277"/>
      <c r="L8" s="278"/>
      <c r="M8" s="278"/>
      <c r="N8" s="279"/>
      <c r="O8" s="278"/>
      <c r="P8" s="278"/>
      <c r="Q8" s="278"/>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row>
    <row r="9" spans="1:64" ht="15">
      <c r="A9" s="284" t="s">
        <v>671</v>
      </c>
      <c r="B9" s="277"/>
      <c r="C9" s="277"/>
      <c r="D9" s="286"/>
      <c r="E9" s="277"/>
      <c r="F9" s="277"/>
      <c r="G9" s="277"/>
      <c r="H9" s="277"/>
      <c r="I9" s="281" t="s">
        <v>672</v>
      </c>
      <c r="J9" s="277"/>
      <c r="K9" s="277"/>
      <c r="L9" s="278"/>
      <c r="M9" s="278"/>
      <c r="N9" s="279"/>
      <c r="O9" s="278"/>
      <c r="P9" s="278"/>
      <c r="Q9" s="278"/>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row>
    <row r="10" spans="1:64" ht="15.75" thickBot="1">
      <c r="A10" s="288" t="s">
        <v>673</v>
      </c>
      <c r="B10" s="277"/>
      <c r="C10" s="277"/>
      <c r="D10" s="277"/>
      <c r="E10" s="277"/>
      <c r="F10" s="277"/>
      <c r="G10" s="277"/>
      <c r="H10" s="277"/>
      <c r="I10" s="289" t="s">
        <v>674</v>
      </c>
      <c r="J10" s="277"/>
      <c r="K10" s="277"/>
      <c r="L10" s="278"/>
      <c r="M10" s="278"/>
      <c r="N10" s="279"/>
      <c r="O10" s="278"/>
      <c r="P10" s="278"/>
      <c r="Q10" s="278"/>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row>
    <row r="11" spans="1:64" ht="15">
      <c r="A11" s="284">
        <v>1</v>
      </c>
      <c r="B11" s="277" t="s">
        <v>792</v>
      </c>
      <c r="C11" s="277"/>
      <c r="D11" s="290"/>
      <c r="E11" s="277"/>
      <c r="F11" s="277"/>
      <c r="G11" s="277"/>
      <c r="H11" s="277"/>
      <c r="I11" s="291">
        <f>+I201</f>
        <v>140499.3872534142</v>
      </c>
      <c r="J11" s="277"/>
      <c r="K11" s="277"/>
      <c r="L11" s="278"/>
      <c r="M11" s="278"/>
      <c r="N11" s="279"/>
      <c r="O11" s="278"/>
      <c r="P11" s="278"/>
      <c r="Q11" s="278"/>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row>
    <row r="12" spans="1:64" s="638" customFormat="1" ht="15">
      <c r="A12" s="645"/>
      <c r="B12" s="642"/>
      <c r="C12" s="642"/>
      <c r="D12" s="646"/>
      <c r="E12" s="642"/>
      <c r="F12" s="642"/>
      <c r="G12" s="642"/>
      <c r="H12" s="642"/>
      <c r="I12" s="647"/>
      <c r="J12" s="642"/>
      <c r="K12" s="642"/>
      <c r="L12" s="639"/>
      <c r="M12" s="639"/>
      <c r="N12" s="640"/>
      <c r="O12" s="639"/>
      <c r="P12" s="639"/>
      <c r="Q12" s="639"/>
      <c r="R12" s="640"/>
      <c r="S12" s="640"/>
      <c r="T12" s="640"/>
      <c r="U12" s="640"/>
      <c r="V12" s="640"/>
      <c r="W12" s="640"/>
      <c r="X12" s="640"/>
      <c r="Y12" s="640"/>
      <c r="Z12" s="640"/>
      <c r="AA12" s="640"/>
      <c r="AB12" s="640"/>
      <c r="AC12" s="640"/>
      <c r="AD12" s="640"/>
      <c r="AE12" s="640"/>
      <c r="AF12" s="640"/>
      <c r="AG12" s="640"/>
      <c r="AH12" s="640"/>
      <c r="AI12" s="640"/>
      <c r="AJ12" s="640"/>
      <c r="AK12" s="640"/>
      <c r="AL12" s="640"/>
      <c r="AM12" s="640"/>
      <c r="AN12" s="640"/>
      <c r="AO12" s="640"/>
      <c r="AP12" s="640"/>
      <c r="AQ12" s="640"/>
      <c r="AR12" s="640"/>
      <c r="AS12" s="640"/>
      <c r="AT12" s="640"/>
      <c r="AU12" s="640"/>
      <c r="AV12" s="640"/>
      <c r="AW12" s="640"/>
      <c r="AX12" s="640"/>
      <c r="AY12" s="640"/>
      <c r="AZ12" s="640"/>
      <c r="BA12" s="640"/>
      <c r="BB12" s="640"/>
      <c r="BC12" s="640"/>
      <c r="BD12" s="640"/>
      <c r="BE12" s="640"/>
      <c r="BF12" s="640"/>
      <c r="BG12" s="640"/>
      <c r="BH12" s="640"/>
      <c r="BI12" s="640"/>
      <c r="BJ12" s="640"/>
      <c r="BK12" s="640"/>
      <c r="BL12" s="640"/>
    </row>
    <row r="13" spans="1:64" ht="15.75" thickBot="1">
      <c r="A13" s="284" t="s">
        <v>669</v>
      </c>
      <c r="B13" s="276" t="s">
        <v>675</v>
      </c>
      <c r="C13" s="283" t="s">
        <v>676</v>
      </c>
      <c r="D13" s="289" t="s">
        <v>427</v>
      </c>
      <c r="E13" s="283"/>
      <c r="F13" s="292" t="s">
        <v>677</v>
      </c>
      <c r="G13" s="292"/>
      <c r="H13" s="277"/>
      <c r="I13" s="290"/>
      <c r="J13" s="277"/>
      <c r="K13" s="277"/>
      <c r="L13" s="278"/>
      <c r="M13" s="278"/>
      <c r="N13" s="279"/>
      <c r="O13" s="278"/>
      <c r="P13" s="278"/>
      <c r="Q13" s="278"/>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row>
    <row r="14" spans="1:64" ht="15">
      <c r="A14" s="284">
        <v>2</v>
      </c>
      <c r="B14" s="276" t="s">
        <v>678</v>
      </c>
      <c r="C14" s="283" t="s">
        <v>679</v>
      </c>
      <c r="D14" s="283">
        <f>I261</f>
        <v>24720</v>
      </c>
      <c r="E14" s="283"/>
      <c r="F14" s="283" t="s">
        <v>680</v>
      </c>
      <c r="G14" s="293">
        <f>I220</f>
        <v>1</v>
      </c>
      <c r="H14" s="283"/>
      <c r="I14" s="283">
        <f>+G14*D14</f>
        <v>24720</v>
      </c>
      <c r="J14" s="277"/>
      <c r="K14" s="277"/>
      <c r="L14" s="278"/>
      <c r="M14" s="278"/>
      <c r="N14" s="279"/>
      <c r="O14" s="278"/>
      <c r="P14" s="278"/>
      <c r="Q14" s="278"/>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row>
    <row r="15" spans="1:64" ht="15">
      <c r="A15" s="284">
        <v>3</v>
      </c>
      <c r="B15" s="276" t="s">
        <v>793</v>
      </c>
      <c r="C15" s="283" t="s">
        <v>681</v>
      </c>
      <c r="D15" s="283">
        <f>I268</f>
        <v>1696.3699999999953</v>
      </c>
      <c r="E15" s="283"/>
      <c r="F15" s="283" t="str">
        <f>+F14</f>
        <v>TP</v>
      </c>
      <c r="G15" s="293">
        <f>+G14</f>
        <v>1</v>
      </c>
      <c r="H15" s="283"/>
      <c r="I15" s="283">
        <f>+G15*D15</f>
        <v>1696.3699999999953</v>
      </c>
      <c r="J15" s="277"/>
      <c r="K15" s="277"/>
      <c r="L15" s="278"/>
      <c r="M15" s="278"/>
      <c r="N15" s="279"/>
      <c r="O15" s="278"/>
      <c r="P15" s="278"/>
      <c r="Q15" s="278"/>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row>
    <row r="16" spans="1:64" ht="15">
      <c r="A16" s="284">
        <v>4</v>
      </c>
      <c r="B16" s="276" t="s">
        <v>416</v>
      </c>
      <c r="C16" s="283"/>
      <c r="D16" s="297">
        <v>0</v>
      </c>
      <c r="E16" s="283"/>
      <c r="F16" s="283" t="s">
        <v>680</v>
      </c>
      <c r="G16" s="293">
        <f>+G14</f>
        <v>1</v>
      </c>
      <c r="H16" s="283"/>
      <c r="I16" s="283">
        <f>+G16*D16</f>
        <v>0</v>
      </c>
      <c r="J16" s="277"/>
      <c r="K16" s="277"/>
      <c r="L16" s="278"/>
      <c r="M16" s="278"/>
      <c r="N16" s="279"/>
      <c r="O16" s="278"/>
      <c r="P16" s="278"/>
      <c r="Q16" s="278"/>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row>
    <row r="17" spans="1:64" ht="15.75" thickBot="1">
      <c r="A17" s="284">
        <v>5</v>
      </c>
      <c r="B17" s="276" t="s">
        <v>417</v>
      </c>
      <c r="C17" s="283"/>
      <c r="D17" s="297">
        <v>0</v>
      </c>
      <c r="E17" s="283"/>
      <c r="F17" s="283" t="s">
        <v>680</v>
      </c>
      <c r="G17" s="293">
        <f>+G14</f>
        <v>1</v>
      </c>
      <c r="H17" s="283"/>
      <c r="I17" s="298">
        <f>+G17*D17</f>
        <v>0</v>
      </c>
      <c r="J17" s="277"/>
      <c r="K17" s="277"/>
      <c r="L17" s="278"/>
      <c r="M17" s="278"/>
      <c r="N17" s="279"/>
      <c r="O17" s="278"/>
      <c r="P17" s="278"/>
      <c r="Q17" s="278"/>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row>
    <row r="18" spans="1:64" ht="15">
      <c r="A18" s="284">
        <v>6</v>
      </c>
      <c r="B18" s="276" t="s">
        <v>682</v>
      </c>
      <c r="C18" s="277"/>
      <c r="D18" s="299" t="s">
        <v>669</v>
      </c>
      <c r="E18" s="283"/>
      <c r="F18" s="283"/>
      <c r="G18" s="293"/>
      <c r="H18" s="283"/>
      <c r="I18" s="283">
        <f>SUM(I14:I17)</f>
        <v>26416.369999999995</v>
      </c>
      <c r="J18" s="277"/>
      <c r="K18" s="277"/>
      <c r="L18" s="278"/>
      <c r="M18" s="278"/>
      <c r="N18" s="279"/>
      <c r="O18" s="278"/>
      <c r="P18" s="278"/>
      <c r="Q18" s="278"/>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row>
    <row r="19" spans="1:64" ht="15">
      <c r="A19" s="284"/>
      <c r="C19" s="277"/>
      <c r="D19" s="283" t="s">
        <v>669</v>
      </c>
      <c r="E19" s="277"/>
      <c r="F19" s="277"/>
      <c r="G19" s="293"/>
      <c r="H19" s="277"/>
      <c r="J19" s="277"/>
      <c r="K19" s="277"/>
      <c r="L19" s="278"/>
      <c r="M19" s="294"/>
      <c r="N19" s="295"/>
      <c r="O19" s="296"/>
      <c r="P19" s="296"/>
      <c r="Q19" s="296"/>
      <c r="R19" s="295"/>
      <c r="S19" s="295"/>
      <c r="T19" s="295"/>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row>
    <row r="20" spans="1:64" s="682" customFormat="1" ht="15.75">
      <c r="A20" s="693" t="s">
        <v>911</v>
      </c>
      <c r="B20" s="692" t="s">
        <v>912</v>
      </c>
      <c r="C20" s="691"/>
      <c r="D20" s="691"/>
      <c r="E20" s="691"/>
      <c r="F20" s="691"/>
      <c r="G20" s="691"/>
      <c r="H20" s="691"/>
      <c r="I20" s="694">
        <v>0</v>
      </c>
      <c r="J20" s="642"/>
      <c r="K20" s="642"/>
      <c r="L20" s="639"/>
      <c r="M20" s="648"/>
      <c r="N20" s="649"/>
      <c r="O20" s="650"/>
      <c r="P20" s="650"/>
      <c r="Q20" s="650"/>
      <c r="R20" s="649"/>
      <c r="S20" s="649"/>
      <c r="T20" s="649"/>
      <c r="U20" s="640"/>
      <c r="V20" s="640"/>
      <c r="W20" s="640"/>
      <c r="X20" s="640"/>
      <c r="Y20" s="640"/>
      <c r="Z20" s="640"/>
      <c r="AA20" s="640"/>
      <c r="AB20" s="640"/>
      <c r="AC20" s="640"/>
      <c r="AD20" s="640"/>
      <c r="AE20" s="640"/>
      <c r="AF20" s="640"/>
      <c r="AG20" s="640"/>
      <c r="AH20" s="640"/>
      <c r="AI20" s="640"/>
      <c r="AJ20" s="640"/>
      <c r="AK20" s="640"/>
      <c r="AL20" s="640"/>
      <c r="AM20" s="640"/>
      <c r="AN20" s="640"/>
      <c r="AO20" s="640"/>
      <c r="AP20" s="640"/>
      <c r="AQ20" s="640"/>
      <c r="AR20" s="640"/>
      <c r="AS20" s="640"/>
      <c r="AT20" s="640"/>
      <c r="AU20" s="640"/>
      <c r="AV20" s="640"/>
      <c r="AW20" s="640"/>
      <c r="AX20" s="640"/>
      <c r="AY20" s="640"/>
      <c r="AZ20" s="640"/>
      <c r="BA20" s="640"/>
      <c r="BB20" s="640"/>
      <c r="BC20" s="640"/>
      <c r="BD20" s="640"/>
      <c r="BE20" s="640"/>
      <c r="BF20" s="640"/>
      <c r="BG20" s="640"/>
      <c r="BH20" s="640"/>
      <c r="BI20" s="640"/>
      <c r="BJ20" s="640"/>
      <c r="BK20" s="640"/>
      <c r="BL20" s="640"/>
    </row>
    <row r="21" spans="1:64" s="682" customFormat="1" ht="15.75">
      <c r="A21" s="693" t="s">
        <v>913</v>
      </c>
      <c r="B21" s="692" t="s">
        <v>914</v>
      </c>
      <c r="C21" s="691"/>
      <c r="D21" s="691"/>
      <c r="E21" s="691"/>
      <c r="F21" s="691"/>
      <c r="G21" s="691"/>
      <c r="H21" s="691"/>
      <c r="I21" s="694">
        <v>0</v>
      </c>
      <c r="J21" s="642"/>
      <c r="K21" s="642"/>
      <c r="L21" s="639"/>
      <c r="M21" s="648"/>
      <c r="N21" s="649"/>
      <c r="O21" s="650"/>
      <c r="P21" s="650"/>
      <c r="Q21" s="650"/>
      <c r="R21" s="649"/>
      <c r="S21" s="649"/>
      <c r="T21" s="649"/>
      <c r="U21" s="640"/>
      <c r="V21" s="640"/>
      <c r="W21" s="640"/>
      <c r="X21" s="640"/>
      <c r="Y21" s="640"/>
      <c r="Z21" s="640"/>
      <c r="AA21" s="640"/>
      <c r="AB21" s="640"/>
      <c r="AC21" s="640"/>
      <c r="AD21" s="640"/>
      <c r="AE21" s="640"/>
      <c r="AF21" s="640"/>
      <c r="AG21" s="640"/>
      <c r="AH21" s="640"/>
      <c r="AI21" s="640"/>
      <c r="AJ21" s="640"/>
      <c r="AK21" s="640"/>
      <c r="AL21" s="640"/>
      <c r="AM21" s="640"/>
      <c r="AN21" s="640"/>
      <c r="AO21" s="640"/>
      <c r="AP21" s="640"/>
      <c r="AQ21" s="640"/>
      <c r="AR21" s="640"/>
      <c r="AS21" s="640"/>
      <c r="AT21" s="640"/>
      <c r="AU21" s="640"/>
      <c r="AV21" s="640"/>
      <c r="AW21" s="640"/>
      <c r="AX21" s="640"/>
      <c r="AY21" s="640"/>
      <c r="AZ21" s="640"/>
      <c r="BA21" s="640"/>
      <c r="BB21" s="640"/>
      <c r="BC21" s="640"/>
      <c r="BD21" s="640"/>
      <c r="BE21" s="640"/>
      <c r="BF21" s="640"/>
      <c r="BG21" s="640"/>
      <c r="BH21" s="640"/>
      <c r="BI21" s="640"/>
      <c r="BJ21" s="640"/>
      <c r="BK21" s="640"/>
      <c r="BL21" s="640"/>
    </row>
    <row r="22" spans="1:64" s="682" customFormat="1" ht="16.5" thickBot="1">
      <c r="A22" s="693" t="s">
        <v>915</v>
      </c>
      <c r="B22" s="692" t="s">
        <v>916</v>
      </c>
      <c r="C22" s="691"/>
      <c r="D22" s="691"/>
      <c r="E22" s="691"/>
      <c r="F22" s="691"/>
      <c r="G22" s="691"/>
      <c r="H22" s="691"/>
      <c r="I22" s="702">
        <f>I20+I21</f>
        <v>0</v>
      </c>
      <c r="J22" s="642"/>
      <c r="K22" s="642"/>
      <c r="L22" s="639"/>
      <c r="M22" s="648"/>
      <c r="N22" s="649"/>
      <c r="O22" s="650"/>
      <c r="P22" s="650"/>
      <c r="Q22" s="650"/>
      <c r="R22" s="649"/>
      <c r="S22" s="649"/>
      <c r="T22" s="649"/>
      <c r="U22" s="640"/>
      <c r="V22" s="640"/>
      <c r="W22" s="640"/>
      <c r="X22" s="640"/>
      <c r="Y22" s="640"/>
      <c r="Z22" s="640"/>
      <c r="AA22" s="640"/>
      <c r="AB22" s="640"/>
      <c r="AC22" s="640"/>
      <c r="AD22" s="640"/>
      <c r="AE22" s="640"/>
      <c r="AF22" s="640"/>
      <c r="AG22" s="640"/>
      <c r="AH22" s="640"/>
      <c r="AI22" s="640"/>
      <c r="AJ22" s="640"/>
      <c r="AK22" s="640"/>
      <c r="AL22" s="640"/>
      <c r="AM22" s="640"/>
      <c r="AN22" s="640"/>
      <c r="AO22" s="640"/>
      <c r="AP22" s="640"/>
      <c r="AQ22" s="640"/>
      <c r="AR22" s="640"/>
      <c r="AS22" s="640"/>
      <c r="AT22" s="640"/>
      <c r="AU22" s="640"/>
      <c r="AV22" s="640"/>
      <c r="AW22" s="640"/>
      <c r="AX22" s="640"/>
      <c r="AY22" s="640"/>
      <c r="AZ22" s="640"/>
      <c r="BA22" s="640"/>
      <c r="BB22" s="640"/>
      <c r="BC22" s="640"/>
      <c r="BD22" s="640"/>
      <c r="BE22" s="640"/>
      <c r="BF22" s="640"/>
      <c r="BG22" s="640"/>
      <c r="BH22" s="640"/>
      <c r="BI22" s="640"/>
      <c r="BJ22" s="640"/>
      <c r="BK22" s="640"/>
      <c r="BL22" s="640"/>
    </row>
    <row r="23" spans="1:64" s="682" customFormat="1" ht="15">
      <c r="A23" s="687"/>
      <c r="B23" s="683"/>
      <c r="C23" s="685"/>
      <c r="D23" s="686" t="s">
        <v>669</v>
      </c>
      <c r="E23" s="685"/>
      <c r="F23" s="685"/>
      <c r="G23" s="688"/>
      <c r="H23" s="685"/>
      <c r="I23" s="683"/>
      <c r="J23" s="642"/>
      <c r="K23" s="642"/>
      <c r="L23" s="639"/>
      <c r="M23" s="648"/>
      <c r="N23" s="649"/>
      <c r="O23" s="650"/>
      <c r="P23" s="650"/>
      <c r="Q23" s="650"/>
      <c r="R23" s="649"/>
      <c r="S23" s="649"/>
      <c r="T23" s="649"/>
      <c r="U23" s="640"/>
      <c r="V23" s="640"/>
      <c r="W23" s="640"/>
      <c r="X23" s="640"/>
      <c r="Y23" s="640"/>
      <c r="Z23" s="640"/>
      <c r="AA23" s="640"/>
      <c r="AB23" s="640"/>
      <c r="AC23" s="640"/>
      <c r="AD23" s="640"/>
      <c r="AE23" s="640"/>
      <c r="AF23" s="640"/>
      <c r="AG23" s="640"/>
      <c r="AH23" s="640"/>
      <c r="AI23" s="640"/>
      <c r="AJ23" s="640"/>
      <c r="AK23" s="640"/>
      <c r="AL23" s="640"/>
      <c r="AM23" s="640"/>
      <c r="AN23" s="640"/>
      <c r="AO23" s="640"/>
      <c r="AP23" s="640"/>
      <c r="AQ23" s="640"/>
      <c r="AR23" s="640"/>
      <c r="AS23" s="640"/>
      <c r="AT23" s="640"/>
      <c r="AU23" s="640"/>
      <c r="AV23" s="640"/>
      <c r="AW23" s="640"/>
      <c r="AX23" s="640"/>
      <c r="AY23" s="640"/>
      <c r="AZ23" s="640"/>
      <c r="BA23" s="640"/>
      <c r="BB23" s="640"/>
      <c r="BC23" s="640"/>
      <c r="BD23" s="640"/>
      <c r="BE23" s="640"/>
      <c r="BF23" s="640"/>
      <c r="BG23" s="640"/>
      <c r="BH23" s="640"/>
      <c r="BI23" s="640"/>
      <c r="BJ23" s="640"/>
      <c r="BK23" s="640"/>
      <c r="BL23" s="640"/>
    </row>
    <row r="24" spans="1:64" s="638" customFormat="1" ht="15.75" thickBot="1">
      <c r="A24" s="687">
        <v>7</v>
      </c>
      <c r="B24" s="684" t="s">
        <v>683</v>
      </c>
      <c r="C24" s="685" t="s">
        <v>917</v>
      </c>
      <c r="D24" s="689" t="s">
        <v>669</v>
      </c>
      <c r="E24" s="686"/>
      <c r="F24" s="686"/>
      <c r="G24" s="686"/>
      <c r="H24" s="686"/>
      <c r="I24" s="690">
        <f>I11-I18+I22</f>
        <v>114083.0172534142</v>
      </c>
      <c r="J24" s="642"/>
      <c r="K24" s="642"/>
      <c r="L24" s="639"/>
      <c r="M24" s="648"/>
      <c r="N24" s="649"/>
      <c r="O24" s="650"/>
      <c r="P24" s="650"/>
      <c r="Q24" s="650"/>
      <c r="R24" s="649"/>
      <c r="S24" s="649"/>
      <c r="T24" s="649"/>
      <c r="U24" s="640"/>
      <c r="V24" s="640"/>
      <c r="W24" s="640"/>
      <c r="X24" s="640"/>
      <c r="Y24" s="640"/>
      <c r="Z24" s="640"/>
      <c r="AA24" s="640"/>
      <c r="AB24" s="640"/>
      <c r="AC24" s="640"/>
      <c r="AD24" s="640"/>
      <c r="AE24" s="640"/>
      <c r="AF24" s="640"/>
      <c r="AG24" s="640"/>
      <c r="AH24" s="640"/>
      <c r="AI24" s="640"/>
      <c r="AJ24" s="640"/>
      <c r="AK24" s="640"/>
      <c r="AL24" s="640"/>
      <c r="AM24" s="640"/>
      <c r="AN24" s="640"/>
      <c r="AO24" s="640"/>
      <c r="AP24" s="640"/>
      <c r="AQ24" s="640"/>
      <c r="AR24" s="640"/>
      <c r="AS24" s="640"/>
      <c r="AT24" s="640"/>
      <c r="AU24" s="640"/>
      <c r="AV24" s="640"/>
      <c r="AW24" s="640"/>
      <c r="AX24" s="640"/>
      <c r="AY24" s="640"/>
      <c r="AZ24" s="640"/>
      <c r="BA24" s="640"/>
      <c r="BB24" s="640"/>
      <c r="BC24" s="640"/>
      <c r="BD24" s="640"/>
      <c r="BE24" s="640"/>
      <c r="BF24" s="640"/>
      <c r="BG24" s="640"/>
      <c r="BH24" s="640"/>
      <c r="BI24" s="640"/>
      <c r="BJ24" s="640"/>
      <c r="BK24" s="640"/>
      <c r="BL24" s="640"/>
    </row>
    <row r="25" spans="1:64" s="638" customFormat="1" ht="15.75" thickTop="1">
      <c r="A25" s="645"/>
      <c r="B25" s="641"/>
      <c r="C25" s="642"/>
      <c r="D25" s="652"/>
      <c r="E25" s="644"/>
      <c r="F25" s="644"/>
      <c r="G25" s="644"/>
      <c r="H25" s="644"/>
      <c r="I25" s="660"/>
      <c r="J25" s="642"/>
      <c r="K25" s="642"/>
      <c r="L25" s="639"/>
      <c r="M25" s="651"/>
      <c r="N25" s="649"/>
      <c r="O25" s="650"/>
      <c r="P25" s="650"/>
      <c r="Q25" s="650"/>
      <c r="R25" s="649"/>
      <c r="S25" s="649"/>
      <c r="T25" s="649"/>
      <c r="U25" s="640"/>
      <c r="V25" s="640"/>
      <c r="W25" s="640"/>
      <c r="X25" s="640"/>
      <c r="Y25" s="640"/>
      <c r="Z25" s="640"/>
      <c r="AA25" s="640"/>
      <c r="AB25" s="640"/>
      <c r="AC25" s="640"/>
      <c r="AD25" s="640"/>
      <c r="AE25" s="640"/>
      <c r="AF25" s="640"/>
      <c r="AG25" s="640"/>
      <c r="AH25" s="640"/>
      <c r="AI25" s="640"/>
      <c r="AJ25" s="640"/>
      <c r="AK25" s="640"/>
      <c r="AL25" s="640"/>
      <c r="AM25" s="640"/>
      <c r="AN25" s="640"/>
      <c r="AO25" s="640"/>
      <c r="AP25" s="640"/>
      <c r="AQ25" s="640"/>
      <c r="AR25" s="640"/>
      <c r="AS25" s="640"/>
      <c r="AT25" s="640"/>
      <c r="AU25" s="640"/>
      <c r="AV25" s="640"/>
      <c r="AW25" s="640"/>
      <c r="AX25" s="640"/>
      <c r="AY25" s="640"/>
      <c r="AZ25" s="640"/>
      <c r="BA25" s="640"/>
      <c r="BB25" s="640"/>
      <c r="BC25" s="640"/>
      <c r="BD25" s="640"/>
      <c r="BE25" s="640"/>
      <c r="BF25" s="640"/>
      <c r="BG25" s="640"/>
      <c r="BH25" s="640"/>
      <c r="BI25" s="640"/>
      <c r="BJ25" s="640"/>
      <c r="BK25" s="640"/>
      <c r="BL25" s="640"/>
    </row>
    <row r="26" spans="1:64" ht="15">
      <c r="A26" s="284" t="s">
        <v>669</v>
      </c>
      <c r="B26" s="276" t="s">
        <v>684</v>
      </c>
      <c r="C26" s="277"/>
      <c r="D26" s="290"/>
      <c r="E26" s="277"/>
      <c r="F26" s="277"/>
      <c r="G26" s="277"/>
      <c r="H26" s="277"/>
      <c r="I26" s="290"/>
      <c r="J26" s="277"/>
      <c r="K26" s="277"/>
      <c r="L26" s="278"/>
      <c r="M26" s="296"/>
      <c r="N26" s="295"/>
      <c r="O26" s="296"/>
      <c r="P26" s="296"/>
      <c r="Q26" s="296"/>
      <c r="R26" s="295"/>
      <c r="S26" s="295"/>
      <c r="T26" s="295"/>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row>
    <row r="27" spans="1:64" ht="15">
      <c r="A27" s="284">
        <v>8</v>
      </c>
      <c r="B27" s="276" t="s">
        <v>685</v>
      </c>
      <c r="C27" s="300"/>
      <c r="D27" s="290"/>
      <c r="E27" s="277"/>
      <c r="F27" s="277"/>
      <c r="G27" s="277" t="s">
        <v>686</v>
      </c>
      <c r="H27" s="277"/>
      <c r="I27" s="297">
        <f>'ERS5_2014 12 CP Load Data'!E27</f>
        <v>41767.02416666667</v>
      </c>
      <c r="J27" s="277"/>
      <c r="K27" s="301"/>
      <c r="L27" s="278"/>
      <c r="M27" s="296"/>
      <c r="N27" s="295"/>
      <c r="O27" s="296"/>
      <c r="P27" s="296"/>
      <c r="Q27" s="296"/>
      <c r="R27" s="295"/>
      <c r="S27" s="295"/>
      <c r="T27" s="295"/>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row>
    <row r="28" spans="1:64" ht="15">
      <c r="A28" s="284">
        <v>9</v>
      </c>
      <c r="B28" s="276" t="s">
        <v>687</v>
      </c>
      <c r="C28" s="283"/>
      <c r="D28" s="283"/>
      <c r="E28" s="283"/>
      <c r="F28" s="283"/>
      <c r="G28" s="283" t="s">
        <v>688</v>
      </c>
      <c r="H28" s="283"/>
      <c r="I28" s="297">
        <v>0</v>
      </c>
      <c r="J28" s="277"/>
      <c r="K28" s="277"/>
      <c r="L28" s="278"/>
      <c r="M28" s="296"/>
      <c r="N28" s="295"/>
      <c r="O28" s="296"/>
      <c r="P28" s="296"/>
      <c r="Q28" s="296"/>
      <c r="R28" s="295"/>
      <c r="S28" s="295"/>
      <c r="T28" s="295"/>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row>
    <row r="29" spans="1:64" ht="15">
      <c r="A29" s="284">
        <v>10</v>
      </c>
      <c r="B29" s="276" t="s">
        <v>689</v>
      </c>
      <c r="C29" s="277"/>
      <c r="D29" s="277"/>
      <c r="E29" s="277"/>
      <c r="F29" s="277"/>
      <c r="G29" s="277" t="s">
        <v>690</v>
      </c>
      <c r="H29" s="277"/>
      <c r="I29" s="297">
        <v>0</v>
      </c>
      <c r="J29" s="277"/>
      <c r="K29" s="277"/>
      <c r="L29" s="278"/>
      <c r="M29" s="296"/>
      <c r="N29" s="295"/>
      <c r="O29" s="296"/>
      <c r="P29" s="296"/>
      <c r="Q29" s="296"/>
      <c r="R29" s="295"/>
      <c r="S29" s="295"/>
      <c r="T29" s="295"/>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row>
    <row r="30" spans="1:64" ht="15">
      <c r="A30" s="284">
        <v>11</v>
      </c>
      <c r="B30" s="303" t="s">
        <v>691</v>
      </c>
      <c r="C30" s="277"/>
      <c r="D30" s="277"/>
      <c r="E30" s="277"/>
      <c r="F30" s="277"/>
      <c r="G30" s="277" t="s">
        <v>692</v>
      </c>
      <c r="H30" s="277"/>
      <c r="I30" s="297">
        <v>0</v>
      </c>
      <c r="J30" s="277"/>
      <c r="K30" s="277"/>
      <c r="L30" s="278"/>
      <c r="M30" s="296"/>
      <c r="N30" s="295"/>
      <c r="O30" s="296"/>
      <c r="P30" s="296"/>
      <c r="Q30" s="296"/>
      <c r="R30" s="295"/>
      <c r="S30" s="295"/>
      <c r="T30" s="295"/>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row>
    <row r="31" spans="1:64" ht="15">
      <c r="A31" s="284">
        <v>12</v>
      </c>
      <c r="B31" s="303" t="s">
        <v>693</v>
      </c>
      <c r="C31" s="277"/>
      <c r="D31" s="277"/>
      <c r="E31" s="277"/>
      <c r="F31" s="277"/>
      <c r="G31" s="277"/>
      <c r="H31" s="277"/>
      <c r="I31" s="297">
        <v>0</v>
      </c>
      <c r="J31" s="277"/>
      <c r="K31" s="277"/>
      <c r="L31" s="278"/>
      <c r="M31" s="302"/>
      <c r="N31" s="295"/>
      <c r="O31" s="294"/>
      <c r="P31" s="296"/>
      <c r="Q31" s="296"/>
      <c r="R31" s="295"/>
      <c r="S31" s="295"/>
      <c r="T31" s="295"/>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row>
    <row r="32" spans="1:64" ht="15">
      <c r="A32" s="284">
        <v>13</v>
      </c>
      <c r="B32" s="303" t="s">
        <v>694</v>
      </c>
      <c r="C32" s="277"/>
      <c r="D32" s="277"/>
      <c r="E32" s="277"/>
      <c r="F32" s="277"/>
      <c r="G32" s="277"/>
      <c r="H32" s="277"/>
      <c r="I32" s="304">
        <v>0</v>
      </c>
      <c r="J32" s="277"/>
      <c r="K32" s="277"/>
      <c r="L32" s="278"/>
      <c r="M32" s="296"/>
      <c r="N32" s="295"/>
      <c r="O32" s="294"/>
      <c r="P32" s="296"/>
      <c r="Q32" s="296"/>
      <c r="R32" s="295"/>
      <c r="S32" s="295"/>
      <c r="T32" s="295"/>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row>
    <row r="33" spans="1:64" ht="15.75" thickBot="1">
      <c r="A33" s="284">
        <v>14</v>
      </c>
      <c r="B33" s="276" t="s">
        <v>695</v>
      </c>
      <c r="C33" s="277"/>
      <c r="D33" s="277"/>
      <c r="E33" s="277"/>
      <c r="F33" s="277"/>
      <c r="G33" s="277"/>
      <c r="H33" s="277"/>
      <c r="I33" s="305">
        <v>0</v>
      </c>
      <c r="J33" s="277"/>
      <c r="K33" s="277"/>
      <c r="L33" s="278"/>
      <c r="M33" s="296"/>
      <c r="N33" s="295"/>
      <c r="O33" s="294"/>
      <c r="P33" s="296"/>
      <c r="Q33" s="296"/>
      <c r="R33" s="295"/>
      <c r="S33" s="295"/>
      <c r="T33" s="295"/>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row>
    <row r="34" spans="1:64" ht="15">
      <c r="A34" s="284">
        <v>15</v>
      </c>
      <c r="B34" s="276" t="s">
        <v>696</v>
      </c>
      <c r="C34" s="277"/>
      <c r="D34" s="277"/>
      <c r="E34" s="277"/>
      <c r="F34" s="277"/>
      <c r="G34" s="277"/>
      <c r="H34" s="277"/>
      <c r="I34" s="290">
        <f>SUM(I27:I33)</f>
        <v>41767.02416666667</v>
      </c>
      <c r="J34" s="277"/>
      <c r="K34" s="277"/>
      <c r="L34" s="278"/>
      <c r="M34" s="296"/>
      <c r="N34" s="295"/>
      <c r="O34" s="294"/>
      <c r="P34" s="296"/>
      <c r="Q34" s="296"/>
      <c r="R34" s="295"/>
      <c r="S34" s="295"/>
      <c r="T34" s="295"/>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row>
    <row r="35" spans="1:64" ht="15">
      <c r="A35" s="284"/>
      <c r="B35" s="276"/>
      <c r="C35" s="277"/>
      <c r="D35" s="277"/>
      <c r="E35" s="277"/>
      <c r="F35" s="277"/>
      <c r="G35" s="277"/>
      <c r="H35" s="277"/>
      <c r="I35" s="290"/>
      <c r="J35" s="277"/>
      <c r="K35" s="277"/>
      <c r="L35" s="278"/>
      <c r="M35" s="296"/>
      <c r="N35" s="295"/>
      <c r="O35" s="294"/>
      <c r="P35" s="296"/>
      <c r="Q35" s="296"/>
      <c r="R35" s="295"/>
      <c r="S35" s="295"/>
      <c r="T35" s="295"/>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row>
    <row r="36" spans="1:64" ht="15">
      <c r="A36" s="284">
        <v>16</v>
      </c>
      <c r="B36" s="276" t="s">
        <v>697</v>
      </c>
      <c r="C36" s="277" t="s">
        <v>698</v>
      </c>
      <c r="D36" s="306">
        <f>IF(I34&gt;0,I24/I34,0)</f>
        <v>2.7314135859471</v>
      </c>
      <c r="E36" s="277"/>
      <c r="F36" s="277"/>
      <c r="G36" s="277"/>
      <c r="H36" s="277"/>
      <c r="I36" s="300"/>
      <c r="J36" s="277"/>
      <c r="K36" s="277"/>
      <c r="L36" s="278"/>
      <c r="M36" s="296"/>
      <c r="N36" s="295"/>
      <c r="O36" s="294"/>
      <c r="P36" s="296"/>
      <c r="Q36" s="296"/>
      <c r="R36" s="295"/>
      <c r="S36" s="295"/>
      <c r="T36" s="295"/>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row>
    <row r="37" spans="1:64" ht="15">
      <c r="A37" s="284">
        <v>17</v>
      </c>
      <c r="B37" s="276" t="s">
        <v>699</v>
      </c>
      <c r="C37" s="277"/>
      <c r="D37" s="306">
        <f>+D36/12</f>
        <v>0.22761779882892499</v>
      </c>
      <c r="E37" s="277"/>
      <c r="F37" s="277"/>
      <c r="G37" s="277"/>
      <c r="H37" s="277"/>
      <c r="I37" s="300"/>
      <c r="J37" s="277"/>
      <c r="K37" s="277"/>
      <c r="L37" s="278"/>
      <c r="M37" s="296"/>
      <c r="N37" s="295"/>
      <c r="O37" s="294"/>
      <c r="P37" s="296"/>
      <c r="Q37" s="296"/>
      <c r="R37" s="295"/>
      <c r="S37" s="295"/>
      <c r="T37" s="295"/>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row>
    <row r="38" spans="1:64" ht="15">
      <c r="A38" s="284"/>
      <c r="B38" s="276"/>
      <c r="C38" s="277"/>
      <c r="D38" s="306"/>
      <c r="E38" s="277"/>
      <c r="F38" s="277"/>
      <c r="G38" s="277"/>
      <c r="H38" s="277"/>
      <c r="I38" s="300"/>
      <c r="J38" s="277"/>
      <c r="K38" s="277"/>
      <c r="L38" s="278"/>
      <c r="M38" s="296"/>
      <c r="N38" s="295"/>
      <c r="O38" s="294"/>
      <c r="P38" s="296"/>
      <c r="Q38" s="296"/>
      <c r="R38" s="295"/>
      <c r="S38" s="295"/>
      <c r="T38" s="295"/>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row>
    <row r="39" spans="1:64" ht="15">
      <c r="A39" s="284"/>
      <c r="B39" s="276"/>
      <c r="C39" s="277"/>
      <c r="D39" s="307" t="s">
        <v>700</v>
      </c>
      <c r="E39" s="277"/>
      <c r="F39" s="277"/>
      <c r="G39" s="277"/>
      <c r="H39" s="277"/>
      <c r="I39" s="308" t="s">
        <v>701</v>
      </c>
      <c r="J39" s="277"/>
      <c r="K39" s="277"/>
      <c r="L39" s="278"/>
      <c r="M39" s="296"/>
      <c r="N39" s="295"/>
      <c r="O39" s="296"/>
      <c r="P39" s="296"/>
      <c r="Q39" s="296"/>
      <c r="R39" s="295"/>
      <c r="S39" s="295"/>
      <c r="T39" s="295"/>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row>
    <row r="40" spans="1:64" ht="15">
      <c r="A40" s="284">
        <v>18</v>
      </c>
      <c r="B40" s="276" t="s">
        <v>702</v>
      </c>
      <c r="C40" s="277" t="s">
        <v>703</v>
      </c>
      <c r="D40" s="306">
        <f>+D36/52</f>
        <v>5.2527184345136542E-2</v>
      </c>
      <c r="E40" s="277"/>
      <c r="F40" s="277"/>
      <c r="G40" s="277"/>
      <c r="H40" s="277"/>
      <c r="I40" s="309">
        <f>+D36/52</f>
        <v>5.2527184345136542E-2</v>
      </c>
      <c r="J40" s="277"/>
      <c r="K40" s="277"/>
      <c r="L40" s="278"/>
      <c r="M40" s="296"/>
      <c r="N40" s="295"/>
      <c r="O40" s="296"/>
      <c r="P40" s="296"/>
      <c r="Q40" s="296"/>
      <c r="R40" s="295"/>
      <c r="S40" s="295"/>
      <c r="T40" s="295"/>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row>
    <row r="41" spans="1:64" ht="15">
      <c r="A41" s="284">
        <v>19</v>
      </c>
      <c r="B41" s="276" t="s">
        <v>704</v>
      </c>
      <c r="C41" s="277" t="s">
        <v>705</v>
      </c>
      <c r="D41" s="306">
        <f>D36/260</f>
        <v>1.0505436869027308E-2</v>
      </c>
      <c r="E41" s="277" t="s">
        <v>706</v>
      </c>
      <c r="F41" s="300"/>
      <c r="G41" s="277"/>
      <c r="H41" s="277"/>
      <c r="I41" s="309">
        <f>D36/365</f>
        <v>7.4833248930057539E-3</v>
      </c>
      <c r="J41" s="277"/>
      <c r="K41" s="277"/>
      <c r="L41" s="278"/>
      <c r="M41" s="296"/>
      <c r="N41" s="295"/>
      <c r="O41" s="296"/>
      <c r="P41" s="296"/>
      <c r="Q41" s="296"/>
      <c r="R41" s="295"/>
      <c r="S41" s="295"/>
      <c r="T41" s="295"/>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row>
    <row r="42" spans="1:64" ht="15">
      <c r="A42" s="284">
        <v>20</v>
      </c>
      <c r="B42" s="276" t="s">
        <v>707</v>
      </c>
      <c r="C42" s="277" t="s">
        <v>708</v>
      </c>
      <c r="D42" s="306">
        <f>D36/4160</f>
        <v>6.5658980431420677E-4</v>
      </c>
      <c r="E42" s="277" t="s">
        <v>709</v>
      </c>
      <c r="F42" s="300"/>
      <c r="G42" s="277"/>
      <c r="H42" s="277"/>
      <c r="I42" s="309">
        <f>D36/8760*1000</f>
        <v>0.31180520387523974</v>
      </c>
      <c r="J42" s="277"/>
      <c r="K42" s="277" t="s">
        <v>669</v>
      </c>
      <c r="L42" s="278"/>
      <c r="M42" s="296"/>
      <c r="N42" s="295"/>
      <c r="O42" s="296"/>
      <c r="P42" s="296"/>
      <c r="Q42" s="296"/>
      <c r="R42" s="295"/>
      <c r="S42" s="295"/>
      <c r="T42" s="295"/>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row>
    <row r="43" spans="1:64" ht="15">
      <c r="A43" s="284"/>
      <c r="B43" s="276"/>
      <c r="C43" s="277" t="s">
        <v>710</v>
      </c>
      <c r="D43" s="277"/>
      <c r="E43" s="277" t="s">
        <v>711</v>
      </c>
      <c r="F43" s="300"/>
      <c r="G43" s="277"/>
      <c r="H43" s="277"/>
      <c r="I43" s="300"/>
      <c r="J43" s="277"/>
      <c r="K43" s="277" t="s">
        <v>669</v>
      </c>
      <c r="L43" s="278"/>
      <c r="M43" s="296"/>
      <c r="N43" s="295"/>
      <c r="O43" s="296"/>
      <c r="P43" s="296"/>
      <c r="Q43" s="296"/>
      <c r="R43" s="295"/>
      <c r="S43" s="295"/>
      <c r="T43" s="295"/>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row>
    <row r="44" spans="1:64" ht="15">
      <c r="A44" s="284"/>
      <c r="B44" s="276"/>
      <c r="C44" s="277"/>
      <c r="D44" s="277"/>
      <c r="E44" s="277"/>
      <c r="F44" s="300"/>
      <c r="G44" s="277"/>
      <c r="H44" s="277"/>
      <c r="I44" s="300"/>
      <c r="J44" s="277"/>
      <c r="K44" s="277" t="s">
        <v>669</v>
      </c>
      <c r="L44" s="278"/>
      <c r="M44" s="296"/>
      <c r="N44" s="295"/>
      <c r="O44" s="296"/>
      <c r="P44" s="296"/>
      <c r="Q44" s="296"/>
      <c r="R44" s="295"/>
      <c r="S44" s="295"/>
      <c r="T44" s="295"/>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row>
    <row r="45" spans="1:64" ht="15">
      <c r="A45" s="284">
        <v>21</v>
      </c>
      <c r="B45" s="276" t="s">
        <v>712</v>
      </c>
      <c r="C45" s="277" t="s">
        <v>713</v>
      </c>
      <c r="D45" s="310">
        <v>0</v>
      </c>
      <c r="E45" s="311" t="s">
        <v>714</v>
      </c>
      <c r="F45" s="311"/>
      <c r="G45" s="311"/>
      <c r="H45" s="311"/>
      <c r="I45" s="311">
        <f>D45</f>
        <v>0</v>
      </c>
      <c r="J45" s="311" t="s">
        <v>714</v>
      </c>
      <c r="K45" s="277"/>
      <c r="L45" s="278"/>
      <c r="M45" s="296"/>
      <c r="N45" s="295"/>
      <c r="O45" s="296"/>
      <c r="P45" s="296"/>
      <c r="Q45" s="296"/>
      <c r="R45" s="295"/>
      <c r="S45" s="295"/>
      <c r="T45" s="295"/>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row>
    <row r="46" spans="1:64" ht="15">
      <c r="A46" s="284">
        <v>22</v>
      </c>
      <c r="B46" s="276"/>
      <c r="C46" s="277"/>
      <c r="D46" s="310">
        <v>0</v>
      </c>
      <c r="E46" s="311" t="s">
        <v>715</v>
      </c>
      <c r="F46" s="311"/>
      <c r="G46" s="311"/>
      <c r="H46" s="311"/>
      <c r="I46" s="311">
        <f>D46</f>
        <v>0</v>
      </c>
      <c r="J46" s="311" t="s">
        <v>715</v>
      </c>
      <c r="K46" s="277"/>
      <c r="L46" s="278"/>
      <c r="M46" s="296"/>
      <c r="N46" s="295"/>
      <c r="O46" s="296"/>
      <c r="P46" s="296"/>
      <c r="Q46" s="296"/>
      <c r="R46" s="295"/>
      <c r="S46" s="295"/>
      <c r="T46" s="295"/>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row>
    <row r="47" spans="1:64" ht="15">
      <c r="J47" s="312"/>
      <c r="K47" s="277"/>
      <c r="L47" s="278"/>
      <c r="M47" s="296"/>
      <c r="N47" s="295"/>
      <c r="O47" s="296"/>
      <c r="P47" s="296"/>
      <c r="Q47" s="296"/>
      <c r="R47" s="295"/>
      <c r="S47" s="295"/>
      <c r="T47" s="295"/>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row>
    <row r="48" spans="1:64" ht="15">
      <c r="A48"/>
      <c r="B48"/>
      <c r="C48"/>
      <c r="D48"/>
      <c r="E48"/>
      <c r="F48"/>
      <c r="G48"/>
      <c r="H48"/>
      <c r="I48"/>
      <c r="J48"/>
      <c r="K48"/>
      <c r="L48"/>
      <c r="M48" s="296"/>
      <c r="N48" s="295"/>
      <c r="O48" s="296"/>
      <c r="P48" s="296"/>
      <c r="Q48" s="296"/>
      <c r="R48" s="295"/>
      <c r="S48" s="295"/>
      <c r="T48" s="295"/>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row>
    <row r="49" spans="1:64" ht="15">
      <c r="A49"/>
      <c r="B49"/>
      <c r="C49"/>
      <c r="D49"/>
      <c r="E49"/>
      <c r="F49"/>
      <c r="G49"/>
      <c r="H49"/>
      <c r="I49"/>
      <c r="J49"/>
      <c r="K49"/>
      <c r="L49"/>
      <c r="M49" s="296"/>
      <c r="N49" s="295"/>
      <c r="O49" s="296"/>
      <c r="P49" s="296"/>
      <c r="Q49" s="296"/>
      <c r="R49" s="295"/>
      <c r="S49" s="295"/>
      <c r="T49" s="295"/>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row>
    <row r="50" spans="1:64" ht="15">
      <c r="A50"/>
      <c r="B50"/>
      <c r="C50"/>
      <c r="D50"/>
      <c r="E50"/>
      <c r="F50"/>
      <c r="G50"/>
      <c r="H50"/>
      <c r="I50"/>
      <c r="J50"/>
      <c r="K50"/>
      <c r="L50"/>
      <c r="M50" s="296"/>
      <c r="N50" s="295"/>
      <c r="O50" s="296"/>
      <c r="P50" s="296"/>
      <c r="Q50" s="296"/>
      <c r="R50" s="295"/>
      <c r="S50" s="295"/>
      <c r="T50" s="295"/>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row>
    <row r="51" spans="1:64" ht="15">
      <c r="A51"/>
      <c r="B51"/>
      <c r="C51"/>
      <c r="D51"/>
      <c r="E51"/>
      <c r="F51"/>
      <c r="G51"/>
      <c r="H51"/>
      <c r="I51"/>
      <c r="J51"/>
      <c r="K51"/>
      <c r="L51"/>
      <c r="M51" s="296"/>
      <c r="N51" s="295"/>
      <c r="O51" s="296"/>
      <c r="P51" s="296"/>
      <c r="Q51" s="296"/>
      <c r="R51" s="295"/>
      <c r="S51" s="295"/>
      <c r="T51" s="295"/>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row>
    <row r="52" spans="1:64" ht="15">
      <c r="A52"/>
      <c r="B52"/>
      <c r="C52"/>
      <c r="D52"/>
      <c r="E52"/>
      <c r="F52"/>
      <c r="G52"/>
      <c r="H52"/>
      <c r="I52"/>
      <c r="J52"/>
      <c r="K52"/>
      <c r="L52"/>
      <c r="M52" s="296"/>
      <c r="N52" s="295"/>
      <c r="O52" s="296"/>
      <c r="P52" s="296"/>
      <c r="Q52" s="296"/>
      <c r="R52" s="295"/>
      <c r="S52" s="295"/>
      <c r="T52" s="295"/>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row>
    <row r="53" spans="1:64" ht="15">
      <c r="A53"/>
      <c r="B53"/>
      <c r="C53"/>
      <c r="D53"/>
      <c r="E53"/>
      <c r="F53"/>
      <c r="G53"/>
      <c r="H53"/>
      <c r="I53"/>
      <c r="J53"/>
      <c r="K53"/>
      <c r="L53"/>
      <c r="M53" s="296"/>
      <c r="N53" s="295"/>
      <c r="O53" s="296"/>
      <c r="P53" s="296"/>
      <c r="Q53" s="296"/>
      <c r="R53" s="295"/>
      <c r="S53" s="295"/>
      <c r="T53" s="295"/>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row>
    <row r="54" spans="1:64" ht="15">
      <c r="A54"/>
      <c r="B54"/>
      <c r="C54"/>
      <c r="D54"/>
      <c r="E54"/>
      <c r="F54"/>
      <c r="G54"/>
      <c r="H54"/>
      <c r="I54"/>
      <c r="J54"/>
      <c r="K54"/>
      <c r="L54"/>
      <c r="M54" s="296"/>
      <c r="N54" s="295"/>
      <c r="O54" s="296"/>
      <c r="P54" s="296"/>
      <c r="Q54" s="296"/>
      <c r="R54" s="295"/>
      <c r="S54" s="295"/>
      <c r="T54" s="295"/>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row>
    <row r="55" spans="1:64" s="696" customFormat="1" ht="15">
      <c r="A55" s="695"/>
      <c r="B55" s="695"/>
      <c r="C55" s="695"/>
      <c r="D55" s="695"/>
      <c r="E55" s="695"/>
      <c r="F55" s="695"/>
      <c r="G55" s="695"/>
      <c r="H55" s="695"/>
      <c r="I55" s="695"/>
      <c r="J55" s="695"/>
      <c r="K55" s="695"/>
      <c r="L55" s="695"/>
      <c r="M55" s="699"/>
      <c r="N55" s="698"/>
      <c r="O55" s="699"/>
      <c r="P55" s="699"/>
      <c r="Q55" s="699"/>
      <c r="R55" s="698"/>
      <c r="S55" s="698"/>
      <c r="T55" s="698"/>
      <c r="U55" s="697"/>
      <c r="V55" s="697"/>
      <c r="W55" s="697"/>
      <c r="X55" s="697"/>
      <c r="Y55" s="697"/>
      <c r="Z55" s="697"/>
      <c r="AA55" s="697"/>
      <c r="AB55" s="697"/>
      <c r="AC55" s="697"/>
      <c r="AD55" s="697"/>
      <c r="AE55" s="697"/>
      <c r="AF55" s="697"/>
      <c r="AG55" s="697"/>
      <c r="AH55" s="697"/>
      <c r="AI55" s="697"/>
      <c r="AJ55" s="697"/>
      <c r="AK55" s="697"/>
      <c r="AL55" s="697"/>
      <c r="AM55" s="697"/>
      <c r="AN55" s="697"/>
      <c r="AO55" s="697"/>
      <c r="AP55" s="697"/>
      <c r="AQ55" s="697"/>
      <c r="AR55" s="697"/>
      <c r="AS55" s="697"/>
      <c r="AT55" s="697"/>
      <c r="AU55" s="697"/>
      <c r="AV55" s="697"/>
      <c r="AW55" s="697"/>
      <c r="AX55" s="697"/>
      <c r="AY55" s="697"/>
      <c r="AZ55" s="697"/>
      <c r="BA55" s="697"/>
      <c r="BB55" s="697"/>
      <c r="BC55" s="697"/>
      <c r="BD55" s="697"/>
      <c r="BE55" s="697"/>
      <c r="BF55" s="697"/>
      <c r="BG55" s="697"/>
      <c r="BH55" s="697"/>
      <c r="BI55" s="697"/>
      <c r="BJ55" s="697"/>
      <c r="BK55" s="697"/>
      <c r="BL55" s="697"/>
    </row>
    <row r="56" spans="1:64" s="696" customFormat="1" ht="15">
      <c r="A56" s="695"/>
      <c r="B56" s="695"/>
      <c r="C56" s="695"/>
      <c r="D56" s="695"/>
      <c r="E56" s="695"/>
      <c r="F56" s="695"/>
      <c r="G56" s="695"/>
      <c r="H56" s="695"/>
      <c r="I56" s="695"/>
      <c r="J56" s="695"/>
      <c r="K56" s="695"/>
      <c r="L56" s="695"/>
      <c r="M56" s="699"/>
      <c r="N56" s="698"/>
      <c r="O56" s="699"/>
      <c r="P56" s="699"/>
      <c r="Q56" s="699"/>
      <c r="R56" s="698"/>
      <c r="S56" s="698"/>
      <c r="T56" s="698"/>
      <c r="U56" s="697"/>
      <c r="V56" s="697"/>
      <c r="W56" s="697"/>
      <c r="X56" s="697"/>
      <c r="Y56" s="697"/>
      <c r="Z56" s="697"/>
      <c r="AA56" s="697"/>
      <c r="AB56" s="697"/>
      <c r="AC56" s="697"/>
      <c r="AD56" s="697"/>
      <c r="AE56" s="697"/>
      <c r="AF56" s="697"/>
      <c r="AG56" s="697"/>
      <c r="AH56" s="697"/>
      <c r="AI56" s="697"/>
      <c r="AJ56" s="697"/>
      <c r="AK56" s="697"/>
      <c r="AL56" s="697"/>
      <c r="AM56" s="697"/>
      <c r="AN56" s="697"/>
      <c r="AO56" s="697"/>
      <c r="AP56" s="697"/>
      <c r="AQ56" s="697"/>
      <c r="AR56" s="697"/>
      <c r="AS56" s="697"/>
      <c r="AT56" s="697"/>
      <c r="AU56" s="697"/>
      <c r="AV56" s="697"/>
      <c r="AW56" s="697"/>
      <c r="AX56" s="697"/>
      <c r="AY56" s="697"/>
      <c r="AZ56" s="697"/>
      <c r="BA56" s="697"/>
      <c r="BB56" s="697"/>
      <c r="BC56" s="697"/>
      <c r="BD56" s="697"/>
      <c r="BE56" s="697"/>
      <c r="BF56" s="697"/>
      <c r="BG56" s="697"/>
      <c r="BH56" s="697"/>
      <c r="BI56" s="697"/>
      <c r="BJ56" s="697"/>
      <c r="BK56" s="697"/>
      <c r="BL56" s="697"/>
    </row>
    <row r="57" spans="1:64" s="696" customFormat="1" ht="15">
      <c r="A57" s="695"/>
      <c r="B57" s="695"/>
      <c r="C57" s="695"/>
      <c r="D57" s="695"/>
      <c r="E57" s="695"/>
      <c r="F57" s="695"/>
      <c r="G57" s="695"/>
      <c r="H57" s="695"/>
      <c r="I57" s="695"/>
      <c r="J57" s="695"/>
      <c r="K57" s="695"/>
      <c r="L57" s="695"/>
      <c r="M57" s="699"/>
      <c r="N57" s="698"/>
      <c r="O57" s="699"/>
      <c r="P57" s="699"/>
      <c r="Q57" s="699"/>
      <c r="R57" s="698"/>
      <c r="S57" s="698"/>
      <c r="T57" s="698"/>
      <c r="U57" s="697"/>
      <c r="V57" s="697"/>
      <c r="W57" s="697"/>
      <c r="X57" s="697"/>
      <c r="Y57" s="697"/>
      <c r="Z57" s="697"/>
      <c r="AA57" s="697"/>
      <c r="AB57" s="697"/>
      <c r="AC57" s="697"/>
      <c r="AD57" s="697"/>
      <c r="AE57" s="697"/>
      <c r="AF57" s="697"/>
      <c r="AG57" s="697"/>
      <c r="AH57" s="697"/>
      <c r="AI57" s="697"/>
      <c r="AJ57" s="697"/>
      <c r="AK57" s="697"/>
      <c r="AL57" s="697"/>
      <c r="AM57" s="697"/>
      <c r="AN57" s="697"/>
      <c r="AO57" s="697"/>
      <c r="AP57" s="697"/>
      <c r="AQ57" s="697"/>
      <c r="AR57" s="697"/>
      <c r="AS57" s="697"/>
      <c r="AT57" s="697"/>
      <c r="AU57" s="697"/>
      <c r="AV57" s="697"/>
      <c r="AW57" s="697"/>
      <c r="AX57" s="697"/>
      <c r="AY57" s="697"/>
      <c r="AZ57" s="697"/>
      <c r="BA57" s="697"/>
      <c r="BB57" s="697"/>
      <c r="BC57" s="697"/>
      <c r="BD57" s="697"/>
      <c r="BE57" s="697"/>
      <c r="BF57" s="697"/>
      <c r="BG57" s="697"/>
      <c r="BH57" s="697"/>
      <c r="BI57" s="697"/>
      <c r="BJ57" s="697"/>
      <c r="BK57" s="697"/>
      <c r="BL57" s="697"/>
    </row>
    <row r="58" spans="1:64" s="696" customFormat="1" ht="15">
      <c r="A58" s="695"/>
      <c r="B58" s="695"/>
      <c r="C58" s="695"/>
      <c r="D58" s="695"/>
      <c r="E58" s="695"/>
      <c r="F58" s="695"/>
      <c r="G58" s="695"/>
      <c r="H58" s="695"/>
      <c r="I58" s="695"/>
      <c r="J58" s="695"/>
      <c r="K58" s="695"/>
      <c r="L58" s="695"/>
      <c r="M58" s="699"/>
      <c r="N58" s="698"/>
      <c r="O58" s="699"/>
      <c r="P58" s="699"/>
      <c r="Q58" s="699"/>
      <c r="R58" s="698"/>
      <c r="S58" s="698"/>
      <c r="T58" s="698"/>
      <c r="U58" s="697"/>
      <c r="V58" s="697"/>
      <c r="W58" s="697"/>
      <c r="X58" s="697"/>
      <c r="Y58" s="697"/>
      <c r="Z58" s="697"/>
      <c r="AA58" s="697"/>
      <c r="AB58" s="697"/>
      <c r="AC58" s="697"/>
      <c r="AD58" s="697"/>
      <c r="AE58" s="697"/>
      <c r="AF58" s="697"/>
      <c r="AG58" s="697"/>
      <c r="AH58" s="697"/>
      <c r="AI58" s="697"/>
      <c r="AJ58" s="697"/>
      <c r="AK58" s="697"/>
      <c r="AL58" s="697"/>
      <c r="AM58" s="697"/>
      <c r="AN58" s="697"/>
      <c r="AO58" s="697"/>
      <c r="AP58" s="697"/>
      <c r="AQ58" s="697"/>
      <c r="AR58" s="697"/>
      <c r="AS58" s="697"/>
      <c r="AT58" s="697"/>
      <c r="AU58" s="697"/>
      <c r="AV58" s="697"/>
      <c r="AW58" s="697"/>
      <c r="AX58" s="697"/>
      <c r="AY58" s="697"/>
      <c r="AZ58" s="697"/>
      <c r="BA58" s="697"/>
      <c r="BB58" s="697"/>
      <c r="BC58" s="697"/>
      <c r="BD58" s="697"/>
      <c r="BE58" s="697"/>
      <c r="BF58" s="697"/>
      <c r="BG58" s="697"/>
      <c r="BH58" s="697"/>
      <c r="BI58" s="697"/>
      <c r="BJ58" s="697"/>
      <c r="BK58" s="697"/>
      <c r="BL58" s="697"/>
    </row>
    <row r="59" spans="1:64" s="696" customFormat="1" ht="15">
      <c r="A59" s="695"/>
      <c r="B59" s="695"/>
      <c r="C59" s="695"/>
      <c r="D59" s="695"/>
      <c r="E59" s="695"/>
      <c r="F59" s="695"/>
      <c r="G59" s="695"/>
      <c r="H59" s="695"/>
      <c r="I59" s="695"/>
      <c r="J59" s="695"/>
      <c r="K59" s="695"/>
      <c r="L59" s="695"/>
      <c r="M59" s="699"/>
      <c r="N59" s="698"/>
      <c r="O59" s="699"/>
      <c r="P59" s="699"/>
      <c r="Q59" s="699"/>
      <c r="R59" s="698"/>
      <c r="S59" s="698"/>
      <c r="T59" s="698"/>
      <c r="U59" s="697"/>
      <c r="V59" s="697"/>
      <c r="W59" s="697"/>
      <c r="X59" s="697"/>
      <c r="Y59" s="697"/>
      <c r="Z59" s="697"/>
      <c r="AA59" s="697"/>
      <c r="AB59" s="697"/>
      <c r="AC59" s="697"/>
      <c r="AD59" s="697"/>
      <c r="AE59" s="697"/>
      <c r="AF59" s="697"/>
      <c r="AG59" s="697"/>
      <c r="AH59" s="697"/>
      <c r="AI59" s="697"/>
      <c r="AJ59" s="697"/>
      <c r="AK59" s="697"/>
      <c r="AL59" s="697"/>
      <c r="AM59" s="697"/>
      <c r="AN59" s="697"/>
      <c r="AO59" s="697"/>
      <c r="AP59" s="697"/>
      <c r="AQ59" s="697"/>
      <c r="AR59" s="697"/>
      <c r="AS59" s="697"/>
      <c r="AT59" s="697"/>
      <c r="AU59" s="697"/>
      <c r="AV59" s="697"/>
      <c r="AW59" s="697"/>
      <c r="AX59" s="697"/>
      <c r="AY59" s="697"/>
      <c r="AZ59" s="697"/>
      <c r="BA59" s="697"/>
      <c r="BB59" s="697"/>
      <c r="BC59" s="697"/>
      <c r="BD59" s="697"/>
      <c r="BE59" s="697"/>
      <c r="BF59" s="697"/>
      <c r="BG59" s="697"/>
      <c r="BH59" s="697"/>
      <c r="BI59" s="697"/>
      <c r="BJ59" s="697"/>
      <c r="BK59" s="697"/>
      <c r="BL59" s="697"/>
    </row>
    <row r="60" spans="1:64" s="696" customFormat="1" ht="15">
      <c r="A60" s="695"/>
      <c r="B60" s="695"/>
      <c r="C60" s="695"/>
      <c r="D60" s="695"/>
      <c r="E60" s="695"/>
      <c r="F60" s="695"/>
      <c r="G60" s="695"/>
      <c r="H60" s="695"/>
      <c r="I60" s="695"/>
      <c r="J60" s="695"/>
      <c r="K60" s="695"/>
      <c r="L60" s="695"/>
      <c r="M60" s="699"/>
      <c r="N60" s="698"/>
      <c r="O60" s="699"/>
      <c r="P60" s="699"/>
      <c r="Q60" s="699"/>
      <c r="R60" s="698"/>
      <c r="S60" s="698"/>
      <c r="T60" s="698"/>
      <c r="U60" s="697"/>
      <c r="V60" s="697"/>
      <c r="W60" s="697"/>
      <c r="X60" s="697"/>
      <c r="Y60" s="697"/>
      <c r="Z60" s="697"/>
      <c r="AA60" s="697"/>
      <c r="AB60" s="697"/>
      <c r="AC60" s="697"/>
      <c r="AD60" s="697"/>
      <c r="AE60" s="697"/>
      <c r="AF60" s="697"/>
      <c r="AG60" s="697"/>
      <c r="AH60" s="697"/>
      <c r="AI60" s="697"/>
      <c r="AJ60" s="697"/>
      <c r="AK60" s="697"/>
      <c r="AL60" s="697"/>
      <c r="AM60" s="697"/>
      <c r="AN60" s="697"/>
      <c r="AO60" s="697"/>
      <c r="AP60" s="697"/>
      <c r="AQ60" s="697"/>
      <c r="AR60" s="697"/>
      <c r="AS60" s="697"/>
      <c r="AT60" s="697"/>
      <c r="AU60" s="697"/>
      <c r="AV60" s="697"/>
      <c r="AW60" s="697"/>
      <c r="AX60" s="697"/>
      <c r="AY60" s="697"/>
      <c r="AZ60" s="697"/>
      <c r="BA60" s="697"/>
      <c r="BB60" s="697"/>
      <c r="BC60" s="697"/>
      <c r="BD60" s="697"/>
      <c r="BE60" s="697"/>
      <c r="BF60" s="697"/>
      <c r="BG60" s="697"/>
      <c r="BH60" s="697"/>
      <c r="BI60" s="697"/>
      <c r="BJ60" s="697"/>
      <c r="BK60" s="697"/>
      <c r="BL60" s="697"/>
    </row>
    <row r="61" spans="1:64" s="696" customFormat="1" ht="15">
      <c r="A61" s="695"/>
      <c r="B61" s="695"/>
      <c r="C61" s="695"/>
      <c r="D61" s="695"/>
      <c r="E61" s="695"/>
      <c r="F61" s="695"/>
      <c r="G61" s="695"/>
      <c r="H61" s="695"/>
      <c r="I61" s="695"/>
      <c r="J61" s="695"/>
      <c r="K61" s="695"/>
      <c r="L61" s="695"/>
      <c r="M61" s="699"/>
      <c r="N61" s="698"/>
      <c r="O61" s="699"/>
      <c r="P61" s="699"/>
      <c r="Q61" s="699"/>
      <c r="R61" s="698"/>
      <c r="S61" s="698"/>
      <c r="T61" s="698"/>
      <c r="U61" s="697"/>
      <c r="V61" s="697"/>
      <c r="W61" s="697"/>
      <c r="X61" s="697"/>
      <c r="Y61" s="697"/>
      <c r="Z61" s="697"/>
      <c r="AA61" s="697"/>
      <c r="AB61" s="697"/>
      <c r="AC61" s="697"/>
      <c r="AD61" s="697"/>
      <c r="AE61" s="697"/>
      <c r="AF61" s="697"/>
      <c r="AG61" s="697"/>
      <c r="AH61" s="697"/>
      <c r="AI61" s="697"/>
      <c r="AJ61" s="697"/>
      <c r="AK61" s="697"/>
      <c r="AL61" s="697"/>
      <c r="AM61" s="697"/>
      <c r="AN61" s="697"/>
      <c r="AO61" s="697"/>
      <c r="AP61" s="697"/>
      <c r="AQ61" s="697"/>
      <c r="AR61" s="697"/>
      <c r="AS61" s="697"/>
      <c r="AT61" s="697"/>
      <c r="AU61" s="697"/>
      <c r="AV61" s="697"/>
      <c r="AW61" s="697"/>
      <c r="AX61" s="697"/>
      <c r="AY61" s="697"/>
      <c r="AZ61" s="697"/>
      <c r="BA61" s="697"/>
      <c r="BB61" s="697"/>
      <c r="BC61" s="697"/>
      <c r="BD61" s="697"/>
      <c r="BE61" s="697"/>
      <c r="BF61" s="697"/>
      <c r="BG61" s="697"/>
      <c r="BH61" s="697"/>
      <c r="BI61" s="697"/>
      <c r="BJ61" s="697"/>
      <c r="BK61" s="697"/>
      <c r="BL61" s="697"/>
    </row>
    <row r="62" spans="1:64" s="696" customFormat="1" ht="15">
      <c r="A62" s="695"/>
      <c r="B62" s="695"/>
      <c r="C62" s="695"/>
      <c r="D62" s="695"/>
      <c r="E62" s="695"/>
      <c r="F62" s="695"/>
      <c r="G62" s="695"/>
      <c r="H62" s="695"/>
      <c r="I62" s="695"/>
      <c r="J62" s="695"/>
      <c r="K62" s="695"/>
      <c r="L62" s="695"/>
      <c r="M62" s="699"/>
      <c r="N62" s="698"/>
      <c r="O62" s="699"/>
      <c r="P62" s="699"/>
      <c r="Q62" s="699"/>
      <c r="R62" s="698"/>
      <c r="S62" s="698"/>
      <c r="T62" s="698"/>
      <c r="U62" s="697"/>
      <c r="V62" s="697"/>
      <c r="W62" s="697"/>
      <c r="X62" s="697"/>
      <c r="Y62" s="697"/>
      <c r="Z62" s="697"/>
      <c r="AA62" s="697"/>
      <c r="AB62" s="697"/>
      <c r="AC62" s="697"/>
      <c r="AD62" s="697"/>
      <c r="AE62" s="697"/>
      <c r="AF62" s="697"/>
      <c r="AG62" s="697"/>
      <c r="AH62" s="697"/>
      <c r="AI62" s="697"/>
      <c r="AJ62" s="697"/>
      <c r="AK62" s="697"/>
      <c r="AL62" s="697"/>
      <c r="AM62" s="697"/>
      <c r="AN62" s="697"/>
      <c r="AO62" s="697"/>
      <c r="AP62" s="697"/>
      <c r="AQ62" s="697"/>
      <c r="AR62" s="697"/>
      <c r="AS62" s="697"/>
      <c r="AT62" s="697"/>
      <c r="AU62" s="697"/>
      <c r="AV62" s="697"/>
      <c r="AW62" s="697"/>
      <c r="AX62" s="697"/>
      <c r="AY62" s="697"/>
      <c r="AZ62" s="697"/>
      <c r="BA62" s="697"/>
      <c r="BB62" s="697"/>
      <c r="BC62" s="697"/>
      <c r="BD62" s="697"/>
      <c r="BE62" s="697"/>
      <c r="BF62" s="697"/>
      <c r="BG62" s="697"/>
      <c r="BH62" s="697"/>
      <c r="BI62" s="697"/>
      <c r="BJ62" s="697"/>
      <c r="BK62" s="697"/>
      <c r="BL62" s="697"/>
    </row>
    <row r="63" spans="1:64" s="696" customFormat="1" ht="15">
      <c r="A63" s="695"/>
      <c r="B63" s="695"/>
      <c r="C63" s="695"/>
      <c r="D63" s="695"/>
      <c r="E63" s="695"/>
      <c r="F63" s="695"/>
      <c r="G63" s="695"/>
      <c r="H63" s="695"/>
      <c r="I63" s="695"/>
      <c r="J63" s="695"/>
      <c r="K63" s="695"/>
      <c r="L63" s="695"/>
      <c r="M63" s="699"/>
      <c r="N63" s="698"/>
      <c r="O63" s="699"/>
      <c r="P63" s="699"/>
      <c r="Q63" s="699"/>
      <c r="R63" s="698"/>
      <c r="S63" s="698"/>
      <c r="T63" s="698"/>
      <c r="U63" s="697"/>
      <c r="V63" s="697"/>
      <c r="W63" s="697"/>
      <c r="X63" s="697"/>
      <c r="Y63" s="697"/>
      <c r="Z63" s="697"/>
      <c r="AA63" s="697"/>
      <c r="AB63" s="697"/>
      <c r="AC63" s="697"/>
      <c r="AD63" s="697"/>
      <c r="AE63" s="697"/>
      <c r="AF63" s="697"/>
      <c r="AG63" s="697"/>
      <c r="AH63" s="697"/>
      <c r="AI63" s="697"/>
      <c r="AJ63" s="697"/>
      <c r="AK63" s="697"/>
      <c r="AL63" s="697"/>
      <c r="AM63" s="697"/>
      <c r="AN63" s="697"/>
      <c r="AO63" s="697"/>
      <c r="AP63" s="697"/>
      <c r="AQ63" s="697"/>
      <c r="AR63" s="697"/>
      <c r="AS63" s="697"/>
      <c r="AT63" s="697"/>
      <c r="AU63" s="697"/>
      <c r="AV63" s="697"/>
      <c r="AW63" s="697"/>
      <c r="AX63" s="697"/>
      <c r="AY63" s="697"/>
      <c r="AZ63" s="697"/>
      <c r="BA63" s="697"/>
      <c r="BB63" s="697"/>
      <c r="BC63" s="697"/>
      <c r="BD63" s="697"/>
      <c r="BE63" s="697"/>
      <c r="BF63" s="697"/>
      <c r="BG63" s="697"/>
      <c r="BH63" s="697"/>
      <c r="BI63" s="697"/>
      <c r="BJ63" s="697"/>
      <c r="BK63" s="697"/>
      <c r="BL63" s="697"/>
    </row>
    <row r="64" spans="1:64" s="696" customFormat="1" ht="15">
      <c r="A64" s="695"/>
      <c r="B64" s="695"/>
      <c r="C64" s="695"/>
      <c r="D64" s="695"/>
      <c r="E64" s="695"/>
      <c r="F64" s="695"/>
      <c r="G64" s="695"/>
      <c r="H64" s="695"/>
      <c r="I64" s="695"/>
      <c r="J64" s="695"/>
      <c r="K64" s="695"/>
      <c r="L64" s="695"/>
      <c r="M64" s="699"/>
      <c r="N64" s="698"/>
      <c r="O64" s="699"/>
      <c r="P64" s="699"/>
      <c r="Q64" s="699"/>
      <c r="R64" s="698"/>
      <c r="S64" s="698"/>
      <c r="T64" s="698"/>
      <c r="U64" s="697"/>
      <c r="V64" s="697"/>
      <c r="W64" s="697"/>
      <c r="X64" s="697"/>
      <c r="Y64" s="697"/>
      <c r="Z64" s="697"/>
      <c r="AA64" s="697"/>
      <c r="AB64" s="697"/>
      <c r="AC64" s="697"/>
      <c r="AD64" s="697"/>
      <c r="AE64" s="697"/>
      <c r="AF64" s="697"/>
      <c r="AG64" s="697"/>
      <c r="AH64" s="697"/>
      <c r="AI64" s="697"/>
      <c r="AJ64" s="697"/>
      <c r="AK64" s="697"/>
      <c r="AL64" s="697"/>
      <c r="AM64" s="697"/>
      <c r="AN64" s="697"/>
      <c r="AO64" s="697"/>
      <c r="AP64" s="697"/>
      <c r="AQ64" s="697"/>
      <c r="AR64" s="697"/>
      <c r="AS64" s="697"/>
      <c r="AT64" s="697"/>
      <c r="AU64" s="697"/>
      <c r="AV64" s="697"/>
      <c r="AW64" s="697"/>
      <c r="AX64" s="697"/>
      <c r="AY64" s="697"/>
      <c r="AZ64" s="697"/>
      <c r="BA64" s="697"/>
      <c r="BB64" s="697"/>
      <c r="BC64" s="697"/>
      <c r="BD64" s="697"/>
      <c r="BE64" s="697"/>
      <c r="BF64" s="697"/>
      <c r="BG64" s="697"/>
      <c r="BH64" s="697"/>
      <c r="BI64" s="697"/>
      <c r="BJ64" s="697"/>
      <c r="BK64" s="697"/>
      <c r="BL64" s="697"/>
    </row>
    <row r="65" spans="1:64" s="696" customFormat="1" ht="15">
      <c r="A65" s="695"/>
      <c r="B65" s="695"/>
      <c r="C65" s="695"/>
      <c r="D65" s="695"/>
      <c r="E65" s="695"/>
      <c r="F65" s="695"/>
      <c r="G65" s="695"/>
      <c r="H65" s="695"/>
      <c r="I65" s="695"/>
      <c r="J65" s="695"/>
      <c r="K65" s="695"/>
      <c r="L65" s="695"/>
      <c r="M65" s="699"/>
      <c r="N65" s="698"/>
      <c r="O65" s="699"/>
      <c r="P65" s="699"/>
      <c r="Q65" s="699"/>
      <c r="R65" s="698"/>
      <c r="S65" s="698"/>
      <c r="T65" s="698"/>
      <c r="U65" s="697"/>
      <c r="V65" s="697"/>
      <c r="W65" s="697"/>
      <c r="X65" s="697"/>
      <c r="Y65" s="697"/>
      <c r="Z65" s="697"/>
      <c r="AA65" s="697"/>
      <c r="AB65" s="697"/>
      <c r="AC65" s="697"/>
      <c r="AD65" s="697"/>
      <c r="AE65" s="697"/>
      <c r="AF65" s="697"/>
      <c r="AG65" s="697"/>
      <c r="AH65" s="697"/>
      <c r="AI65" s="697"/>
      <c r="AJ65" s="697"/>
      <c r="AK65" s="697"/>
      <c r="AL65" s="697"/>
      <c r="AM65" s="697"/>
      <c r="AN65" s="697"/>
      <c r="AO65" s="697"/>
      <c r="AP65" s="697"/>
      <c r="AQ65" s="697"/>
      <c r="AR65" s="697"/>
      <c r="AS65" s="697"/>
      <c r="AT65" s="697"/>
      <c r="AU65" s="697"/>
      <c r="AV65" s="697"/>
      <c r="AW65" s="697"/>
      <c r="AX65" s="697"/>
      <c r="AY65" s="697"/>
      <c r="AZ65" s="697"/>
      <c r="BA65" s="697"/>
      <c r="BB65" s="697"/>
      <c r="BC65" s="697"/>
      <c r="BD65" s="697"/>
      <c r="BE65" s="697"/>
      <c r="BF65" s="697"/>
      <c r="BG65" s="697"/>
      <c r="BH65" s="697"/>
      <c r="BI65" s="697"/>
      <c r="BJ65" s="697"/>
      <c r="BK65" s="697"/>
      <c r="BL65" s="697"/>
    </row>
    <row r="66" spans="1:64" s="696" customFormat="1" ht="15">
      <c r="A66" s="695"/>
      <c r="B66" s="695"/>
      <c r="C66" s="695"/>
      <c r="D66" s="695"/>
      <c r="E66" s="695"/>
      <c r="F66" s="695"/>
      <c r="G66" s="695"/>
      <c r="H66" s="695"/>
      <c r="I66" s="695"/>
      <c r="J66" s="695"/>
      <c r="K66" s="695"/>
      <c r="L66" s="695"/>
      <c r="M66" s="699"/>
      <c r="N66" s="698"/>
      <c r="O66" s="699"/>
      <c r="P66" s="699"/>
      <c r="Q66" s="699"/>
      <c r="R66" s="698"/>
      <c r="S66" s="698"/>
      <c r="T66" s="698"/>
      <c r="U66" s="697"/>
      <c r="V66" s="697"/>
      <c r="W66" s="697"/>
      <c r="X66" s="697"/>
      <c r="Y66" s="697"/>
      <c r="Z66" s="697"/>
      <c r="AA66" s="697"/>
      <c r="AB66" s="697"/>
      <c r="AC66" s="697"/>
      <c r="AD66" s="697"/>
      <c r="AE66" s="697"/>
      <c r="AF66" s="697"/>
      <c r="AG66" s="697"/>
      <c r="AH66" s="697"/>
      <c r="AI66" s="697"/>
      <c r="AJ66" s="697"/>
      <c r="AK66" s="697"/>
      <c r="AL66" s="697"/>
      <c r="AM66" s="697"/>
      <c r="AN66" s="697"/>
      <c r="AO66" s="697"/>
      <c r="AP66" s="697"/>
      <c r="AQ66" s="697"/>
      <c r="AR66" s="697"/>
      <c r="AS66" s="697"/>
      <c r="AT66" s="697"/>
      <c r="AU66" s="697"/>
      <c r="AV66" s="697"/>
      <c r="AW66" s="697"/>
      <c r="AX66" s="697"/>
      <c r="AY66" s="697"/>
      <c r="AZ66" s="697"/>
      <c r="BA66" s="697"/>
      <c r="BB66" s="697"/>
      <c r="BC66" s="697"/>
      <c r="BD66" s="697"/>
      <c r="BE66" s="697"/>
      <c r="BF66" s="697"/>
      <c r="BG66" s="697"/>
      <c r="BH66" s="697"/>
      <c r="BI66" s="697"/>
      <c r="BJ66" s="697"/>
      <c r="BK66" s="697"/>
      <c r="BL66" s="697"/>
    </row>
    <row r="67" spans="1:64" s="696" customFormat="1" ht="15">
      <c r="A67" s="695"/>
      <c r="B67" s="695"/>
      <c r="C67" s="695"/>
      <c r="D67" s="695"/>
      <c r="E67" s="695"/>
      <c r="F67" s="695"/>
      <c r="G67" s="695"/>
      <c r="H67" s="695"/>
      <c r="I67" s="695"/>
      <c r="J67" s="695"/>
      <c r="K67" s="695"/>
      <c r="L67" s="695"/>
      <c r="M67" s="699"/>
      <c r="N67" s="698"/>
      <c r="O67" s="699"/>
      <c r="P67" s="699"/>
      <c r="Q67" s="699"/>
      <c r="R67" s="698"/>
      <c r="S67" s="698"/>
      <c r="T67" s="698"/>
      <c r="U67" s="697"/>
      <c r="V67" s="697"/>
      <c r="W67" s="697"/>
      <c r="X67" s="697"/>
      <c r="Y67" s="697"/>
      <c r="Z67" s="697"/>
      <c r="AA67" s="697"/>
      <c r="AB67" s="697"/>
      <c r="AC67" s="697"/>
      <c r="AD67" s="697"/>
      <c r="AE67" s="697"/>
      <c r="AF67" s="697"/>
      <c r="AG67" s="697"/>
      <c r="AH67" s="697"/>
      <c r="AI67" s="697"/>
      <c r="AJ67" s="697"/>
      <c r="AK67" s="697"/>
      <c r="AL67" s="697"/>
      <c r="AM67" s="697"/>
      <c r="AN67" s="697"/>
      <c r="AO67" s="697"/>
      <c r="AP67" s="697"/>
      <c r="AQ67" s="697"/>
      <c r="AR67" s="697"/>
      <c r="AS67" s="697"/>
      <c r="AT67" s="697"/>
      <c r="AU67" s="697"/>
      <c r="AV67" s="697"/>
      <c r="AW67" s="697"/>
      <c r="AX67" s="697"/>
      <c r="AY67" s="697"/>
      <c r="AZ67" s="697"/>
      <c r="BA67" s="697"/>
      <c r="BB67" s="697"/>
      <c r="BC67" s="697"/>
      <c r="BD67" s="697"/>
      <c r="BE67" s="697"/>
      <c r="BF67" s="697"/>
      <c r="BG67" s="697"/>
      <c r="BH67" s="697"/>
      <c r="BI67" s="697"/>
      <c r="BJ67" s="697"/>
      <c r="BK67" s="697"/>
      <c r="BL67" s="697"/>
    </row>
    <row r="68" spans="1:64" s="696" customFormat="1" ht="15">
      <c r="A68" s="695"/>
      <c r="B68" s="695"/>
      <c r="C68" s="695"/>
      <c r="D68" s="695"/>
      <c r="E68" s="695"/>
      <c r="F68" s="695"/>
      <c r="G68" s="695"/>
      <c r="H68" s="695"/>
      <c r="I68" s="695"/>
      <c r="J68" s="695"/>
      <c r="K68" s="695"/>
      <c r="L68" s="695"/>
      <c r="M68" s="699"/>
      <c r="N68" s="698"/>
      <c r="O68" s="699"/>
      <c r="P68" s="699"/>
      <c r="Q68" s="699"/>
      <c r="R68" s="698"/>
      <c r="S68" s="698"/>
      <c r="T68" s="698"/>
      <c r="U68" s="697"/>
      <c r="V68" s="697"/>
      <c r="W68" s="697"/>
      <c r="X68" s="697"/>
      <c r="Y68" s="697"/>
      <c r="Z68" s="697"/>
      <c r="AA68" s="697"/>
      <c r="AB68" s="697"/>
      <c r="AC68" s="697"/>
      <c r="AD68" s="697"/>
      <c r="AE68" s="697"/>
      <c r="AF68" s="697"/>
      <c r="AG68" s="697"/>
      <c r="AH68" s="697"/>
      <c r="AI68" s="697"/>
      <c r="AJ68" s="697"/>
      <c r="AK68" s="697"/>
      <c r="AL68" s="697"/>
      <c r="AM68" s="697"/>
      <c r="AN68" s="697"/>
      <c r="AO68" s="697"/>
      <c r="AP68" s="697"/>
      <c r="AQ68" s="697"/>
      <c r="AR68" s="697"/>
      <c r="AS68" s="697"/>
      <c r="AT68" s="697"/>
      <c r="AU68" s="697"/>
      <c r="AV68" s="697"/>
      <c r="AW68" s="697"/>
      <c r="AX68" s="697"/>
      <c r="AY68" s="697"/>
      <c r="AZ68" s="697"/>
      <c r="BA68" s="697"/>
      <c r="BB68" s="697"/>
      <c r="BC68" s="697"/>
      <c r="BD68" s="697"/>
      <c r="BE68" s="697"/>
      <c r="BF68" s="697"/>
      <c r="BG68" s="697"/>
      <c r="BH68" s="697"/>
      <c r="BI68" s="697"/>
      <c r="BJ68" s="697"/>
      <c r="BK68" s="697"/>
      <c r="BL68" s="697"/>
    </row>
    <row r="69" spans="1:64" s="696" customFormat="1" ht="15">
      <c r="A69" s="695"/>
      <c r="B69" s="695"/>
      <c r="C69" s="695"/>
      <c r="D69" s="695"/>
      <c r="E69" s="695"/>
      <c r="F69" s="695"/>
      <c r="G69" s="695"/>
      <c r="H69" s="695"/>
      <c r="I69" s="695"/>
      <c r="J69" s="695"/>
      <c r="K69" s="695"/>
      <c r="L69" s="695"/>
      <c r="M69" s="699"/>
      <c r="N69" s="698"/>
      <c r="O69" s="699"/>
      <c r="P69" s="699"/>
      <c r="Q69" s="699"/>
      <c r="R69" s="698"/>
      <c r="S69" s="698"/>
      <c r="T69" s="698"/>
      <c r="U69" s="697"/>
      <c r="V69" s="697"/>
      <c r="W69" s="697"/>
      <c r="X69" s="697"/>
      <c r="Y69" s="697"/>
      <c r="Z69" s="697"/>
      <c r="AA69" s="697"/>
      <c r="AB69" s="697"/>
      <c r="AC69" s="697"/>
      <c r="AD69" s="697"/>
      <c r="AE69" s="697"/>
      <c r="AF69" s="697"/>
      <c r="AG69" s="697"/>
      <c r="AH69" s="697"/>
      <c r="AI69" s="697"/>
      <c r="AJ69" s="697"/>
      <c r="AK69" s="697"/>
      <c r="AL69" s="697"/>
      <c r="AM69" s="697"/>
      <c r="AN69" s="697"/>
      <c r="AO69" s="697"/>
      <c r="AP69" s="697"/>
      <c r="AQ69" s="697"/>
      <c r="AR69" s="697"/>
      <c r="AS69" s="697"/>
      <c r="AT69" s="697"/>
      <c r="AU69" s="697"/>
      <c r="AV69" s="697"/>
      <c r="AW69" s="697"/>
      <c r="AX69" s="697"/>
      <c r="AY69" s="697"/>
      <c r="AZ69" s="697"/>
      <c r="BA69" s="697"/>
      <c r="BB69" s="697"/>
      <c r="BC69" s="697"/>
      <c r="BD69" s="697"/>
      <c r="BE69" s="697"/>
      <c r="BF69" s="697"/>
      <c r="BG69" s="697"/>
      <c r="BH69" s="697"/>
      <c r="BI69" s="697"/>
      <c r="BJ69" s="697"/>
      <c r="BK69" s="697"/>
      <c r="BL69" s="697"/>
    </row>
    <row r="70" spans="1:64" s="696" customFormat="1" ht="15">
      <c r="A70" s="695"/>
      <c r="B70" s="695"/>
      <c r="C70" s="695"/>
      <c r="D70" s="695"/>
      <c r="E70" s="695"/>
      <c r="F70" s="695"/>
      <c r="G70" s="695"/>
      <c r="H70" s="695"/>
      <c r="I70" s="695"/>
      <c r="J70" s="695"/>
      <c r="K70" s="695"/>
      <c r="L70" s="695"/>
      <c r="M70" s="699"/>
      <c r="N70" s="698"/>
      <c r="O70" s="699"/>
      <c r="P70" s="699"/>
      <c r="Q70" s="699"/>
      <c r="R70" s="698"/>
      <c r="S70" s="698"/>
      <c r="T70" s="698"/>
      <c r="U70" s="697"/>
      <c r="V70" s="697"/>
      <c r="W70" s="697"/>
      <c r="X70" s="697"/>
      <c r="Y70" s="697"/>
      <c r="Z70" s="697"/>
      <c r="AA70" s="697"/>
      <c r="AB70" s="697"/>
      <c r="AC70" s="697"/>
      <c r="AD70" s="697"/>
      <c r="AE70" s="697"/>
      <c r="AF70" s="697"/>
      <c r="AG70" s="697"/>
      <c r="AH70" s="697"/>
      <c r="AI70" s="697"/>
      <c r="AJ70" s="697"/>
      <c r="AK70" s="697"/>
      <c r="AL70" s="697"/>
      <c r="AM70" s="697"/>
      <c r="AN70" s="697"/>
      <c r="AO70" s="697"/>
      <c r="AP70" s="697"/>
      <c r="AQ70" s="697"/>
      <c r="AR70" s="697"/>
      <c r="AS70" s="697"/>
      <c r="AT70" s="697"/>
      <c r="AU70" s="697"/>
      <c r="AV70" s="697"/>
      <c r="AW70" s="697"/>
      <c r="AX70" s="697"/>
      <c r="AY70" s="697"/>
      <c r="AZ70" s="697"/>
      <c r="BA70" s="697"/>
      <c r="BB70" s="697"/>
      <c r="BC70" s="697"/>
      <c r="BD70" s="697"/>
      <c r="BE70" s="697"/>
      <c r="BF70" s="697"/>
      <c r="BG70" s="697"/>
      <c r="BH70" s="697"/>
      <c r="BI70" s="697"/>
      <c r="BJ70" s="697"/>
      <c r="BK70" s="697"/>
      <c r="BL70" s="697"/>
    </row>
    <row r="71" spans="1:64" s="696" customFormat="1" ht="15">
      <c r="A71" s="695"/>
      <c r="B71" s="695"/>
      <c r="C71" s="695"/>
      <c r="D71" s="695"/>
      <c r="E71" s="695"/>
      <c r="F71" s="695"/>
      <c r="G71" s="695"/>
      <c r="H71" s="695"/>
      <c r="I71" s="695"/>
      <c r="J71" s="695"/>
      <c r="K71" s="695"/>
      <c r="L71" s="695"/>
      <c r="M71" s="699"/>
      <c r="N71" s="698"/>
      <c r="O71" s="699"/>
      <c r="P71" s="699"/>
      <c r="Q71" s="699"/>
      <c r="R71" s="698"/>
      <c r="S71" s="698"/>
      <c r="T71" s="698"/>
      <c r="U71" s="697"/>
      <c r="V71" s="697"/>
      <c r="W71" s="697"/>
      <c r="X71" s="697"/>
      <c r="Y71" s="697"/>
      <c r="Z71" s="697"/>
      <c r="AA71" s="697"/>
      <c r="AB71" s="697"/>
      <c r="AC71" s="697"/>
      <c r="AD71" s="697"/>
      <c r="AE71" s="697"/>
      <c r="AF71" s="697"/>
      <c r="AG71" s="697"/>
      <c r="AH71" s="697"/>
      <c r="AI71" s="697"/>
      <c r="AJ71" s="697"/>
      <c r="AK71" s="697"/>
      <c r="AL71" s="697"/>
      <c r="AM71" s="697"/>
      <c r="AN71" s="697"/>
      <c r="AO71" s="697"/>
      <c r="AP71" s="697"/>
      <c r="AQ71" s="697"/>
      <c r="AR71" s="697"/>
      <c r="AS71" s="697"/>
      <c r="AT71" s="697"/>
      <c r="AU71" s="697"/>
      <c r="AV71" s="697"/>
      <c r="AW71" s="697"/>
      <c r="AX71" s="697"/>
      <c r="AY71" s="697"/>
      <c r="AZ71" s="697"/>
      <c r="BA71" s="697"/>
      <c r="BB71" s="697"/>
      <c r="BC71" s="697"/>
      <c r="BD71" s="697"/>
      <c r="BE71" s="697"/>
      <c r="BF71" s="697"/>
      <c r="BG71" s="697"/>
      <c r="BH71" s="697"/>
      <c r="BI71" s="697"/>
      <c r="BJ71" s="697"/>
      <c r="BK71" s="697"/>
      <c r="BL71" s="697"/>
    </row>
    <row r="72" spans="1:64" ht="15">
      <c r="A72"/>
      <c r="B72"/>
      <c r="C72"/>
      <c r="D72"/>
      <c r="E72"/>
      <c r="F72"/>
      <c r="G72"/>
      <c r="H72" s="659" t="str">
        <f>H1</f>
        <v>Attachment O-EIA Non-Levelized Generic</v>
      </c>
      <c r="I72"/>
      <c r="J72"/>
      <c r="K72"/>
      <c r="L72"/>
      <c r="M72" s="296"/>
      <c r="N72" s="295"/>
      <c r="O72" s="296"/>
      <c r="P72" s="296"/>
      <c r="Q72" s="296"/>
      <c r="R72" s="295"/>
      <c r="S72" s="295"/>
      <c r="T72" s="295"/>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row>
    <row r="73" spans="1:64" ht="15">
      <c r="B73" s="276"/>
      <c r="C73" s="276"/>
      <c r="D73" s="280"/>
      <c r="E73" s="276"/>
      <c r="F73" s="276"/>
      <c r="G73" s="276"/>
      <c r="H73" s="277"/>
      <c r="I73" s="277"/>
      <c r="J73" s="277"/>
      <c r="K73" s="738" t="s">
        <v>716</v>
      </c>
      <c r="L73" s="738"/>
      <c r="M73" s="296"/>
      <c r="N73" s="295"/>
      <c r="O73" s="296"/>
      <c r="P73" s="296"/>
      <c r="Q73" s="296"/>
      <c r="R73" s="295"/>
      <c r="S73" s="295"/>
      <c r="T73" s="295"/>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row>
    <row r="74" spans="1:64" ht="15">
      <c r="B74" s="277"/>
      <c r="C74" s="277"/>
      <c r="D74" s="277"/>
      <c r="E74" s="277"/>
      <c r="F74" s="277"/>
      <c r="G74" s="277"/>
      <c r="H74" s="277"/>
      <c r="I74" s="277"/>
      <c r="J74" s="277"/>
      <c r="K74" s="277"/>
      <c r="L74" s="278"/>
      <c r="M74" s="296"/>
      <c r="N74" s="295"/>
      <c r="O74" s="296"/>
      <c r="P74" s="296"/>
      <c r="Q74" s="296"/>
      <c r="R74" s="295"/>
      <c r="S74" s="295"/>
      <c r="T74" s="295"/>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row>
    <row r="75" spans="1:64" ht="15">
      <c r="B75" s="276" t="str">
        <f>B4</f>
        <v xml:space="preserve">Formula Rate - Non-Levelized </v>
      </c>
      <c r="C75" s="276"/>
      <c r="D75" s="280" t="str">
        <f>D4</f>
        <v xml:space="preserve">   Rate Formula Template</v>
      </c>
      <c r="E75" s="276"/>
      <c r="F75" s="276"/>
      <c r="G75" s="276"/>
      <c r="H75" s="276"/>
      <c r="I75" s="276" t="str">
        <f>I4</f>
        <v>For the 12 months ended 12/31/14</v>
      </c>
      <c r="J75" s="276"/>
      <c r="K75" s="276"/>
      <c r="L75" s="318"/>
      <c r="M75" s="296"/>
      <c r="N75" s="295"/>
      <c r="O75" s="296"/>
      <c r="P75" s="296"/>
      <c r="Q75" s="296"/>
      <c r="R75" s="295"/>
      <c r="S75" s="295"/>
      <c r="T75" s="295"/>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row>
    <row r="76" spans="1:64" ht="15">
      <c r="B76" s="276"/>
      <c r="C76" s="283" t="s">
        <v>669</v>
      </c>
      <c r="D76" s="283" t="str">
        <f>D5</f>
        <v>Utilizing EIA 412 Form Data</v>
      </c>
      <c r="E76" s="283"/>
      <c r="F76" s="283"/>
      <c r="G76" s="283"/>
      <c r="H76" s="283"/>
      <c r="I76" s="283"/>
      <c r="J76" s="283"/>
      <c r="K76" s="283"/>
      <c r="L76" s="320"/>
      <c r="M76" s="296"/>
      <c r="N76" s="295"/>
      <c r="O76" s="296"/>
      <c r="P76" s="296"/>
      <c r="Q76" s="296"/>
      <c r="R76" s="295"/>
      <c r="S76" s="295"/>
      <c r="T76" s="295"/>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row>
    <row r="77" spans="1:64" ht="15">
      <c r="B77" s="276"/>
      <c r="C77" s="283" t="s">
        <v>669</v>
      </c>
      <c r="D77" s="283" t="s">
        <v>669</v>
      </c>
      <c r="E77" s="283"/>
      <c r="F77" s="283"/>
      <c r="G77" s="283" t="s">
        <v>669</v>
      </c>
      <c r="H77" s="283"/>
      <c r="I77" s="283"/>
      <c r="J77" s="283"/>
      <c r="K77" s="283"/>
      <c r="L77" s="320"/>
      <c r="M77" s="296"/>
      <c r="N77" s="295"/>
      <c r="O77" s="296"/>
      <c r="P77" s="296"/>
      <c r="Q77" s="296"/>
      <c r="R77" s="295"/>
      <c r="S77" s="295"/>
      <c r="T77" s="295"/>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row>
    <row r="78" spans="1:64" ht="15">
      <c r="B78" s="276"/>
      <c r="C78" s="277"/>
      <c r="D78" s="283" t="str">
        <f>D7</f>
        <v>Elk River</v>
      </c>
      <c r="E78" s="283"/>
      <c r="F78" s="283"/>
      <c r="G78" s="283"/>
      <c r="H78" s="283"/>
      <c r="I78" s="283"/>
      <c r="J78" s="283"/>
      <c r="K78" s="283"/>
      <c r="L78" s="320"/>
      <c r="M78" s="296"/>
      <c r="N78" s="295"/>
      <c r="O78" s="296"/>
      <c r="P78" s="296"/>
      <c r="Q78" s="296"/>
      <c r="R78" s="295"/>
      <c r="S78" s="295"/>
      <c r="T78" s="295"/>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row>
    <row r="79" spans="1:64" ht="15">
      <c r="B79" s="281" t="s">
        <v>717</v>
      </c>
      <c r="C79" s="281" t="s">
        <v>718</v>
      </c>
      <c r="D79" s="281" t="s">
        <v>719</v>
      </c>
      <c r="E79" s="283" t="s">
        <v>669</v>
      </c>
      <c r="F79" s="283"/>
      <c r="G79" s="322" t="s">
        <v>720</v>
      </c>
      <c r="H79" s="283"/>
      <c r="I79" s="323" t="s">
        <v>721</v>
      </c>
      <c r="J79" s="283"/>
      <c r="K79" s="281"/>
      <c r="L79" s="320"/>
      <c r="M79" s="296"/>
      <c r="N79" s="295"/>
      <c r="O79" s="319"/>
      <c r="P79" s="319"/>
      <c r="Q79" s="319"/>
      <c r="R79" s="295"/>
      <c r="S79" s="295"/>
      <c r="T79" s="295"/>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row>
    <row r="80" spans="1:64" ht="15.75">
      <c r="A80" s="284" t="s">
        <v>671</v>
      </c>
      <c r="B80" s="276"/>
      <c r="C80" s="325" t="s">
        <v>722</v>
      </c>
      <c r="D80" s="283"/>
      <c r="E80" s="283"/>
      <c r="F80" s="283"/>
      <c r="G80" s="281"/>
      <c r="H80" s="283"/>
      <c r="I80" s="326" t="s">
        <v>397</v>
      </c>
      <c r="J80" s="283"/>
      <c r="K80" s="281"/>
      <c r="L80" s="320"/>
      <c r="M80" s="296"/>
      <c r="N80" s="295"/>
      <c r="O80" s="296"/>
      <c r="P80" s="321"/>
      <c r="Q80" s="319"/>
      <c r="R80" s="295"/>
      <c r="S80" s="295"/>
      <c r="T80" s="295"/>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279"/>
      <c r="BK80" s="279"/>
      <c r="BL80" s="279"/>
    </row>
    <row r="81" spans="1:64" ht="16.5" thickBot="1">
      <c r="A81" s="288" t="s">
        <v>673</v>
      </c>
      <c r="B81" s="330" t="s">
        <v>727</v>
      </c>
      <c r="C81" s="327" t="s">
        <v>723</v>
      </c>
      <c r="D81" s="326" t="s">
        <v>724</v>
      </c>
      <c r="E81" s="328"/>
      <c r="F81" s="326" t="s">
        <v>725</v>
      </c>
      <c r="G81" s="300"/>
      <c r="H81" s="328"/>
      <c r="I81" s="329" t="s">
        <v>726</v>
      </c>
      <c r="J81" s="283"/>
      <c r="K81" s="281"/>
      <c r="L81" s="278"/>
      <c r="M81" s="319"/>
      <c r="N81" s="295"/>
      <c r="O81" s="321"/>
      <c r="P81" s="321"/>
      <c r="Q81" s="319"/>
      <c r="R81" s="295"/>
      <c r="S81" s="295"/>
      <c r="T81" s="295"/>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row>
    <row r="82" spans="1:64" ht="15">
      <c r="A82" s="284"/>
      <c r="B82" s="276" t="s">
        <v>795</v>
      </c>
      <c r="C82" s="283"/>
      <c r="D82" s="283"/>
      <c r="E82" s="283"/>
      <c r="F82" s="283"/>
      <c r="G82" s="283"/>
      <c r="H82" s="283"/>
      <c r="I82" s="283"/>
      <c r="J82" s="283"/>
      <c r="K82" s="283"/>
      <c r="L82" s="278"/>
      <c r="M82" s="319"/>
      <c r="N82" s="295"/>
      <c r="O82" s="324"/>
      <c r="P82" s="324"/>
      <c r="Q82" s="319"/>
      <c r="R82" s="295"/>
      <c r="S82" s="295"/>
      <c r="T82" s="295"/>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279"/>
      <c r="BI82" s="279"/>
      <c r="BJ82" s="279"/>
      <c r="BK82" s="279"/>
      <c r="BL82" s="279"/>
    </row>
    <row r="83" spans="1:64" ht="15">
      <c r="A83" s="284">
        <v>1</v>
      </c>
      <c r="B83" s="276" t="s">
        <v>728</v>
      </c>
      <c r="C83" s="283" t="s">
        <v>729</v>
      </c>
      <c r="D83" s="331">
        <f>'EIA 412 ELECTRIC PLANT'!G16</f>
        <v>3832473</v>
      </c>
      <c r="E83" s="283"/>
      <c r="F83" s="283" t="s">
        <v>730</v>
      </c>
      <c r="G83" s="332" t="s">
        <v>669</v>
      </c>
      <c r="H83" s="283"/>
      <c r="I83" s="283" t="s">
        <v>669</v>
      </c>
      <c r="J83" s="283"/>
      <c r="K83" s="283"/>
      <c r="L83" s="278"/>
      <c r="M83" s="319"/>
      <c r="N83" s="295"/>
      <c r="O83" s="324"/>
      <c r="P83" s="324"/>
      <c r="Q83" s="319"/>
      <c r="R83" s="295"/>
      <c r="S83" s="295"/>
      <c r="T83" s="295"/>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79"/>
      <c r="BJ83" s="279"/>
      <c r="BK83" s="279"/>
      <c r="BL83" s="279"/>
    </row>
    <row r="84" spans="1:64" ht="15">
      <c r="A84" s="284">
        <v>2</v>
      </c>
      <c r="B84" s="276" t="s">
        <v>731</v>
      </c>
      <c r="C84" s="283" t="s">
        <v>732</v>
      </c>
      <c r="D84" s="331">
        <f>'EIA 412 ELECTRIC PLANT'!G18</f>
        <v>710988</v>
      </c>
      <c r="E84" s="283"/>
      <c r="F84" s="283" t="s">
        <v>680</v>
      </c>
      <c r="G84" s="332">
        <f>I220</f>
        <v>1</v>
      </c>
      <c r="H84" s="283"/>
      <c r="I84" s="283">
        <f>+G84*D84</f>
        <v>710988</v>
      </c>
      <c r="J84" s="283"/>
      <c r="K84" s="283"/>
      <c r="L84" s="278"/>
      <c r="M84" s="319"/>
      <c r="N84" s="295"/>
      <c r="O84" s="321"/>
      <c r="P84" s="321"/>
      <c r="Q84" s="319"/>
      <c r="R84" s="295"/>
      <c r="S84" s="295"/>
      <c r="T84" s="295"/>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9"/>
      <c r="BH84" s="279"/>
      <c r="BI84" s="279"/>
      <c r="BJ84" s="279"/>
      <c r="BK84" s="279"/>
      <c r="BL84" s="279"/>
    </row>
    <row r="85" spans="1:64" ht="15">
      <c r="A85" s="284">
        <v>3</v>
      </c>
      <c r="B85" s="276" t="s">
        <v>733</v>
      </c>
      <c r="C85" s="283" t="s">
        <v>734</v>
      </c>
      <c r="D85" s="331">
        <f>'EIA 412 ELECTRIC PLANT'!G19</f>
        <v>36058427</v>
      </c>
      <c r="E85" s="283"/>
      <c r="F85" s="283" t="s">
        <v>730</v>
      </c>
      <c r="G85" s="332" t="s">
        <v>669</v>
      </c>
      <c r="H85" s="283"/>
      <c r="I85" s="283" t="s">
        <v>669</v>
      </c>
      <c r="J85" s="283"/>
      <c r="K85" s="283"/>
      <c r="L85" s="278"/>
      <c r="M85" s="319"/>
      <c r="N85" s="295"/>
      <c r="O85" s="321"/>
      <c r="P85" s="321"/>
      <c r="Q85" s="319"/>
      <c r="R85" s="295"/>
      <c r="S85" s="295"/>
      <c r="T85" s="295"/>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row>
    <row r="86" spans="1:64" ht="15">
      <c r="A86" s="284">
        <v>4</v>
      </c>
      <c r="B86" s="276" t="s">
        <v>735</v>
      </c>
      <c r="C86" s="283" t="s">
        <v>796</v>
      </c>
      <c r="D86" s="331">
        <f>'EIA 412 ELECTRIC PLANT'!G20</f>
        <v>6058878</v>
      </c>
      <c r="E86" s="283"/>
      <c r="F86" s="283" t="s">
        <v>736</v>
      </c>
      <c r="G86" s="332">
        <f>I236</f>
        <v>1.1640545132496561E-2</v>
      </c>
      <c r="H86" s="283"/>
      <c r="I86" s="283">
        <f>+G86*D86</f>
        <v>70528.642811290498</v>
      </c>
      <c r="J86" s="283"/>
      <c r="K86" s="283"/>
      <c r="L86" s="320"/>
      <c r="M86" s="319"/>
      <c r="N86" s="295"/>
      <c r="O86" s="321"/>
      <c r="P86" s="321"/>
      <c r="Q86" s="319"/>
      <c r="R86" s="295"/>
      <c r="S86" s="295"/>
      <c r="T86" s="295"/>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row>
    <row r="87" spans="1:64" ht="15.75" thickBot="1">
      <c r="A87" s="284">
        <v>5</v>
      </c>
      <c r="B87" s="276" t="s">
        <v>737</v>
      </c>
      <c r="C87" s="283"/>
      <c r="D87" s="333">
        <v>0</v>
      </c>
      <c r="E87" s="283"/>
      <c r="F87" s="283" t="s">
        <v>738</v>
      </c>
      <c r="G87" s="332">
        <f>K240</f>
        <v>1.1640545132496561E-2</v>
      </c>
      <c r="H87" s="283"/>
      <c r="I87" s="298">
        <f>+G87*D87</f>
        <v>0</v>
      </c>
      <c r="J87" s="283"/>
      <c r="K87" s="283"/>
      <c r="L87" s="320"/>
      <c r="M87" s="319"/>
      <c r="N87" s="295"/>
      <c r="O87" s="294"/>
      <c r="P87" s="321"/>
      <c r="Q87" s="319"/>
      <c r="R87" s="295"/>
      <c r="S87" s="295"/>
      <c r="T87" s="295"/>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79"/>
      <c r="BI87" s="279"/>
      <c r="BJ87" s="279"/>
      <c r="BK87" s="279"/>
      <c r="BL87" s="279"/>
    </row>
    <row r="88" spans="1:64" ht="15">
      <c r="A88" s="284">
        <v>6</v>
      </c>
      <c r="B88" s="276" t="s">
        <v>739</v>
      </c>
      <c r="C88" s="283"/>
      <c r="D88" s="283">
        <f>SUM(D83:D87)</f>
        <v>46660766</v>
      </c>
      <c r="E88" s="283"/>
      <c r="F88" s="283" t="s">
        <v>740</v>
      </c>
      <c r="G88" s="334">
        <f>IF(I88&gt;0,I88/D88,0)</f>
        <v>1.6748902982246166E-2</v>
      </c>
      <c r="H88" s="283"/>
      <c r="I88" s="283">
        <f>SUM(I83:I87)</f>
        <v>781516.64281129045</v>
      </c>
      <c r="J88" s="283"/>
      <c r="K88" s="334"/>
      <c r="L88" s="278"/>
      <c r="M88" s="319"/>
      <c r="N88" s="295"/>
      <c r="O88" s="294"/>
      <c r="P88" s="321"/>
      <c r="Q88" s="319"/>
      <c r="R88" s="295"/>
      <c r="S88" s="295"/>
      <c r="T88" s="295"/>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row>
    <row r="89" spans="1:64" ht="15">
      <c r="B89" s="276"/>
      <c r="C89" s="283"/>
      <c r="D89" s="283"/>
      <c r="E89" s="283"/>
      <c r="F89" s="283"/>
      <c r="G89" s="334"/>
      <c r="H89" s="283"/>
      <c r="I89" s="283"/>
      <c r="J89" s="283"/>
      <c r="K89" s="334"/>
      <c r="L89" s="278"/>
      <c r="M89" s="319"/>
      <c r="N89" s="295"/>
      <c r="O89" s="294"/>
      <c r="P89" s="321"/>
      <c r="Q89" s="319"/>
      <c r="R89" s="295"/>
      <c r="S89" s="295"/>
      <c r="T89" s="295"/>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row>
    <row r="90" spans="1:64" ht="15">
      <c r="B90" s="276" t="s">
        <v>797</v>
      </c>
      <c r="C90" s="283"/>
      <c r="D90" s="283"/>
      <c r="E90" s="283"/>
      <c r="F90" s="283"/>
      <c r="G90" s="283"/>
      <c r="H90" s="283"/>
      <c r="I90" s="283"/>
      <c r="J90" s="283"/>
      <c r="K90" s="283"/>
      <c r="L90" s="278"/>
      <c r="M90" s="319"/>
      <c r="N90" s="295"/>
      <c r="O90" s="294"/>
      <c r="P90" s="324"/>
      <c r="Q90" s="319"/>
      <c r="R90" s="295"/>
      <c r="S90" s="295"/>
      <c r="T90" s="295"/>
      <c r="U90" s="279"/>
      <c r="V90" s="279"/>
      <c r="W90" s="279"/>
      <c r="X90" s="279"/>
      <c r="Y90" s="279"/>
      <c r="Z90" s="279"/>
      <c r="AA90" s="279"/>
      <c r="AB90" s="279"/>
      <c r="AC90" s="279"/>
      <c r="AD90" s="279"/>
      <c r="AE90" s="279"/>
      <c r="AF90" s="279"/>
      <c r="AG90" s="279"/>
      <c r="AH90" s="279"/>
      <c r="AI90" s="279"/>
      <c r="AJ90" s="279"/>
      <c r="AK90" s="279"/>
      <c r="AL90" s="279"/>
      <c r="AM90" s="279"/>
      <c r="AN90" s="279"/>
      <c r="AO90" s="279"/>
      <c r="AP90" s="279"/>
      <c r="AQ90" s="279"/>
      <c r="AR90" s="279"/>
      <c r="AS90" s="279"/>
      <c r="AT90" s="279"/>
      <c r="AU90" s="279"/>
      <c r="AV90" s="279"/>
      <c r="AW90" s="279"/>
      <c r="AX90" s="279"/>
      <c r="AY90" s="279"/>
      <c r="AZ90" s="279"/>
      <c r="BA90" s="279"/>
      <c r="BB90" s="279"/>
      <c r="BC90" s="279"/>
      <c r="BD90" s="279"/>
      <c r="BE90" s="279"/>
      <c r="BF90" s="279"/>
      <c r="BG90" s="279"/>
      <c r="BH90" s="279"/>
      <c r="BI90" s="279"/>
      <c r="BJ90" s="279"/>
      <c r="BK90" s="279"/>
      <c r="BL90" s="279"/>
    </row>
    <row r="91" spans="1:64" ht="15">
      <c r="A91" s="284">
        <v>7</v>
      </c>
      <c r="B91" s="276" t="str">
        <f>+B83</f>
        <v xml:space="preserve">  Production</v>
      </c>
      <c r="C91" s="300"/>
      <c r="D91" s="335">
        <f>'EIA 412 ELECTRIC PLANT'!I16</f>
        <v>2079395</v>
      </c>
      <c r="E91" s="283"/>
      <c r="F91" s="283" t="str">
        <f t="shared" ref="F91:G95" si="0">+F83</f>
        <v>NA</v>
      </c>
      <c r="G91" s="332" t="str">
        <f t="shared" si="0"/>
        <v xml:space="preserve"> </v>
      </c>
      <c r="H91" s="283"/>
      <c r="I91" s="283" t="s">
        <v>669</v>
      </c>
      <c r="J91" s="283"/>
      <c r="K91" s="283"/>
      <c r="L91" s="278"/>
      <c r="M91" s="319"/>
      <c r="N91" s="295"/>
      <c r="O91" s="294"/>
      <c r="P91" s="324"/>
      <c r="Q91" s="319"/>
      <c r="R91" s="295"/>
      <c r="S91" s="295"/>
      <c r="T91" s="295"/>
      <c r="U91" s="279"/>
      <c r="V91" s="279"/>
      <c r="W91" s="279"/>
      <c r="X91" s="279"/>
      <c r="Y91" s="279"/>
      <c r="Z91" s="279"/>
      <c r="AA91" s="279"/>
      <c r="AB91" s="279"/>
      <c r="AC91" s="279"/>
      <c r="AD91" s="279"/>
      <c r="AE91" s="279"/>
      <c r="AF91" s="279"/>
      <c r="AG91" s="279"/>
      <c r="AH91" s="279"/>
      <c r="AI91" s="279"/>
      <c r="AJ91" s="279"/>
      <c r="AK91" s="279"/>
      <c r="AL91" s="279"/>
      <c r="AM91" s="279"/>
      <c r="AN91" s="279"/>
      <c r="AO91" s="279"/>
      <c r="AP91" s="279"/>
      <c r="AQ91" s="279"/>
      <c r="AR91" s="279"/>
      <c r="AS91" s="279"/>
      <c r="AT91" s="279"/>
      <c r="AU91" s="279"/>
      <c r="AV91" s="279"/>
      <c r="AW91" s="279"/>
      <c r="AX91" s="279"/>
      <c r="AY91" s="279"/>
      <c r="AZ91" s="279"/>
      <c r="BA91" s="279"/>
      <c r="BB91" s="279"/>
      <c r="BC91" s="279"/>
      <c r="BD91" s="279"/>
      <c r="BE91" s="279"/>
      <c r="BF91" s="279"/>
      <c r="BG91" s="279"/>
      <c r="BH91" s="279"/>
      <c r="BI91" s="279"/>
      <c r="BJ91" s="279"/>
      <c r="BK91" s="279"/>
      <c r="BL91" s="279"/>
    </row>
    <row r="92" spans="1:64" ht="15">
      <c r="A92" s="284">
        <v>8</v>
      </c>
      <c r="B92" s="276" t="str">
        <f>+B84</f>
        <v xml:space="preserve">  Transmission</v>
      </c>
      <c r="C92" s="300"/>
      <c r="D92" s="335">
        <f>'EIA 412 ELECTRIC PLANT'!I18</f>
        <v>242228</v>
      </c>
      <c r="E92" s="283"/>
      <c r="F92" s="283" t="str">
        <f t="shared" si="0"/>
        <v>TP</v>
      </c>
      <c r="G92" s="332">
        <f t="shared" si="0"/>
        <v>1</v>
      </c>
      <c r="H92" s="283"/>
      <c r="I92" s="283">
        <f>+G92*D92</f>
        <v>242228</v>
      </c>
      <c r="J92" s="283"/>
      <c r="K92" s="283"/>
      <c r="L92" s="278"/>
      <c r="M92" s="319"/>
      <c r="N92" s="295"/>
      <c r="O92" s="321"/>
      <c r="P92" s="321"/>
      <c r="Q92" s="319"/>
      <c r="R92" s="295"/>
      <c r="S92" s="295"/>
      <c r="T92" s="295"/>
      <c r="U92" s="279"/>
      <c r="V92" s="279"/>
      <c r="W92" s="279"/>
      <c r="X92" s="279"/>
      <c r="Y92" s="279"/>
      <c r="Z92" s="279"/>
      <c r="AA92" s="279"/>
      <c r="AB92" s="279"/>
      <c r="AC92" s="279"/>
      <c r="AD92" s="279"/>
      <c r="AE92" s="279"/>
      <c r="AF92" s="279"/>
      <c r="AG92" s="279"/>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9"/>
      <c r="BG92" s="279"/>
      <c r="BH92" s="279"/>
      <c r="BI92" s="279"/>
      <c r="BJ92" s="279"/>
      <c r="BK92" s="279"/>
      <c r="BL92" s="279"/>
    </row>
    <row r="93" spans="1:64" ht="15">
      <c r="A93" s="284">
        <v>9</v>
      </c>
      <c r="B93" s="276" t="str">
        <f>+B85</f>
        <v xml:space="preserve">  Distribution</v>
      </c>
      <c r="C93" s="300"/>
      <c r="D93" s="335">
        <f>'EIA 412 ELECTRIC PLANT'!I19</f>
        <v>14998501</v>
      </c>
      <c r="E93" s="283"/>
      <c r="F93" s="283" t="str">
        <f t="shared" si="0"/>
        <v>NA</v>
      </c>
      <c r="G93" s="332" t="str">
        <f t="shared" si="0"/>
        <v xml:space="preserve"> </v>
      </c>
      <c r="H93" s="283"/>
      <c r="I93" s="283" t="s">
        <v>669</v>
      </c>
      <c r="J93" s="283"/>
      <c r="K93" s="283"/>
      <c r="L93" s="278"/>
      <c r="M93" s="319"/>
      <c r="N93" s="295"/>
      <c r="O93" s="321"/>
      <c r="P93" s="321"/>
      <c r="Q93" s="319"/>
      <c r="R93" s="295"/>
      <c r="S93" s="295"/>
      <c r="T93" s="295"/>
      <c r="U93" s="279"/>
      <c r="V93" s="279"/>
      <c r="W93" s="279"/>
      <c r="X93" s="279"/>
      <c r="Y93" s="279"/>
      <c r="Z93" s="279"/>
      <c r="AA93" s="279"/>
      <c r="AB93" s="279"/>
      <c r="AC93" s="279"/>
      <c r="AD93" s="279"/>
      <c r="AE93" s="279"/>
      <c r="AF93" s="279"/>
      <c r="AG93" s="279"/>
      <c r="AH93" s="279"/>
      <c r="AI93" s="279"/>
      <c r="AJ93" s="279"/>
      <c r="AK93" s="279"/>
      <c r="AL93" s="279"/>
      <c r="AM93" s="279"/>
      <c r="AN93" s="279"/>
      <c r="AO93" s="279"/>
      <c r="AP93" s="279"/>
      <c r="AQ93" s="279"/>
      <c r="AR93" s="279"/>
      <c r="AS93" s="279"/>
      <c r="AT93" s="279"/>
      <c r="AU93" s="279"/>
      <c r="AV93" s="279"/>
      <c r="AW93" s="279"/>
      <c r="AX93" s="279"/>
      <c r="AY93" s="279"/>
      <c r="AZ93" s="279"/>
      <c r="BA93" s="279"/>
      <c r="BB93" s="279"/>
      <c r="BC93" s="279"/>
      <c r="BD93" s="279"/>
      <c r="BE93" s="279"/>
      <c r="BF93" s="279"/>
      <c r="BG93" s="279"/>
      <c r="BH93" s="279"/>
      <c r="BI93" s="279"/>
      <c r="BJ93" s="279"/>
      <c r="BK93" s="279"/>
      <c r="BL93" s="279"/>
    </row>
    <row r="94" spans="1:64" ht="15">
      <c r="A94" s="284">
        <v>10</v>
      </c>
      <c r="B94" s="276" t="str">
        <f>+B86</f>
        <v xml:space="preserve">  General &amp; Intangible</v>
      </c>
      <c r="C94" s="300"/>
      <c r="D94" s="335">
        <f>'EIA 412 ELECTRIC PLANT'!I20</f>
        <v>2717926</v>
      </c>
      <c r="E94" s="283"/>
      <c r="F94" s="283" t="str">
        <f t="shared" si="0"/>
        <v>W/S</v>
      </c>
      <c r="G94" s="332">
        <f t="shared" si="0"/>
        <v>1.1640545132496561E-2</v>
      </c>
      <c r="H94" s="283"/>
      <c r="I94" s="283">
        <f>+G94*D94</f>
        <v>31638.140269785847</v>
      </c>
      <c r="J94" s="283"/>
      <c r="K94" s="283"/>
      <c r="L94" s="278"/>
      <c r="M94" s="319"/>
      <c r="N94" s="295"/>
      <c r="O94" s="321"/>
      <c r="P94" s="321"/>
      <c r="Q94" s="319"/>
      <c r="R94" s="295"/>
      <c r="S94" s="295"/>
      <c r="T94" s="295"/>
      <c r="U94" s="279"/>
      <c r="V94" s="279"/>
      <c r="W94" s="279"/>
      <c r="X94" s="279"/>
      <c r="Y94" s="279"/>
      <c r="Z94" s="279"/>
      <c r="AA94" s="279"/>
      <c r="AB94" s="279"/>
      <c r="AC94" s="279"/>
      <c r="AD94" s="279"/>
      <c r="AE94" s="279"/>
      <c r="AF94" s="279"/>
      <c r="AG94" s="279"/>
      <c r="AH94" s="279"/>
      <c r="AI94" s="279"/>
      <c r="AJ94" s="279"/>
      <c r="AK94" s="279"/>
      <c r="AL94" s="279"/>
      <c r="AM94" s="279"/>
      <c r="AN94" s="279"/>
      <c r="AO94" s="279"/>
      <c r="AP94" s="279"/>
      <c r="AQ94" s="279"/>
      <c r="AR94" s="279"/>
      <c r="AS94" s="279"/>
      <c r="AT94" s="279"/>
      <c r="AU94" s="279"/>
      <c r="AV94" s="279"/>
      <c r="AW94" s="279"/>
      <c r="AX94" s="279"/>
      <c r="AY94" s="279"/>
      <c r="AZ94" s="279"/>
      <c r="BA94" s="279"/>
      <c r="BB94" s="279"/>
      <c r="BC94" s="279"/>
      <c r="BD94" s="279"/>
      <c r="BE94" s="279"/>
      <c r="BF94" s="279"/>
      <c r="BG94" s="279"/>
      <c r="BH94" s="279"/>
      <c r="BI94" s="279"/>
      <c r="BJ94" s="279"/>
      <c r="BK94" s="279"/>
      <c r="BL94" s="279"/>
    </row>
    <row r="95" spans="1:64" ht="15.75" thickBot="1">
      <c r="A95" s="284">
        <v>11</v>
      </c>
      <c r="B95" s="276" t="str">
        <f>+B87</f>
        <v xml:space="preserve">  Common</v>
      </c>
      <c r="C95" s="283"/>
      <c r="D95" s="333">
        <v>0</v>
      </c>
      <c r="E95" s="283"/>
      <c r="F95" s="283" t="str">
        <f t="shared" si="0"/>
        <v>CE</v>
      </c>
      <c r="G95" s="332">
        <f t="shared" si="0"/>
        <v>1.1640545132496561E-2</v>
      </c>
      <c r="H95" s="283"/>
      <c r="I95" s="298">
        <f>+G95*D95</f>
        <v>0</v>
      </c>
      <c r="J95" s="283"/>
      <c r="K95" s="283"/>
      <c r="L95" s="278"/>
      <c r="M95" s="319"/>
      <c r="N95" s="295"/>
      <c r="O95" s="321"/>
      <c r="P95" s="321"/>
      <c r="Q95" s="319"/>
      <c r="R95" s="295"/>
      <c r="S95" s="295"/>
      <c r="T95" s="295"/>
      <c r="U95" s="279"/>
      <c r="V95" s="279"/>
      <c r="W95" s="279"/>
      <c r="X95" s="279"/>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79"/>
      <c r="AU95" s="279"/>
      <c r="AV95" s="279"/>
      <c r="AW95" s="279"/>
      <c r="AX95" s="279"/>
      <c r="AY95" s="279"/>
      <c r="AZ95" s="279"/>
      <c r="BA95" s="279"/>
      <c r="BB95" s="279"/>
      <c r="BC95" s="279"/>
      <c r="BD95" s="279"/>
      <c r="BE95" s="279"/>
      <c r="BF95" s="279"/>
      <c r="BG95" s="279"/>
      <c r="BH95" s="279"/>
      <c r="BI95" s="279"/>
      <c r="BJ95" s="279"/>
      <c r="BK95" s="279"/>
      <c r="BL95" s="279"/>
    </row>
    <row r="96" spans="1:64" ht="15">
      <c r="A96" s="284">
        <v>12</v>
      </c>
      <c r="B96" s="276" t="s">
        <v>741</v>
      </c>
      <c r="C96" s="283"/>
      <c r="D96" s="283">
        <f>SUM(D91:D95)</f>
        <v>20038050</v>
      </c>
      <c r="E96" s="283"/>
      <c r="F96" s="283"/>
      <c r="G96" s="283"/>
      <c r="H96" s="283"/>
      <c r="I96" s="283">
        <f>SUM(I91:I95)</f>
        <v>273866.14026978583</v>
      </c>
      <c r="J96" s="283"/>
      <c r="K96" s="283"/>
      <c r="L96" s="278"/>
      <c r="M96" s="319"/>
      <c r="N96" s="295"/>
      <c r="O96" s="321"/>
      <c r="P96" s="321"/>
      <c r="Q96" s="319"/>
      <c r="R96" s="295"/>
      <c r="S96" s="295"/>
      <c r="T96" s="295"/>
      <c r="U96" s="279"/>
      <c r="V96" s="279"/>
      <c r="W96" s="279"/>
      <c r="X96" s="279"/>
      <c r="Y96" s="279"/>
      <c r="Z96" s="279"/>
      <c r="AA96" s="279"/>
      <c r="AB96" s="279"/>
      <c r="AC96" s="279"/>
      <c r="AD96" s="279"/>
      <c r="AE96" s="279"/>
      <c r="AF96" s="279"/>
      <c r="AG96" s="279"/>
      <c r="AH96" s="279"/>
      <c r="AI96" s="279"/>
      <c r="AJ96" s="279"/>
      <c r="AK96" s="279"/>
      <c r="AL96" s="279"/>
      <c r="AM96" s="279"/>
      <c r="AN96" s="279"/>
      <c r="AO96" s="279"/>
      <c r="AP96" s="279"/>
      <c r="AQ96" s="279"/>
      <c r="AR96" s="279"/>
      <c r="AS96" s="279"/>
      <c r="AT96" s="279"/>
      <c r="AU96" s="279"/>
      <c r="AV96" s="279"/>
      <c r="AW96" s="279"/>
      <c r="AX96" s="279"/>
      <c r="AY96" s="279"/>
      <c r="AZ96" s="279"/>
      <c r="BA96" s="279"/>
      <c r="BB96" s="279"/>
      <c r="BC96" s="279"/>
      <c r="BD96" s="279"/>
      <c r="BE96" s="279"/>
      <c r="BF96" s="279"/>
      <c r="BG96" s="279"/>
      <c r="BH96" s="279"/>
      <c r="BI96" s="279"/>
      <c r="BJ96" s="279"/>
      <c r="BK96" s="279"/>
      <c r="BL96" s="279"/>
    </row>
    <row r="97" spans="1:64" ht="15">
      <c r="A97" s="284"/>
      <c r="C97" s="283" t="s">
        <v>669</v>
      </c>
      <c r="E97" s="283"/>
      <c r="F97" s="283"/>
      <c r="G97" s="334"/>
      <c r="H97" s="283"/>
      <c r="J97" s="283"/>
      <c r="K97" s="334"/>
      <c r="L97" s="278"/>
      <c r="M97" s="319"/>
      <c r="N97" s="295"/>
      <c r="O97" s="321"/>
      <c r="P97" s="321"/>
      <c r="Q97" s="319"/>
      <c r="R97" s="295"/>
      <c r="S97" s="295"/>
      <c r="T97" s="295"/>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9"/>
      <c r="AU97" s="279"/>
      <c r="AV97" s="279"/>
      <c r="AW97" s="279"/>
      <c r="AX97" s="279"/>
      <c r="AY97" s="279"/>
      <c r="AZ97" s="279"/>
      <c r="BA97" s="279"/>
      <c r="BB97" s="279"/>
      <c r="BC97" s="279"/>
      <c r="BD97" s="279"/>
      <c r="BE97" s="279"/>
      <c r="BF97" s="279"/>
      <c r="BG97" s="279"/>
      <c r="BH97" s="279"/>
      <c r="BI97" s="279"/>
      <c r="BJ97" s="279"/>
      <c r="BK97" s="279"/>
      <c r="BL97" s="279"/>
    </row>
    <row r="98" spans="1:64" ht="15">
      <c r="A98" s="284"/>
      <c r="B98" s="276" t="s">
        <v>742</v>
      </c>
      <c r="C98" s="283"/>
      <c r="D98" s="283"/>
      <c r="E98" s="283"/>
      <c r="F98" s="283"/>
      <c r="G98" s="283"/>
      <c r="H98" s="283"/>
      <c r="I98" s="283"/>
      <c r="J98" s="283"/>
      <c r="K98" s="283"/>
      <c r="L98" s="278"/>
      <c r="M98" s="319"/>
      <c r="N98" s="295"/>
      <c r="O98" s="321"/>
      <c r="P98" s="324"/>
      <c r="Q98" s="319"/>
      <c r="R98" s="295"/>
      <c r="S98" s="295"/>
      <c r="T98" s="295"/>
      <c r="U98" s="279"/>
      <c r="V98" s="279"/>
      <c r="W98" s="279"/>
      <c r="X98" s="279"/>
      <c r="Y98" s="279"/>
      <c r="Z98" s="279"/>
      <c r="AA98" s="279"/>
      <c r="AB98" s="279"/>
      <c r="AC98" s="279"/>
      <c r="AD98" s="279"/>
      <c r="AE98" s="279"/>
      <c r="AF98" s="279"/>
      <c r="AG98" s="279"/>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279"/>
      <c r="BE98" s="279"/>
      <c r="BF98" s="279"/>
      <c r="BG98" s="279"/>
      <c r="BH98" s="279"/>
      <c r="BI98" s="279"/>
      <c r="BJ98" s="279"/>
      <c r="BK98" s="279"/>
      <c r="BL98" s="279"/>
    </row>
    <row r="99" spans="1:64" ht="15">
      <c r="A99" s="284">
        <v>13</v>
      </c>
      <c r="B99" s="276" t="str">
        <f>+B91</f>
        <v xml:space="preserve">  Production</v>
      </c>
      <c r="C99" s="283" t="s">
        <v>743</v>
      </c>
      <c r="D99" s="283">
        <f>D83-D91</f>
        <v>1753078</v>
      </c>
      <c r="E99" s="283"/>
      <c r="F99" s="283"/>
      <c r="G99" s="334"/>
      <c r="H99" s="283"/>
      <c r="I99" s="283" t="s">
        <v>669</v>
      </c>
      <c r="J99" s="283"/>
      <c r="K99" s="334"/>
      <c r="L99" s="278"/>
      <c r="M99" s="319"/>
      <c r="N99" s="295"/>
      <c r="O99" s="321"/>
      <c r="P99" s="324"/>
      <c r="Q99" s="319"/>
      <c r="R99" s="295"/>
      <c r="S99" s="295"/>
      <c r="T99" s="295"/>
      <c r="U99" s="279"/>
      <c r="V99" s="279"/>
      <c r="W99" s="279"/>
      <c r="X99" s="279"/>
      <c r="Y99" s="279"/>
      <c r="Z99" s="279"/>
      <c r="AA99" s="279"/>
      <c r="AB99" s="279"/>
      <c r="AC99" s="279"/>
      <c r="AD99" s="279"/>
      <c r="AE99" s="279"/>
      <c r="AF99" s="279"/>
      <c r="AG99" s="279"/>
      <c r="AH99" s="279"/>
      <c r="AI99" s="279"/>
      <c r="AJ99" s="279"/>
      <c r="AK99" s="279"/>
      <c r="AL99" s="279"/>
      <c r="AM99" s="279"/>
      <c r="AN99" s="279"/>
      <c r="AO99" s="279"/>
      <c r="AP99" s="279"/>
      <c r="AQ99" s="279"/>
      <c r="AR99" s="279"/>
      <c r="AS99" s="279"/>
      <c r="AT99" s="279"/>
      <c r="AU99" s="279"/>
      <c r="AV99" s="279"/>
      <c r="AW99" s="279"/>
      <c r="AX99" s="279"/>
      <c r="AY99" s="279"/>
      <c r="AZ99" s="279"/>
      <c r="BA99" s="279"/>
      <c r="BB99" s="279"/>
      <c r="BC99" s="279"/>
      <c r="BD99" s="279"/>
      <c r="BE99" s="279"/>
      <c r="BF99" s="279"/>
      <c r="BG99" s="279"/>
      <c r="BH99" s="279"/>
      <c r="BI99" s="279"/>
      <c r="BJ99" s="279"/>
      <c r="BK99" s="279"/>
      <c r="BL99" s="279"/>
    </row>
    <row r="100" spans="1:64" ht="15">
      <c r="A100" s="284">
        <v>14</v>
      </c>
      <c r="B100" s="276" t="str">
        <f>+B92</f>
        <v xml:space="preserve">  Transmission</v>
      </c>
      <c r="C100" s="283" t="s">
        <v>744</v>
      </c>
      <c r="D100" s="283">
        <f>D84-D92</f>
        <v>468760</v>
      </c>
      <c r="E100" s="283"/>
      <c r="F100" s="283"/>
      <c r="G100" s="332"/>
      <c r="H100" s="283"/>
      <c r="I100" s="283">
        <f>I84-I92</f>
        <v>468760</v>
      </c>
      <c r="J100" s="283"/>
      <c r="K100" s="334"/>
      <c r="L100" s="278"/>
      <c r="M100" s="319"/>
      <c r="N100" s="295"/>
      <c r="O100" s="336"/>
      <c r="P100" s="321"/>
      <c r="Q100" s="319"/>
      <c r="R100" s="295"/>
      <c r="S100" s="295"/>
      <c r="T100" s="295"/>
      <c r="U100" s="279"/>
      <c r="V100" s="279"/>
      <c r="W100" s="279"/>
      <c r="X100" s="279"/>
      <c r="Y100" s="279"/>
      <c r="Z100" s="279"/>
      <c r="AA100" s="279"/>
      <c r="AB100" s="279"/>
      <c r="AC100" s="279"/>
      <c r="AD100" s="279"/>
      <c r="AE100" s="279"/>
      <c r="AF100" s="279"/>
      <c r="AG100" s="279"/>
      <c r="AH100" s="279"/>
      <c r="AI100" s="279"/>
      <c r="AJ100" s="279"/>
      <c r="AK100" s="279"/>
      <c r="AL100" s="279"/>
      <c r="AM100" s="279"/>
      <c r="AN100" s="279"/>
      <c r="AO100" s="279"/>
      <c r="AP100" s="279"/>
      <c r="AQ100" s="279"/>
      <c r="AR100" s="279"/>
      <c r="AS100" s="279"/>
      <c r="AT100" s="279"/>
      <c r="AU100" s="279"/>
      <c r="AV100" s="279"/>
      <c r="AW100" s="279"/>
      <c r="AX100" s="279"/>
      <c r="AY100" s="279"/>
      <c r="AZ100" s="279"/>
      <c r="BA100" s="279"/>
      <c r="BB100" s="279"/>
      <c r="BC100" s="279"/>
      <c r="BD100" s="279"/>
      <c r="BE100" s="279"/>
      <c r="BF100" s="279"/>
      <c r="BG100" s="279"/>
      <c r="BH100" s="279"/>
      <c r="BI100" s="279"/>
      <c r="BJ100" s="279"/>
      <c r="BK100" s="279"/>
      <c r="BL100" s="279"/>
    </row>
    <row r="101" spans="1:64" ht="15">
      <c r="A101" s="284">
        <v>15</v>
      </c>
      <c r="B101" s="276" t="str">
        <f>+B93</f>
        <v xml:space="preserve">  Distribution</v>
      </c>
      <c r="C101" s="283" t="s">
        <v>745</v>
      </c>
      <c r="D101" s="283">
        <f>D85-D93</f>
        <v>21059926</v>
      </c>
      <c r="E101" s="283"/>
      <c r="F101" s="283"/>
      <c r="G101" s="334"/>
      <c r="H101" s="283"/>
      <c r="I101" s="283" t="s">
        <v>669</v>
      </c>
      <c r="J101" s="283"/>
      <c r="K101" s="334"/>
      <c r="L101" s="278"/>
      <c r="M101" s="319"/>
      <c r="N101" s="295"/>
      <c r="O101" s="321"/>
      <c r="P101" s="321"/>
      <c r="Q101" s="319"/>
      <c r="R101" s="295"/>
      <c r="S101" s="295"/>
      <c r="T101" s="295"/>
      <c r="U101" s="279"/>
      <c r="V101" s="279"/>
      <c r="W101" s="279"/>
      <c r="X101" s="279"/>
      <c r="Y101" s="279"/>
      <c r="Z101" s="279"/>
      <c r="AA101" s="279"/>
      <c r="AB101" s="279"/>
      <c r="AC101" s="279"/>
      <c r="AD101" s="279"/>
      <c r="AE101" s="279"/>
      <c r="AF101" s="279"/>
      <c r="AG101" s="279"/>
      <c r="AH101" s="279"/>
      <c r="AI101" s="279"/>
      <c r="AJ101" s="279"/>
      <c r="AK101" s="279"/>
      <c r="AL101" s="279"/>
      <c r="AM101" s="279"/>
      <c r="AN101" s="279"/>
      <c r="AO101" s="279"/>
      <c r="AP101" s="279"/>
      <c r="AQ101" s="279"/>
      <c r="AR101" s="279"/>
      <c r="AS101" s="279"/>
      <c r="AT101" s="279"/>
      <c r="AU101" s="279"/>
      <c r="AV101" s="279"/>
      <c r="AW101" s="279"/>
      <c r="AX101" s="279"/>
      <c r="AY101" s="279"/>
      <c r="AZ101" s="279"/>
      <c r="BA101" s="279"/>
      <c r="BB101" s="279"/>
      <c r="BC101" s="279"/>
      <c r="BD101" s="279"/>
      <c r="BE101" s="279"/>
      <c r="BF101" s="279"/>
      <c r="BG101" s="279"/>
      <c r="BH101" s="279"/>
      <c r="BI101" s="279"/>
      <c r="BJ101" s="279"/>
      <c r="BK101" s="279"/>
      <c r="BL101" s="279"/>
    </row>
    <row r="102" spans="1:64" ht="15">
      <c r="A102" s="284">
        <v>16</v>
      </c>
      <c r="B102" s="276" t="str">
        <f>+B94</f>
        <v xml:space="preserve">  General &amp; Intangible</v>
      </c>
      <c r="C102" s="283" t="s">
        <v>746</v>
      </c>
      <c r="D102" s="283">
        <f>D86-D94</f>
        <v>3340952</v>
      </c>
      <c r="E102" s="283"/>
      <c r="F102" s="283"/>
      <c r="G102" s="334"/>
      <c r="H102" s="283"/>
      <c r="I102" s="283">
        <f>I86-I94</f>
        <v>38890.502541504655</v>
      </c>
      <c r="J102" s="283"/>
      <c r="K102" s="334"/>
      <c r="L102" s="278"/>
      <c r="M102" s="319"/>
      <c r="N102" s="295"/>
      <c r="O102" s="321"/>
      <c r="P102" s="321"/>
      <c r="Q102" s="319"/>
      <c r="R102" s="295"/>
      <c r="S102" s="295"/>
      <c r="T102" s="295"/>
      <c r="U102" s="279"/>
      <c r="V102" s="279"/>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279"/>
      <c r="AR102" s="279"/>
      <c r="AS102" s="279"/>
      <c r="AT102" s="279"/>
      <c r="AU102" s="279"/>
      <c r="AV102" s="279"/>
      <c r="AW102" s="279"/>
      <c r="AX102" s="279"/>
      <c r="AY102" s="279"/>
      <c r="AZ102" s="279"/>
      <c r="BA102" s="279"/>
      <c r="BB102" s="279"/>
      <c r="BC102" s="279"/>
      <c r="BD102" s="279"/>
      <c r="BE102" s="279"/>
      <c r="BF102" s="279"/>
      <c r="BG102" s="279"/>
      <c r="BH102" s="279"/>
      <c r="BI102" s="279"/>
      <c r="BJ102" s="279"/>
      <c r="BK102" s="279"/>
      <c r="BL102" s="279"/>
    </row>
    <row r="103" spans="1:64" ht="15.75" thickBot="1">
      <c r="A103" s="284">
        <v>17</v>
      </c>
      <c r="B103" s="276" t="str">
        <f>+B95</f>
        <v xml:space="preserve">  Common</v>
      </c>
      <c r="C103" s="283" t="s">
        <v>747</v>
      </c>
      <c r="D103" s="298">
        <f>D87-D95</f>
        <v>0</v>
      </c>
      <c r="E103" s="283"/>
      <c r="F103" s="283"/>
      <c r="G103" s="334"/>
      <c r="H103" s="283"/>
      <c r="I103" s="298">
        <f>I87-I95</f>
        <v>0</v>
      </c>
      <c r="J103" s="283"/>
      <c r="K103" s="334"/>
      <c r="L103" s="278"/>
      <c r="M103" s="319"/>
      <c r="N103" s="295"/>
      <c r="O103" s="321"/>
      <c r="P103" s="321"/>
      <c r="Q103" s="319"/>
      <c r="R103" s="295"/>
      <c r="S103" s="295"/>
      <c r="T103" s="295"/>
      <c r="U103" s="279"/>
      <c r="V103" s="279"/>
      <c r="W103" s="279"/>
      <c r="X103" s="279"/>
      <c r="Y103" s="279"/>
      <c r="Z103" s="279"/>
      <c r="AA103" s="279"/>
      <c r="AB103" s="279"/>
      <c r="AC103" s="279"/>
      <c r="AD103" s="279"/>
      <c r="AE103" s="279"/>
      <c r="AF103" s="279"/>
      <c r="AG103" s="279"/>
      <c r="AH103" s="279"/>
      <c r="AI103" s="279"/>
      <c r="AJ103" s="279"/>
      <c r="AK103" s="279"/>
      <c r="AL103" s="279"/>
      <c r="AM103" s="279"/>
      <c r="AN103" s="279"/>
      <c r="AO103" s="279"/>
      <c r="AP103" s="279"/>
      <c r="AQ103" s="279"/>
      <c r="AR103" s="279"/>
      <c r="AS103" s="279"/>
      <c r="AT103" s="279"/>
      <c r="AU103" s="279"/>
      <c r="AV103" s="279"/>
      <c r="AW103" s="279"/>
      <c r="AX103" s="279"/>
      <c r="AY103" s="279"/>
      <c r="AZ103" s="279"/>
      <c r="BA103" s="279"/>
      <c r="BB103" s="279"/>
      <c r="BC103" s="279"/>
      <c r="BD103" s="279"/>
      <c r="BE103" s="279"/>
      <c r="BF103" s="279"/>
      <c r="BG103" s="279"/>
      <c r="BH103" s="279"/>
      <c r="BI103" s="279"/>
      <c r="BJ103" s="279"/>
      <c r="BK103" s="279"/>
      <c r="BL103" s="279"/>
    </row>
    <row r="104" spans="1:64" ht="15">
      <c r="A104" s="284">
        <v>18</v>
      </c>
      <c r="B104" s="276" t="s">
        <v>748</v>
      </c>
      <c r="C104" s="283"/>
      <c r="D104" s="283">
        <f>SUM(D99:D103)</f>
        <v>26622716</v>
      </c>
      <c r="E104" s="283"/>
      <c r="F104" s="283" t="s">
        <v>749</v>
      </c>
      <c r="G104" s="334">
        <f>IF(I104&gt;0,I104/D104,0)</f>
        <v>1.9068321299055464E-2</v>
      </c>
      <c r="H104" s="283"/>
      <c r="I104" s="283">
        <f>SUM(I99:I103)</f>
        <v>507650.50254150468</v>
      </c>
      <c r="J104" s="283"/>
      <c r="K104" s="283"/>
      <c r="L104" s="278"/>
      <c r="M104" s="319"/>
      <c r="N104" s="295"/>
      <c r="O104" s="321"/>
      <c r="P104" s="321"/>
      <c r="Q104" s="319"/>
      <c r="R104" s="295"/>
      <c r="S104" s="295"/>
      <c r="T104" s="295"/>
      <c r="U104" s="279"/>
      <c r="V104" s="279"/>
      <c r="W104" s="279"/>
      <c r="X104" s="279"/>
      <c r="Y104" s="279"/>
      <c r="Z104" s="279"/>
      <c r="AA104" s="279"/>
      <c r="AB104" s="279"/>
      <c r="AC104" s="279"/>
      <c r="AD104" s="279"/>
      <c r="AE104" s="279"/>
      <c r="AF104" s="279"/>
      <c r="AG104" s="279"/>
      <c r="AH104" s="279"/>
      <c r="AI104" s="279"/>
      <c r="AJ104" s="279"/>
      <c r="AK104" s="279"/>
      <c r="AL104" s="279"/>
      <c r="AM104" s="279"/>
      <c r="AN104" s="279"/>
      <c r="AO104" s="279"/>
      <c r="AP104" s="279"/>
      <c r="AQ104" s="279"/>
      <c r="AR104" s="279"/>
      <c r="AS104" s="279"/>
      <c r="AT104" s="279"/>
      <c r="AU104" s="279"/>
      <c r="AV104" s="279"/>
      <c r="AW104" s="279"/>
      <c r="AX104" s="279"/>
      <c r="AY104" s="279"/>
      <c r="AZ104" s="279"/>
      <c r="BA104" s="279"/>
      <c r="BB104" s="279"/>
      <c r="BC104" s="279"/>
      <c r="BD104" s="279"/>
      <c r="BE104" s="279"/>
      <c r="BF104" s="279"/>
      <c r="BG104" s="279"/>
      <c r="BH104" s="279"/>
      <c r="BI104" s="279"/>
      <c r="BJ104" s="279"/>
      <c r="BK104" s="279"/>
      <c r="BL104" s="279"/>
    </row>
    <row r="105" spans="1:64" ht="15">
      <c r="A105" s="284"/>
      <c r="C105" s="283"/>
      <c r="E105" s="283"/>
      <c r="H105" s="283"/>
      <c r="J105" s="283"/>
      <c r="K105" s="334"/>
      <c r="L105" s="278"/>
      <c r="M105" s="319"/>
      <c r="N105" s="295"/>
      <c r="O105" s="321"/>
      <c r="P105" s="321"/>
      <c r="Q105" s="319"/>
      <c r="R105" s="295"/>
      <c r="S105" s="295"/>
      <c r="T105" s="295"/>
      <c r="U105" s="279"/>
      <c r="V105" s="279"/>
      <c r="W105" s="279"/>
      <c r="X105" s="279"/>
      <c r="Y105" s="279"/>
      <c r="Z105" s="279"/>
      <c r="AA105" s="279"/>
      <c r="AB105" s="279"/>
      <c r="AC105" s="279"/>
      <c r="AD105" s="279"/>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c r="BC105" s="279"/>
      <c r="BD105" s="279"/>
      <c r="BE105" s="279"/>
      <c r="BF105" s="279"/>
      <c r="BG105" s="279"/>
      <c r="BH105" s="279"/>
      <c r="BI105" s="279"/>
      <c r="BJ105" s="279"/>
      <c r="BK105" s="279"/>
      <c r="BL105" s="279"/>
    </row>
    <row r="106" spans="1:64" ht="15">
      <c r="A106" s="284"/>
      <c r="B106" s="276" t="s">
        <v>750</v>
      </c>
      <c r="C106" s="283"/>
      <c r="D106" s="283"/>
      <c r="E106" s="283"/>
      <c r="F106" s="283"/>
      <c r="G106" s="283"/>
      <c r="H106" s="283"/>
      <c r="I106" s="283"/>
      <c r="J106" s="283"/>
      <c r="K106" s="283"/>
      <c r="L106" s="278"/>
      <c r="M106" s="319"/>
      <c r="N106" s="295"/>
      <c r="O106" s="321"/>
      <c r="P106" s="324"/>
      <c r="Q106" s="319"/>
      <c r="R106" s="295"/>
      <c r="S106" s="295"/>
      <c r="T106" s="295"/>
      <c r="U106" s="279"/>
      <c r="V106" s="279"/>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c r="BC106" s="279"/>
      <c r="BD106" s="279"/>
      <c r="BE106" s="279"/>
      <c r="BF106" s="279"/>
      <c r="BG106" s="279"/>
      <c r="BH106" s="279"/>
      <c r="BI106" s="279"/>
      <c r="BJ106" s="279"/>
      <c r="BK106" s="279"/>
      <c r="BL106" s="279"/>
    </row>
    <row r="107" spans="1:64" ht="15">
      <c r="A107" s="284">
        <v>19</v>
      </c>
      <c r="B107" s="276" t="s">
        <v>751</v>
      </c>
      <c r="C107" s="283"/>
      <c r="D107" s="335">
        <v>0</v>
      </c>
      <c r="E107" s="283"/>
      <c r="F107" s="283"/>
      <c r="G107" s="338" t="s">
        <v>752</v>
      </c>
      <c r="H107" s="283"/>
      <c r="I107" s="283">
        <v>0</v>
      </c>
      <c r="J107" s="283"/>
      <c r="K107" s="334"/>
      <c r="L107" s="278"/>
      <c r="M107" s="319"/>
      <c r="N107" s="295"/>
      <c r="O107" s="321"/>
      <c r="P107" s="324"/>
      <c r="Q107" s="319"/>
      <c r="R107" s="295"/>
      <c r="S107" s="295"/>
      <c r="T107" s="295"/>
      <c r="U107" s="279"/>
      <c r="V107" s="279"/>
      <c r="W107" s="279"/>
      <c r="X107" s="279"/>
      <c r="Y107" s="279"/>
      <c r="Z107" s="279"/>
      <c r="AA107" s="279"/>
      <c r="AB107" s="279"/>
      <c r="AC107" s="279"/>
      <c r="AD107" s="279"/>
      <c r="AE107" s="279"/>
      <c r="AF107" s="279"/>
      <c r="AG107" s="279"/>
      <c r="AH107" s="279"/>
      <c r="AI107" s="279"/>
      <c r="AJ107" s="279"/>
      <c r="AK107" s="279"/>
      <c r="AL107" s="279"/>
      <c r="AM107" s="279"/>
      <c r="AN107" s="279"/>
      <c r="AO107" s="279"/>
      <c r="AP107" s="279"/>
      <c r="AQ107" s="279"/>
      <c r="AR107" s="279"/>
      <c r="AS107" s="279"/>
      <c r="AT107" s="279"/>
      <c r="AU107" s="279"/>
      <c r="AV107" s="279"/>
      <c r="AW107" s="279"/>
      <c r="AX107" s="279"/>
      <c r="AY107" s="279"/>
      <c r="AZ107" s="279"/>
      <c r="BA107" s="279"/>
      <c r="BB107" s="279"/>
      <c r="BC107" s="279"/>
      <c r="BD107" s="279"/>
      <c r="BE107" s="279"/>
      <c r="BF107" s="279"/>
      <c r="BG107" s="279"/>
      <c r="BH107" s="279"/>
      <c r="BI107" s="279"/>
      <c r="BJ107" s="279"/>
      <c r="BK107" s="279"/>
      <c r="BL107" s="279"/>
    </row>
    <row r="108" spans="1:64" ht="15">
      <c r="A108" s="284">
        <v>20</v>
      </c>
      <c r="B108" s="276" t="s">
        <v>753</v>
      </c>
      <c r="C108" s="283"/>
      <c r="D108" s="335">
        <v>0</v>
      </c>
      <c r="E108" s="283"/>
      <c r="F108" s="283" t="s">
        <v>754</v>
      </c>
      <c r="G108" s="332">
        <f>+G104</f>
        <v>1.9068321299055464E-2</v>
      </c>
      <c r="H108" s="283"/>
      <c r="I108" s="283">
        <f>D108*G108</f>
        <v>0</v>
      </c>
      <c r="J108" s="283"/>
      <c r="K108" s="334"/>
      <c r="L108" s="278"/>
      <c r="M108" s="319"/>
      <c r="N108" s="295"/>
      <c r="O108" s="337"/>
      <c r="P108" s="321"/>
      <c r="Q108" s="319"/>
      <c r="R108" s="295"/>
      <c r="S108" s="295"/>
      <c r="T108" s="295"/>
      <c r="U108" s="279"/>
      <c r="V108" s="279"/>
      <c r="W108" s="279"/>
      <c r="X108" s="279"/>
      <c r="Y108" s="279"/>
      <c r="Z108" s="279"/>
      <c r="AA108" s="279"/>
      <c r="AB108" s="279"/>
      <c r="AC108" s="279"/>
      <c r="AD108" s="279"/>
      <c r="AE108" s="279"/>
      <c r="AF108" s="279"/>
      <c r="AG108" s="279"/>
      <c r="AH108" s="279"/>
      <c r="AI108" s="279"/>
      <c r="AJ108" s="279"/>
      <c r="AK108" s="279"/>
      <c r="AL108" s="279"/>
      <c r="AM108" s="279"/>
      <c r="AN108" s="279"/>
      <c r="AO108" s="279"/>
      <c r="AP108" s="279"/>
      <c r="AQ108" s="279"/>
      <c r="AR108" s="279"/>
      <c r="AS108" s="279"/>
      <c r="AT108" s="279"/>
      <c r="AU108" s="279"/>
      <c r="AV108" s="279"/>
      <c r="AW108" s="279"/>
      <c r="AX108" s="279"/>
      <c r="AY108" s="279"/>
      <c r="AZ108" s="279"/>
      <c r="BA108" s="279"/>
      <c r="BB108" s="279"/>
      <c r="BC108" s="279"/>
      <c r="BD108" s="279"/>
      <c r="BE108" s="279"/>
      <c r="BF108" s="279"/>
      <c r="BG108" s="279"/>
      <c r="BH108" s="279"/>
      <c r="BI108" s="279"/>
      <c r="BJ108" s="279"/>
      <c r="BK108" s="279"/>
      <c r="BL108" s="279"/>
    </row>
    <row r="109" spans="1:64" ht="15">
      <c r="A109" s="284">
        <v>21</v>
      </c>
      <c r="B109" s="276" t="s">
        <v>755</v>
      </c>
      <c r="C109" s="283"/>
      <c r="D109" s="331">
        <v>0</v>
      </c>
      <c r="E109" s="283"/>
      <c r="F109" s="283" t="s">
        <v>754</v>
      </c>
      <c r="G109" s="332">
        <f>+G108</f>
        <v>1.9068321299055464E-2</v>
      </c>
      <c r="H109" s="283"/>
      <c r="I109" s="283">
        <f>D109*G109</f>
        <v>0</v>
      </c>
      <c r="J109" s="283"/>
      <c r="K109" s="334"/>
      <c r="L109" s="278"/>
      <c r="M109" s="319"/>
      <c r="N109" s="295"/>
      <c r="O109" s="321"/>
      <c r="P109" s="321"/>
      <c r="Q109" s="319"/>
      <c r="R109" s="295"/>
      <c r="S109" s="295"/>
      <c r="T109" s="295"/>
      <c r="U109" s="279"/>
      <c r="V109" s="279"/>
      <c r="W109" s="279"/>
      <c r="X109" s="279"/>
      <c r="Y109" s="279"/>
      <c r="Z109" s="279"/>
      <c r="AA109" s="279"/>
      <c r="AB109" s="279"/>
      <c r="AC109" s="279"/>
      <c r="AD109" s="279"/>
      <c r="AE109" s="279"/>
      <c r="AF109" s="279"/>
      <c r="AG109" s="279"/>
      <c r="AH109" s="279"/>
      <c r="AI109" s="279"/>
      <c r="AJ109" s="279"/>
      <c r="AK109" s="279"/>
      <c r="AL109" s="279"/>
      <c r="AM109" s="279"/>
      <c r="AN109" s="279"/>
      <c r="AO109" s="279"/>
      <c r="AP109" s="279"/>
      <c r="AQ109" s="279"/>
      <c r="AR109" s="279"/>
      <c r="AS109" s="279"/>
      <c r="AT109" s="279"/>
      <c r="AU109" s="279"/>
      <c r="AV109" s="279"/>
      <c r="AW109" s="279"/>
      <c r="AX109" s="279"/>
      <c r="AY109" s="279"/>
      <c r="AZ109" s="279"/>
      <c r="BA109" s="279"/>
      <c r="BB109" s="279"/>
      <c r="BC109" s="279"/>
      <c r="BD109" s="279"/>
      <c r="BE109" s="279"/>
      <c r="BF109" s="279"/>
      <c r="BG109" s="279"/>
      <c r="BH109" s="279"/>
      <c r="BI109" s="279"/>
      <c r="BJ109" s="279"/>
      <c r="BK109" s="279"/>
      <c r="BL109" s="279"/>
    </row>
    <row r="110" spans="1:64" ht="15">
      <c r="A110" s="284">
        <v>22</v>
      </c>
      <c r="B110" s="276" t="s">
        <v>756</v>
      </c>
      <c r="C110" s="283"/>
      <c r="D110" s="331">
        <v>0</v>
      </c>
      <c r="E110" s="283"/>
      <c r="F110" s="283" t="str">
        <f>+F109</f>
        <v>NP</v>
      </c>
      <c r="G110" s="332">
        <f>+G109</f>
        <v>1.9068321299055464E-2</v>
      </c>
      <c r="H110" s="283"/>
      <c r="I110" s="283">
        <f>D110*G110</f>
        <v>0</v>
      </c>
      <c r="J110" s="283"/>
      <c r="K110" s="334"/>
      <c r="L110" s="278"/>
      <c r="M110" s="319"/>
      <c r="N110" s="295"/>
      <c r="O110" s="321"/>
      <c r="P110" s="321"/>
      <c r="Q110" s="319"/>
      <c r="R110" s="295"/>
      <c r="S110" s="295"/>
      <c r="T110" s="295"/>
      <c r="U110" s="279"/>
      <c r="V110" s="279"/>
      <c r="W110" s="279"/>
      <c r="X110" s="279"/>
      <c r="Y110" s="279"/>
      <c r="Z110" s="279"/>
      <c r="AA110" s="279"/>
      <c r="AB110" s="279"/>
      <c r="AC110" s="279"/>
      <c r="AD110" s="279"/>
      <c r="AE110" s="279"/>
      <c r="AF110" s="279"/>
      <c r="AG110" s="279"/>
      <c r="AH110" s="279"/>
      <c r="AI110" s="279"/>
      <c r="AJ110" s="279"/>
      <c r="AK110" s="279"/>
      <c r="AL110" s="279"/>
      <c r="AM110" s="279"/>
      <c r="AN110" s="279"/>
      <c r="AO110" s="279"/>
      <c r="AP110" s="279"/>
      <c r="AQ110" s="279"/>
      <c r="AR110" s="279"/>
      <c r="AS110" s="279"/>
      <c r="AT110" s="279"/>
      <c r="AU110" s="279"/>
      <c r="AV110" s="279"/>
      <c r="AW110" s="279"/>
      <c r="AX110" s="279"/>
      <c r="AY110" s="279"/>
      <c r="AZ110" s="279"/>
      <c r="BA110" s="279"/>
      <c r="BB110" s="279"/>
      <c r="BC110" s="279"/>
      <c r="BD110" s="279"/>
      <c r="BE110" s="279"/>
      <c r="BF110" s="279"/>
      <c r="BG110" s="279"/>
      <c r="BH110" s="279"/>
      <c r="BI110" s="279"/>
      <c r="BJ110" s="279"/>
      <c r="BK110" s="279"/>
      <c r="BL110" s="279"/>
    </row>
    <row r="111" spans="1:64" ht="15.75" thickBot="1">
      <c r="A111" s="284">
        <v>23</v>
      </c>
      <c r="B111" s="340" t="s">
        <v>757</v>
      </c>
      <c r="D111" s="333">
        <v>0</v>
      </c>
      <c r="E111" s="283"/>
      <c r="F111" s="283" t="s">
        <v>754</v>
      </c>
      <c r="G111" s="332">
        <f>+G109</f>
        <v>1.9068321299055464E-2</v>
      </c>
      <c r="H111" s="283"/>
      <c r="I111" s="298">
        <f>D111*G111</f>
        <v>0</v>
      </c>
      <c r="J111" s="283"/>
      <c r="K111" s="283"/>
      <c r="L111" s="278"/>
      <c r="M111" s="319"/>
      <c r="N111" s="295"/>
      <c r="O111" s="339"/>
      <c r="P111" s="324"/>
      <c r="Q111" s="319"/>
      <c r="R111" s="295"/>
      <c r="S111" s="295"/>
      <c r="T111" s="295"/>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279"/>
      <c r="AR111" s="279"/>
      <c r="AS111" s="279"/>
      <c r="AT111" s="279"/>
      <c r="AU111" s="279"/>
      <c r="AV111" s="279"/>
      <c r="AW111" s="279"/>
      <c r="AX111" s="279"/>
      <c r="AY111" s="279"/>
      <c r="AZ111" s="279"/>
      <c r="BA111" s="279"/>
      <c r="BB111" s="279"/>
      <c r="BC111" s="279"/>
      <c r="BD111" s="279"/>
      <c r="BE111" s="279"/>
      <c r="BF111" s="279"/>
      <c r="BG111" s="279"/>
      <c r="BH111" s="279"/>
      <c r="BI111" s="279"/>
      <c r="BJ111" s="279"/>
      <c r="BK111" s="279"/>
      <c r="BL111" s="279"/>
    </row>
    <row r="112" spans="1:64" ht="15">
      <c r="A112" s="284">
        <v>24</v>
      </c>
      <c r="B112" s="276" t="s">
        <v>758</v>
      </c>
      <c r="C112" s="283"/>
      <c r="D112" s="283">
        <f>SUM(D107:D111)</f>
        <v>0</v>
      </c>
      <c r="E112" s="283"/>
      <c r="F112" s="283"/>
      <c r="G112" s="283"/>
      <c r="H112" s="283"/>
      <c r="I112" s="283">
        <f>SUM(I107:I111)</f>
        <v>0</v>
      </c>
      <c r="J112" s="283"/>
      <c r="K112" s="334"/>
      <c r="L112" s="278"/>
      <c r="M112" s="319"/>
      <c r="N112" s="295"/>
      <c r="O112" s="339"/>
      <c r="P112" s="324"/>
      <c r="Q112" s="319"/>
      <c r="R112" s="295"/>
      <c r="S112" s="295"/>
      <c r="T112" s="295"/>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79"/>
      <c r="AY112" s="279"/>
      <c r="AZ112" s="279"/>
      <c r="BA112" s="279"/>
      <c r="BB112" s="279"/>
      <c r="BC112" s="279"/>
      <c r="BD112" s="279"/>
      <c r="BE112" s="279"/>
      <c r="BF112" s="279"/>
      <c r="BG112" s="279"/>
      <c r="BH112" s="279"/>
      <c r="BI112" s="279"/>
      <c r="BJ112" s="279"/>
      <c r="BK112" s="279"/>
      <c r="BL112" s="279"/>
    </row>
    <row r="113" spans="1:64" ht="15">
      <c r="A113" s="284"/>
      <c r="B113" s="276"/>
      <c r="C113" s="283"/>
      <c r="D113" s="283"/>
      <c r="E113" s="283"/>
      <c r="F113" s="283"/>
      <c r="G113" s="283"/>
      <c r="H113" s="283"/>
      <c r="I113" s="283"/>
      <c r="J113" s="283"/>
      <c r="K113" s="334"/>
      <c r="L113" s="278"/>
      <c r="M113" s="319"/>
      <c r="N113" s="295"/>
      <c r="O113" s="339"/>
      <c r="P113" s="324"/>
      <c r="Q113" s="319"/>
      <c r="R113" s="295"/>
      <c r="S113" s="295"/>
      <c r="T113" s="295"/>
      <c r="U113" s="279"/>
      <c r="V113" s="279"/>
      <c r="W113" s="279"/>
      <c r="X113" s="279"/>
      <c r="Y113" s="279"/>
      <c r="Z113" s="279"/>
      <c r="AA113" s="279"/>
      <c r="AB113" s="279"/>
      <c r="AC113" s="279"/>
      <c r="AD113" s="279"/>
      <c r="AE113" s="279"/>
      <c r="AF113" s="279"/>
      <c r="AG113" s="279"/>
      <c r="AH113" s="279"/>
      <c r="AI113" s="279"/>
      <c r="AJ113" s="279"/>
      <c r="AK113" s="279"/>
      <c r="AL113" s="279"/>
      <c r="AM113" s="279"/>
      <c r="AN113" s="279"/>
      <c r="AO113" s="279"/>
      <c r="AP113" s="279"/>
      <c r="AQ113" s="279"/>
      <c r="AR113" s="279"/>
      <c r="AS113" s="279"/>
      <c r="AT113" s="279"/>
      <c r="AU113" s="279"/>
      <c r="AV113" s="279"/>
      <c r="AW113" s="279"/>
      <c r="AX113" s="279"/>
      <c r="AY113" s="279"/>
      <c r="AZ113" s="279"/>
      <c r="BA113" s="279"/>
      <c r="BB113" s="279"/>
      <c r="BC113" s="279"/>
      <c r="BD113" s="279"/>
      <c r="BE113" s="279"/>
      <c r="BF113" s="279"/>
      <c r="BG113" s="279"/>
      <c r="BH113" s="279"/>
      <c r="BI113" s="279"/>
      <c r="BJ113" s="279"/>
      <c r="BK113" s="279"/>
      <c r="BL113" s="279"/>
    </row>
    <row r="114" spans="1:64" ht="15">
      <c r="A114" s="284">
        <v>25</v>
      </c>
      <c r="B114" s="276" t="s">
        <v>759</v>
      </c>
      <c r="C114" s="283" t="s">
        <v>760</v>
      </c>
      <c r="D114" s="335">
        <v>0</v>
      </c>
      <c r="E114" s="283"/>
      <c r="F114" s="283" t="str">
        <f>+F92</f>
        <v>TP</v>
      </c>
      <c r="G114" s="332">
        <f>+G92</f>
        <v>1</v>
      </c>
      <c r="H114" s="283"/>
      <c r="I114" s="283">
        <f>+G114*D114</f>
        <v>0</v>
      </c>
      <c r="J114" s="283"/>
      <c r="K114" s="283"/>
      <c r="L114" s="278"/>
      <c r="M114" s="319"/>
      <c r="N114" s="295"/>
      <c r="O114" s="339"/>
      <c r="P114" s="324"/>
      <c r="Q114" s="319"/>
      <c r="R114" s="295"/>
      <c r="S114" s="295"/>
      <c r="T114" s="295"/>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79"/>
      <c r="AY114" s="279"/>
      <c r="AZ114" s="279"/>
      <c r="BA114" s="279"/>
      <c r="BB114" s="279"/>
      <c r="BC114" s="279"/>
      <c r="BD114" s="279"/>
      <c r="BE114" s="279"/>
      <c r="BF114" s="279"/>
      <c r="BG114" s="279"/>
      <c r="BH114" s="279"/>
      <c r="BI114" s="279"/>
      <c r="BJ114" s="279"/>
      <c r="BK114" s="279"/>
      <c r="BL114" s="279"/>
    </row>
    <row r="115" spans="1:64" ht="15">
      <c r="A115" s="284"/>
      <c r="B115" s="276"/>
      <c r="C115" s="283"/>
      <c r="D115" s="283"/>
      <c r="E115" s="283"/>
      <c r="F115" s="283"/>
      <c r="G115" s="283"/>
      <c r="H115" s="283"/>
      <c r="I115" s="283"/>
      <c r="J115" s="283"/>
      <c r="K115" s="283"/>
      <c r="L115" s="278"/>
      <c r="M115" s="319"/>
      <c r="N115" s="295"/>
      <c r="O115" s="336"/>
      <c r="P115" s="321"/>
      <c r="Q115" s="319"/>
      <c r="R115" s="295"/>
      <c r="S115" s="295"/>
      <c r="T115" s="295"/>
      <c r="U115" s="279"/>
      <c r="V115" s="279"/>
      <c r="W115" s="279"/>
      <c r="X115" s="279"/>
      <c r="Y115" s="279"/>
      <c r="Z115" s="279"/>
      <c r="AA115" s="279"/>
      <c r="AB115" s="279"/>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279"/>
      <c r="AY115" s="279"/>
      <c r="AZ115" s="279"/>
      <c r="BA115" s="279"/>
      <c r="BB115" s="279"/>
      <c r="BC115" s="279"/>
      <c r="BD115" s="279"/>
      <c r="BE115" s="279"/>
      <c r="BF115" s="279"/>
      <c r="BG115" s="279"/>
      <c r="BH115" s="279"/>
      <c r="BI115" s="279"/>
      <c r="BJ115" s="279"/>
      <c r="BK115" s="279"/>
      <c r="BL115" s="279"/>
    </row>
    <row r="116" spans="1:64" ht="15">
      <c r="A116" s="284"/>
      <c r="B116" s="276" t="s">
        <v>761</v>
      </c>
      <c r="C116" s="283" t="s">
        <v>762</v>
      </c>
      <c r="D116" s="283"/>
      <c r="E116" s="283"/>
      <c r="F116" s="283"/>
      <c r="G116" s="283"/>
      <c r="H116" s="283"/>
      <c r="I116" s="283"/>
      <c r="J116" s="283"/>
      <c r="K116" s="283"/>
      <c r="L116" s="278"/>
      <c r="M116" s="319"/>
      <c r="N116" s="295"/>
      <c r="O116" s="321"/>
      <c r="P116" s="321"/>
      <c r="Q116" s="319"/>
      <c r="R116" s="295"/>
      <c r="S116" s="295"/>
      <c r="T116" s="295"/>
      <c r="U116" s="279"/>
      <c r="V116" s="279"/>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c r="BC116" s="279"/>
      <c r="BD116" s="279"/>
      <c r="BE116" s="279"/>
      <c r="BF116" s="279"/>
      <c r="BG116" s="279"/>
      <c r="BH116" s="279"/>
      <c r="BI116" s="279"/>
      <c r="BJ116" s="279"/>
      <c r="BK116" s="279"/>
      <c r="BL116" s="279"/>
    </row>
    <row r="117" spans="1:64" ht="15">
      <c r="A117" s="284">
        <v>26</v>
      </c>
      <c r="B117" s="276" t="s">
        <v>763</v>
      </c>
      <c r="D117" s="283">
        <f>D158/8</f>
        <v>281205.05974375003</v>
      </c>
      <c r="E117" s="283"/>
      <c r="F117" s="283"/>
      <c r="G117" s="334"/>
      <c r="H117" s="283"/>
      <c r="I117" s="283">
        <f>I158/8</f>
        <v>5329.1033589262443</v>
      </c>
      <c r="J117" s="277"/>
      <c r="K117" s="334"/>
      <c r="L117" s="278"/>
      <c r="M117" s="319"/>
      <c r="N117" s="295"/>
      <c r="O117" s="321"/>
      <c r="P117" s="321"/>
      <c r="Q117" s="319"/>
      <c r="R117" s="295"/>
      <c r="S117" s="295"/>
      <c r="T117" s="295"/>
      <c r="U117" s="279"/>
      <c r="V117" s="279"/>
      <c r="W117" s="279"/>
      <c r="X117" s="279"/>
      <c r="Y117" s="279"/>
      <c r="Z117" s="279"/>
      <c r="AA117" s="279"/>
      <c r="AB117" s="279"/>
      <c r="AC117" s="279"/>
      <c r="AD117" s="279"/>
      <c r="AE117" s="279"/>
      <c r="AF117" s="279"/>
      <c r="AG117" s="279"/>
      <c r="AH117" s="279"/>
      <c r="AI117" s="279"/>
      <c r="AJ117" s="279"/>
      <c r="AK117" s="279"/>
      <c r="AL117" s="279"/>
      <c r="AM117" s="279"/>
      <c r="AN117" s="279"/>
      <c r="AO117" s="279"/>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row>
    <row r="118" spans="1:64" ht="15">
      <c r="A118" s="284">
        <v>27</v>
      </c>
      <c r="B118" s="276" t="s">
        <v>764</v>
      </c>
      <c r="C118" s="300" t="s">
        <v>765</v>
      </c>
      <c r="D118" s="335">
        <v>0</v>
      </c>
      <c r="E118" s="283"/>
      <c r="F118" s="283" t="s">
        <v>766</v>
      </c>
      <c r="G118" s="332">
        <f>I229</f>
        <v>1</v>
      </c>
      <c r="H118" s="283"/>
      <c r="I118" s="283">
        <f>G118*D118</f>
        <v>0</v>
      </c>
      <c r="J118" s="283" t="s">
        <v>669</v>
      </c>
      <c r="K118" s="334"/>
      <c r="L118" s="278"/>
      <c r="M118" s="319"/>
      <c r="N118" s="295"/>
      <c r="O118" s="321"/>
      <c r="P118" s="321"/>
      <c r="Q118" s="319"/>
      <c r="R118" s="295"/>
      <c r="S118" s="295"/>
      <c r="T118" s="295"/>
      <c r="U118" s="279"/>
      <c r="V118" s="279"/>
      <c r="W118" s="279"/>
      <c r="X118" s="279"/>
      <c r="Y118" s="279"/>
      <c r="Z118" s="279"/>
      <c r="AA118" s="279"/>
      <c r="AB118" s="279"/>
      <c r="AC118" s="279"/>
      <c r="AD118" s="279"/>
      <c r="AE118" s="279"/>
      <c r="AF118" s="279"/>
      <c r="AG118" s="279"/>
      <c r="AH118" s="279"/>
      <c r="AI118" s="279"/>
      <c r="AJ118" s="279"/>
      <c r="AK118" s="279"/>
      <c r="AL118" s="279"/>
      <c r="AM118" s="279"/>
      <c r="AN118" s="279"/>
      <c r="AO118" s="279"/>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row>
    <row r="119" spans="1:64" ht="15.75" thickBot="1">
      <c r="A119" s="284">
        <v>28</v>
      </c>
      <c r="B119" s="276" t="s">
        <v>767</v>
      </c>
      <c r="C119" s="343" t="s">
        <v>768</v>
      </c>
      <c r="D119" s="333">
        <f>'EIA 412 BALANCE SHEET'!C46</f>
        <v>175687</v>
      </c>
      <c r="E119" s="283"/>
      <c r="F119" s="283" t="s">
        <v>769</v>
      </c>
      <c r="G119" s="332">
        <f>+G88</f>
        <v>1.6748902982246166E-2</v>
      </c>
      <c r="H119" s="283"/>
      <c r="I119" s="298">
        <f>+G119*D119</f>
        <v>2942.5645182418821</v>
      </c>
      <c r="J119" s="283"/>
      <c r="K119" s="334"/>
      <c r="L119" s="278"/>
      <c r="M119" s="319"/>
      <c r="N119" s="295"/>
      <c r="O119" s="321"/>
      <c r="P119" s="321"/>
      <c r="Q119" s="319"/>
      <c r="R119" s="295"/>
      <c r="S119" s="295"/>
      <c r="T119" s="295"/>
      <c r="U119" s="279"/>
      <c r="V119" s="279"/>
      <c r="W119" s="279"/>
      <c r="X119" s="279"/>
      <c r="Y119" s="279"/>
      <c r="Z119" s="279"/>
      <c r="AA119" s="279"/>
      <c r="AB119" s="279"/>
      <c r="AC119" s="279"/>
      <c r="AD119" s="279"/>
      <c r="AE119" s="279"/>
      <c r="AF119" s="279"/>
      <c r="AG119" s="279"/>
      <c r="AH119" s="279"/>
      <c r="AI119" s="279"/>
      <c r="AJ119" s="279"/>
      <c r="AK119" s="279"/>
      <c r="AL119" s="279"/>
      <c r="AM119" s="279"/>
      <c r="AN119" s="279"/>
      <c r="AO119" s="279"/>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row>
    <row r="120" spans="1:64" ht="15">
      <c r="A120" s="284">
        <v>29</v>
      </c>
      <c r="B120" s="276" t="s">
        <v>770</v>
      </c>
      <c r="C120" s="277"/>
      <c r="D120" s="283">
        <f>D117+D118+D119</f>
        <v>456892.05974375003</v>
      </c>
      <c r="E120" s="277"/>
      <c r="F120" s="277"/>
      <c r="G120" s="277"/>
      <c r="H120" s="277"/>
      <c r="I120" s="283">
        <f>I117+I118+I119</f>
        <v>8271.6678771681254</v>
      </c>
      <c r="J120" s="277"/>
      <c r="K120" s="277"/>
      <c r="L120" s="278"/>
      <c r="M120" s="319"/>
      <c r="N120" s="295"/>
      <c r="O120" s="321"/>
      <c r="P120" s="321"/>
      <c r="Q120" s="319"/>
      <c r="R120" s="295"/>
      <c r="S120" s="295"/>
      <c r="T120" s="295"/>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row>
    <row r="121" spans="1:64" ht="15.75" thickBot="1">
      <c r="C121" s="283"/>
      <c r="D121" s="344"/>
      <c r="E121" s="283"/>
      <c r="F121" s="283"/>
      <c r="G121" s="283"/>
      <c r="H121" s="283"/>
      <c r="I121" s="344"/>
      <c r="J121" s="283"/>
      <c r="K121" s="283"/>
      <c r="L121" s="278"/>
      <c r="M121" s="319"/>
      <c r="N121" s="295"/>
      <c r="O121" s="341"/>
      <c r="P121" s="342"/>
      <c r="Q121" s="319"/>
      <c r="R121" s="295"/>
      <c r="S121" s="295"/>
      <c r="T121" s="295"/>
      <c r="U121" s="279"/>
      <c r="V121" s="279"/>
      <c r="W121" s="279"/>
      <c r="X121" s="279"/>
      <c r="Y121" s="279"/>
      <c r="Z121" s="279"/>
      <c r="AA121" s="279"/>
      <c r="AB121" s="279"/>
      <c r="AC121" s="279"/>
      <c r="AD121" s="279"/>
      <c r="AE121" s="279"/>
      <c r="AF121" s="279"/>
      <c r="AG121" s="279"/>
      <c r="AH121" s="279"/>
      <c r="AI121" s="279"/>
      <c r="AJ121" s="279"/>
      <c r="AK121" s="279"/>
      <c r="AL121" s="279"/>
      <c r="AM121" s="279"/>
      <c r="AN121" s="279"/>
      <c r="AO121" s="279"/>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row>
    <row r="122" spans="1:64" ht="15.75" thickBot="1">
      <c r="A122" s="284">
        <v>30</v>
      </c>
      <c r="B122" s="276" t="s">
        <v>771</v>
      </c>
      <c r="C122" s="283"/>
      <c r="D122" s="345">
        <f>+D120+D114+D112+D104</f>
        <v>27079608.059743751</v>
      </c>
      <c r="E122" s="283"/>
      <c r="F122" s="283"/>
      <c r="G122" s="334"/>
      <c r="H122" s="283"/>
      <c r="I122" s="345">
        <f>+I120+I114+I112+I104</f>
        <v>515922.17041867279</v>
      </c>
      <c r="J122" s="283"/>
      <c r="K122" s="334"/>
      <c r="L122" s="320"/>
      <c r="M122" s="319"/>
      <c r="N122" s="295"/>
      <c r="O122" s="341"/>
      <c r="P122" s="324"/>
      <c r="Q122" s="319"/>
      <c r="R122" s="295"/>
      <c r="S122" s="295"/>
      <c r="T122" s="295"/>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79"/>
      <c r="AU122" s="279"/>
      <c r="AV122" s="279"/>
      <c r="AW122" s="279"/>
      <c r="AX122" s="279"/>
      <c r="AY122" s="279"/>
      <c r="AZ122" s="279"/>
      <c r="BA122" s="279"/>
      <c r="BB122" s="279"/>
      <c r="BC122" s="279"/>
      <c r="BD122" s="279"/>
      <c r="BE122" s="279"/>
      <c r="BF122" s="279"/>
      <c r="BG122" s="279"/>
      <c r="BH122" s="279"/>
      <c r="BI122" s="279"/>
      <c r="BJ122" s="279"/>
      <c r="BK122" s="279"/>
      <c r="BL122" s="279"/>
    </row>
    <row r="123" spans="1:64" ht="15.75" thickTop="1">
      <c r="A123" s="284"/>
      <c r="B123" s="276"/>
      <c r="C123" s="283"/>
      <c r="D123" s="283"/>
      <c r="E123" s="283"/>
      <c r="F123" s="283"/>
      <c r="G123" s="283"/>
      <c r="H123" s="283"/>
      <c r="I123" s="283"/>
      <c r="J123" s="283"/>
      <c r="K123" s="283"/>
      <c r="L123" s="320"/>
      <c r="M123" s="319"/>
      <c r="N123" s="295"/>
      <c r="O123" s="341"/>
      <c r="P123" s="324"/>
      <c r="Q123" s="319"/>
      <c r="R123" s="295"/>
      <c r="S123" s="295"/>
      <c r="T123" s="295"/>
      <c r="U123" s="279"/>
      <c r="V123" s="279"/>
      <c r="W123" s="279"/>
      <c r="X123" s="279"/>
      <c r="Y123" s="279"/>
      <c r="Z123" s="279"/>
      <c r="AA123" s="279"/>
      <c r="AB123" s="279"/>
      <c r="AC123" s="279"/>
      <c r="AD123" s="279"/>
      <c r="AE123" s="279"/>
      <c r="AF123" s="279"/>
      <c r="AG123" s="279"/>
      <c r="AH123" s="279"/>
      <c r="AI123" s="279"/>
      <c r="AJ123" s="279"/>
      <c r="AK123" s="279"/>
      <c r="AL123" s="279"/>
      <c r="AM123" s="279"/>
      <c r="AN123" s="279"/>
      <c r="AO123" s="279"/>
      <c r="AP123" s="279"/>
      <c r="AQ123" s="279"/>
      <c r="AR123" s="279"/>
      <c r="AS123" s="279"/>
      <c r="AT123" s="279"/>
      <c r="AU123" s="279"/>
      <c r="AV123" s="279"/>
      <c r="AW123" s="279"/>
      <c r="AX123" s="279"/>
      <c r="AY123" s="279"/>
      <c r="AZ123" s="279"/>
      <c r="BA123" s="279"/>
      <c r="BB123" s="279"/>
      <c r="BC123" s="279"/>
      <c r="BD123" s="279"/>
      <c r="BE123" s="279"/>
      <c r="BF123" s="279"/>
      <c r="BG123" s="279"/>
      <c r="BH123" s="279"/>
      <c r="BI123" s="279"/>
      <c r="BJ123" s="279"/>
      <c r="BK123" s="279"/>
      <c r="BL123" s="279"/>
    </row>
    <row r="124" spans="1:64" ht="15">
      <c r="A124" s="284"/>
      <c r="B124" s="276"/>
      <c r="C124" s="283"/>
      <c r="D124" s="283"/>
      <c r="E124" s="283"/>
      <c r="F124" s="283"/>
      <c r="G124" s="283"/>
      <c r="H124" s="283"/>
      <c r="I124" s="283"/>
      <c r="J124" s="283"/>
      <c r="K124" s="283"/>
      <c r="L124" s="320"/>
      <c r="M124" s="319"/>
      <c r="N124" s="295"/>
      <c r="O124" s="336"/>
      <c r="P124" s="321"/>
      <c r="Q124" s="319"/>
      <c r="R124" s="295"/>
      <c r="S124" s="295"/>
      <c r="T124" s="295"/>
      <c r="U124" s="279"/>
      <c r="V124" s="279"/>
      <c r="W124" s="279"/>
      <c r="X124" s="279"/>
      <c r="Y124" s="279"/>
      <c r="Z124" s="279"/>
      <c r="AA124" s="279"/>
      <c r="AB124" s="279"/>
      <c r="AC124" s="279"/>
      <c r="AD124" s="279"/>
      <c r="AE124" s="279"/>
      <c r="AF124" s="279"/>
      <c r="AG124" s="279"/>
      <c r="AH124" s="279"/>
      <c r="AI124" s="279"/>
      <c r="AJ124" s="279"/>
      <c r="AK124" s="279"/>
      <c r="AL124" s="279"/>
      <c r="AM124" s="279"/>
      <c r="AN124" s="279"/>
      <c r="AO124" s="279"/>
      <c r="AP124" s="279"/>
      <c r="AQ124" s="279"/>
      <c r="AR124" s="279"/>
      <c r="AS124" s="279"/>
      <c r="AT124" s="279"/>
      <c r="AU124" s="279"/>
      <c r="AV124" s="279"/>
      <c r="AW124" s="279"/>
      <c r="AX124" s="279"/>
      <c r="AY124" s="279"/>
      <c r="AZ124" s="279"/>
      <c r="BA124" s="279"/>
      <c r="BB124" s="279"/>
      <c r="BC124" s="279"/>
      <c r="BD124" s="279"/>
      <c r="BE124" s="279"/>
      <c r="BF124" s="279"/>
      <c r="BG124" s="279"/>
      <c r="BH124" s="279"/>
      <c r="BI124" s="279"/>
      <c r="BJ124" s="279"/>
      <c r="BK124" s="279"/>
      <c r="BL124" s="279"/>
    </row>
    <row r="125" spans="1:64" ht="15">
      <c r="A125"/>
      <c r="B125"/>
      <c r="C125"/>
      <c r="D125"/>
      <c r="E125"/>
      <c r="F125"/>
      <c r="G125"/>
      <c r="H125"/>
      <c r="I125"/>
      <c r="J125"/>
      <c r="K125"/>
      <c r="L125"/>
      <c r="M125" s="319"/>
      <c r="N125" s="295"/>
      <c r="O125" s="321"/>
      <c r="P125" s="321"/>
      <c r="Q125" s="319"/>
      <c r="R125" s="295"/>
      <c r="S125" s="295"/>
      <c r="T125" s="295"/>
      <c r="U125" s="279"/>
      <c r="V125" s="279"/>
      <c r="W125" s="279"/>
      <c r="X125" s="279"/>
      <c r="Y125" s="279"/>
      <c r="Z125" s="279"/>
      <c r="AA125" s="279"/>
      <c r="AB125" s="279"/>
      <c r="AC125" s="279"/>
      <c r="AD125" s="279"/>
      <c r="AE125" s="279"/>
      <c r="AF125" s="279"/>
      <c r="AG125" s="279"/>
      <c r="AH125" s="279"/>
      <c r="AI125" s="279"/>
      <c r="AJ125" s="279"/>
      <c r="AK125" s="279"/>
      <c r="AL125" s="279"/>
      <c r="AM125" s="279"/>
      <c r="AN125" s="279"/>
      <c r="AO125" s="279"/>
      <c r="AP125" s="279"/>
      <c r="AQ125" s="279"/>
      <c r="AR125" s="279"/>
      <c r="AS125" s="279"/>
      <c r="AT125" s="279"/>
      <c r="AU125" s="279"/>
      <c r="AV125" s="279"/>
      <c r="AW125" s="279"/>
      <c r="AX125" s="279"/>
      <c r="AY125" s="279"/>
      <c r="AZ125" s="279"/>
      <c r="BA125" s="279"/>
      <c r="BB125" s="279"/>
      <c r="BC125" s="279"/>
      <c r="BD125" s="279"/>
      <c r="BE125" s="279"/>
      <c r="BF125" s="279"/>
      <c r="BG125" s="279"/>
      <c r="BH125" s="279"/>
      <c r="BI125" s="279"/>
      <c r="BJ125" s="279"/>
      <c r="BK125" s="279"/>
      <c r="BL125" s="279"/>
    </row>
    <row r="126" spans="1:64" ht="15">
      <c r="A126"/>
      <c r="B126"/>
      <c r="C126"/>
      <c r="D126"/>
      <c r="E126"/>
      <c r="F126"/>
      <c r="G126"/>
      <c r="H126"/>
      <c r="I126"/>
      <c r="J126"/>
      <c r="K126"/>
      <c r="L126"/>
      <c r="M126" s="319"/>
      <c r="N126" s="295"/>
      <c r="O126" s="321"/>
      <c r="P126" s="321"/>
      <c r="Q126" s="319"/>
      <c r="R126" s="295"/>
      <c r="S126" s="295"/>
      <c r="T126" s="295"/>
      <c r="U126" s="279"/>
      <c r="V126" s="279"/>
      <c r="W126" s="279"/>
      <c r="X126" s="279"/>
      <c r="Y126" s="279"/>
      <c r="Z126" s="279"/>
      <c r="AA126" s="279"/>
      <c r="AB126" s="279"/>
      <c r="AC126" s="279"/>
      <c r="AD126" s="279"/>
      <c r="AE126" s="279"/>
      <c r="AF126" s="279"/>
      <c r="AG126" s="279"/>
      <c r="AH126" s="279"/>
      <c r="AI126" s="279"/>
      <c r="AJ126" s="279"/>
      <c r="AK126" s="279"/>
      <c r="AL126" s="279"/>
      <c r="AM126" s="279"/>
      <c r="AN126" s="279"/>
      <c r="AO126" s="279"/>
      <c r="AP126" s="279"/>
      <c r="AQ126" s="279"/>
      <c r="AR126" s="279"/>
      <c r="AS126" s="279"/>
      <c r="AT126" s="279"/>
      <c r="AU126" s="279"/>
      <c r="AV126" s="279"/>
      <c r="AW126" s="279"/>
      <c r="AX126" s="279"/>
      <c r="AY126" s="279"/>
      <c r="AZ126" s="279"/>
      <c r="BA126" s="279"/>
      <c r="BB126" s="279"/>
      <c r="BC126" s="279"/>
      <c r="BD126" s="279"/>
      <c r="BE126" s="279"/>
      <c r="BF126" s="279"/>
      <c r="BG126" s="279"/>
      <c r="BH126" s="279"/>
      <c r="BI126" s="279"/>
      <c r="BJ126" s="279"/>
      <c r="BK126" s="279"/>
      <c r="BL126" s="279"/>
    </row>
    <row r="127" spans="1:64" ht="15">
      <c r="A127"/>
      <c r="B127"/>
      <c r="C127"/>
      <c r="D127"/>
      <c r="E127"/>
      <c r="F127"/>
      <c r="G127"/>
      <c r="H127"/>
      <c r="I127"/>
      <c r="J127"/>
      <c r="K127"/>
      <c r="L127"/>
      <c r="M127" s="296"/>
      <c r="N127" s="295"/>
      <c r="O127" s="321"/>
      <c r="P127" s="321"/>
      <c r="Q127" s="319"/>
      <c r="R127" s="295"/>
      <c r="S127" s="295"/>
      <c r="T127" s="295"/>
      <c r="U127" s="279"/>
      <c r="V127" s="279"/>
      <c r="W127" s="279"/>
      <c r="X127" s="279"/>
      <c r="Y127" s="279"/>
      <c r="Z127" s="279"/>
      <c r="AA127" s="279"/>
      <c r="AB127" s="279"/>
      <c r="AC127" s="279"/>
      <c r="AD127" s="279"/>
      <c r="AE127" s="279"/>
      <c r="AF127" s="279"/>
      <c r="AG127" s="279"/>
      <c r="AH127" s="279"/>
      <c r="AI127" s="279"/>
      <c r="AJ127" s="279"/>
      <c r="AK127" s="279"/>
      <c r="AL127" s="279"/>
      <c r="AM127" s="279"/>
      <c r="AN127" s="279"/>
      <c r="AO127" s="279"/>
      <c r="AP127" s="279"/>
      <c r="AQ127" s="279"/>
      <c r="AR127" s="279"/>
      <c r="AS127" s="279"/>
      <c r="AT127" s="279"/>
      <c r="AU127" s="279"/>
      <c r="AV127" s="279"/>
      <c r="AW127" s="279"/>
      <c r="AX127" s="279"/>
      <c r="AY127" s="279"/>
      <c r="AZ127" s="279"/>
      <c r="BA127" s="279"/>
      <c r="BB127" s="279"/>
      <c r="BC127" s="279"/>
      <c r="BD127" s="279"/>
      <c r="BE127" s="279"/>
      <c r="BF127" s="279"/>
      <c r="BG127" s="279"/>
      <c r="BH127" s="279"/>
      <c r="BI127" s="279"/>
      <c r="BJ127" s="279"/>
      <c r="BK127" s="279"/>
      <c r="BL127" s="279"/>
    </row>
    <row r="128" spans="1:64" ht="15">
      <c r="A128"/>
      <c r="B128"/>
      <c r="C128"/>
      <c r="D128"/>
      <c r="E128"/>
      <c r="F128"/>
      <c r="G128"/>
      <c r="H128"/>
      <c r="I128"/>
      <c r="J128"/>
      <c r="K128"/>
      <c r="L128"/>
      <c r="M128" s="296"/>
      <c r="N128" s="295"/>
      <c r="O128" s="321"/>
      <c r="P128" s="321"/>
      <c r="Q128" s="319"/>
      <c r="R128" s="295"/>
      <c r="S128" s="295"/>
      <c r="T128" s="295"/>
      <c r="U128" s="279"/>
      <c r="V128" s="279"/>
      <c r="W128" s="279"/>
      <c r="X128" s="279"/>
      <c r="Y128" s="279"/>
      <c r="Z128" s="279"/>
      <c r="AA128" s="279"/>
      <c r="AB128" s="279"/>
      <c r="AC128" s="279"/>
      <c r="AD128" s="279"/>
      <c r="AE128" s="279"/>
      <c r="AF128" s="279"/>
      <c r="AG128" s="279"/>
      <c r="AH128" s="279"/>
      <c r="AI128" s="279"/>
      <c r="AJ128" s="279"/>
      <c r="AK128" s="279"/>
      <c r="AL128" s="279"/>
      <c r="AM128" s="279"/>
      <c r="AN128" s="279"/>
      <c r="AO128" s="279"/>
      <c r="AP128" s="279"/>
      <c r="AQ128" s="279"/>
      <c r="AR128" s="279"/>
      <c r="AS128" s="279"/>
      <c r="AT128" s="279"/>
      <c r="AU128" s="279"/>
      <c r="AV128" s="279"/>
      <c r="AW128" s="279"/>
      <c r="AX128" s="279"/>
      <c r="AY128" s="279"/>
      <c r="AZ128" s="279"/>
      <c r="BA128" s="279"/>
      <c r="BB128" s="279"/>
      <c r="BC128" s="279"/>
      <c r="BD128" s="279"/>
      <c r="BE128" s="279"/>
      <c r="BF128" s="279"/>
      <c r="BG128" s="279"/>
      <c r="BH128" s="279"/>
      <c r="BI128" s="279"/>
      <c r="BJ128" s="279"/>
      <c r="BK128" s="279"/>
      <c r="BL128" s="279"/>
    </row>
    <row r="129" spans="1:64" ht="15">
      <c r="A129"/>
      <c r="B129"/>
      <c r="C129"/>
      <c r="D129"/>
      <c r="E129"/>
      <c r="F129"/>
      <c r="G129"/>
      <c r="H129"/>
      <c r="I129"/>
      <c r="J129"/>
      <c r="K129"/>
      <c r="L129"/>
      <c r="M129" s="296"/>
      <c r="N129" s="295"/>
      <c r="O129" s="321"/>
      <c r="P129" s="321"/>
      <c r="Q129" s="319"/>
      <c r="R129" s="295"/>
      <c r="S129" s="295"/>
      <c r="T129" s="295"/>
      <c r="U129" s="279"/>
      <c r="V129" s="279"/>
      <c r="W129" s="279"/>
      <c r="X129" s="279"/>
      <c r="Y129" s="279"/>
      <c r="Z129" s="279"/>
      <c r="AA129" s="279"/>
      <c r="AB129" s="279"/>
      <c r="AC129" s="279"/>
      <c r="AD129" s="279"/>
      <c r="AE129" s="279"/>
      <c r="AF129" s="279"/>
      <c r="AG129" s="279"/>
      <c r="AH129" s="279"/>
      <c r="AI129" s="279"/>
      <c r="AJ129" s="279"/>
      <c r="AK129" s="279"/>
      <c r="AL129" s="279"/>
      <c r="AM129" s="279"/>
      <c r="AN129" s="279"/>
      <c r="AO129" s="279"/>
      <c r="AP129" s="279"/>
      <c r="AQ129" s="279"/>
      <c r="AR129" s="279"/>
      <c r="AS129" s="279"/>
      <c r="AT129" s="279"/>
      <c r="AU129" s="279"/>
      <c r="AV129" s="279"/>
      <c r="AW129" s="279"/>
      <c r="AX129" s="279"/>
      <c r="AY129" s="279"/>
      <c r="AZ129" s="279"/>
      <c r="BA129" s="279"/>
      <c r="BB129" s="279"/>
      <c r="BC129" s="279"/>
      <c r="BD129" s="279"/>
      <c r="BE129" s="279"/>
      <c r="BF129" s="279"/>
      <c r="BG129" s="279"/>
      <c r="BH129" s="279"/>
      <c r="BI129" s="279"/>
      <c r="BJ129" s="279"/>
      <c r="BK129" s="279"/>
      <c r="BL129" s="279"/>
    </row>
    <row r="130" spans="1:64" ht="15">
      <c r="A130"/>
      <c r="B130"/>
      <c r="C130"/>
      <c r="D130"/>
      <c r="E130"/>
      <c r="F130"/>
      <c r="G130"/>
      <c r="H130"/>
      <c r="I130"/>
      <c r="J130"/>
      <c r="K130"/>
      <c r="L130"/>
      <c r="M130" s="296"/>
      <c r="N130" s="295"/>
      <c r="O130" s="321"/>
      <c r="P130" s="321"/>
      <c r="Q130" s="319"/>
      <c r="R130" s="295"/>
      <c r="S130" s="295"/>
      <c r="T130" s="295"/>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79"/>
      <c r="AY130" s="279"/>
      <c r="AZ130" s="279"/>
      <c r="BA130" s="279"/>
      <c r="BB130" s="279"/>
      <c r="BC130" s="279"/>
      <c r="BD130" s="279"/>
      <c r="BE130" s="279"/>
      <c r="BF130" s="279"/>
      <c r="BG130" s="279"/>
      <c r="BH130" s="279"/>
      <c r="BI130" s="279"/>
      <c r="BJ130" s="279"/>
      <c r="BK130" s="279"/>
      <c r="BL130" s="279"/>
    </row>
    <row r="131" spans="1:64" ht="15">
      <c r="A131"/>
      <c r="B131"/>
      <c r="C131"/>
      <c r="D131"/>
      <c r="E131"/>
      <c r="F131"/>
      <c r="G131"/>
      <c r="H131"/>
      <c r="I131"/>
      <c r="J131"/>
      <c r="K131"/>
      <c r="L131"/>
      <c r="M131" s="296"/>
      <c r="N131" s="295"/>
      <c r="O131" s="321"/>
      <c r="P131" s="321"/>
      <c r="Q131" s="319"/>
      <c r="R131" s="295"/>
      <c r="S131" s="295"/>
      <c r="T131" s="295"/>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79"/>
      <c r="AY131" s="279"/>
      <c r="AZ131" s="279"/>
      <c r="BA131" s="279"/>
      <c r="BB131" s="279"/>
      <c r="BC131" s="279"/>
      <c r="BD131" s="279"/>
      <c r="BE131" s="279"/>
      <c r="BF131" s="279"/>
      <c r="BG131" s="279"/>
      <c r="BH131" s="279"/>
      <c r="BI131" s="279"/>
      <c r="BJ131" s="279"/>
      <c r="BK131" s="279"/>
      <c r="BL131" s="279"/>
    </row>
    <row r="132" spans="1:64" ht="15">
      <c r="A132"/>
      <c r="B132"/>
      <c r="C132"/>
      <c r="D132"/>
      <c r="E132"/>
      <c r="F132"/>
      <c r="G132"/>
      <c r="H132"/>
      <c r="I132"/>
      <c r="J132"/>
      <c r="K132"/>
      <c r="L132"/>
      <c r="M132" s="296"/>
      <c r="N132" s="295"/>
      <c r="O132" s="321"/>
      <c r="P132" s="321"/>
      <c r="Q132" s="319"/>
      <c r="R132" s="295"/>
      <c r="S132" s="295"/>
      <c r="T132" s="295"/>
      <c r="U132" s="279"/>
      <c r="V132" s="279"/>
      <c r="W132" s="279"/>
      <c r="X132" s="279"/>
      <c r="Y132" s="279"/>
      <c r="Z132" s="279"/>
      <c r="AA132" s="279"/>
      <c r="AB132" s="279"/>
      <c r="AC132" s="279"/>
      <c r="AD132" s="279"/>
      <c r="AE132" s="279"/>
      <c r="AF132" s="279"/>
      <c r="AG132" s="279"/>
      <c r="AH132" s="279"/>
      <c r="AI132" s="279"/>
      <c r="AJ132" s="279"/>
      <c r="AK132" s="279"/>
      <c r="AL132" s="279"/>
      <c r="AM132" s="279"/>
      <c r="AN132" s="279"/>
      <c r="AO132" s="279"/>
      <c r="AP132" s="279"/>
      <c r="AQ132" s="279"/>
      <c r="AR132" s="279"/>
      <c r="AS132" s="279"/>
      <c r="AT132" s="279"/>
      <c r="AU132" s="279"/>
      <c r="AV132" s="279"/>
      <c r="AW132" s="279"/>
      <c r="AX132" s="279"/>
      <c r="AY132" s="279"/>
      <c r="AZ132" s="279"/>
      <c r="BA132" s="279"/>
      <c r="BB132" s="279"/>
      <c r="BC132" s="279"/>
      <c r="BD132" s="279"/>
      <c r="BE132" s="279"/>
      <c r="BF132" s="279"/>
      <c r="BG132" s="279"/>
      <c r="BH132" s="279"/>
      <c r="BI132" s="279"/>
      <c r="BJ132" s="279"/>
      <c r="BK132" s="279"/>
      <c r="BL132" s="279"/>
    </row>
    <row r="133" spans="1:64" s="696" customFormat="1" ht="15">
      <c r="A133" s="695"/>
      <c r="B133" s="695"/>
      <c r="C133" s="695"/>
      <c r="D133" s="695"/>
      <c r="E133" s="695"/>
      <c r="F133" s="695"/>
      <c r="G133" s="695"/>
      <c r="H133" s="695"/>
      <c r="I133" s="695"/>
      <c r="J133" s="695"/>
      <c r="K133" s="695"/>
      <c r="L133" s="695"/>
      <c r="M133" s="699"/>
      <c r="N133" s="698"/>
      <c r="O133" s="701"/>
      <c r="P133" s="701"/>
      <c r="Q133" s="700"/>
      <c r="R133" s="698"/>
      <c r="S133" s="698"/>
      <c r="T133" s="698"/>
      <c r="U133" s="697"/>
      <c r="V133" s="697"/>
      <c r="W133" s="697"/>
      <c r="X133" s="697"/>
      <c r="Y133" s="697"/>
      <c r="Z133" s="697"/>
      <c r="AA133" s="697"/>
      <c r="AB133" s="697"/>
      <c r="AC133" s="697"/>
      <c r="AD133" s="697"/>
      <c r="AE133" s="697"/>
      <c r="AF133" s="697"/>
      <c r="AG133" s="697"/>
      <c r="AH133" s="697"/>
      <c r="AI133" s="697"/>
      <c r="AJ133" s="697"/>
      <c r="AK133" s="697"/>
      <c r="AL133" s="697"/>
      <c r="AM133" s="697"/>
      <c r="AN133" s="697"/>
      <c r="AO133" s="697"/>
      <c r="AP133" s="697"/>
      <c r="AQ133" s="697"/>
      <c r="AR133" s="697"/>
      <c r="AS133" s="697"/>
      <c r="AT133" s="697"/>
      <c r="AU133" s="697"/>
      <c r="AV133" s="697"/>
      <c r="AW133" s="697"/>
      <c r="AX133" s="697"/>
      <c r="AY133" s="697"/>
      <c r="AZ133" s="697"/>
      <c r="BA133" s="697"/>
      <c r="BB133" s="697"/>
      <c r="BC133" s="697"/>
      <c r="BD133" s="697"/>
      <c r="BE133" s="697"/>
      <c r="BF133" s="697"/>
      <c r="BG133" s="697"/>
      <c r="BH133" s="697"/>
      <c r="BI133" s="697"/>
      <c r="BJ133" s="697"/>
      <c r="BK133" s="697"/>
      <c r="BL133" s="697"/>
    </row>
    <row r="134" spans="1:64" s="696" customFormat="1" ht="15">
      <c r="A134" s="695"/>
      <c r="B134" s="695"/>
      <c r="C134" s="695"/>
      <c r="D134" s="695"/>
      <c r="E134" s="695"/>
      <c r="F134" s="695"/>
      <c r="G134" s="695"/>
      <c r="H134" s="695"/>
      <c r="I134" s="695"/>
      <c r="J134" s="695"/>
      <c r="K134" s="695"/>
      <c r="L134" s="695"/>
      <c r="M134" s="699"/>
      <c r="N134" s="698"/>
      <c r="O134" s="701"/>
      <c r="P134" s="701"/>
      <c r="Q134" s="700"/>
      <c r="R134" s="698"/>
      <c r="S134" s="698"/>
      <c r="T134" s="698"/>
      <c r="U134" s="697"/>
      <c r="V134" s="697"/>
      <c r="W134" s="697"/>
      <c r="X134" s="697"/>
      <c r="Y134" s="697"/>
      <c r="Z134" s="697"/>
      <c r="AA134" s="697"/>
      <c r="AB134" s="697"/>
      <c r="AC134" s="697"/>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697"/>
      <c r="AY134" s="697"/>
      <c r="AZ134" s="697"/>
      <c r="BA134" s="697"/>
      <c r="BB134" s="697"/>
      <c r="BC134" s="697"/>
      <c r="BD134" s="697"/>
      <c r="BE134" s="697"/>
      <c r="BF134" s="697"/>
      <c r="BG134" s="697"/>
      <c r="BH134" s="697"/>
      <c r="BI134" s="697"/>
      <c r="BJ134" s="697"/>
      <c r="BK134" s="697"/>
      <c r="BL134" s="697"/>
    </row>
    <row r="135" spans="1:64" s="696" customFormat="1" ht="15">
      <c r="A135" s="695"/>
      <c r="B135" s="695"/>
      <c r="C135" s="695"/>
      <c r="D135" s="695"/>
      <c r="E135" s="695"/>
      <c r="F135" s="695"/>
      <c r="G135" s="695"/>
      <c r="H135" s="695"/>
      <c r="I135" s="695"/>
      <c r="J135" s="695"/>
      <c r="K135" s="695"/>
      <c r="L135" s="695"/>
      <c r="M135" s="699"/>
      <c r="N135" s="698"/>
      <c r="O135" s="701"/>
      <c r="P135" s="701"/>
      <c r="Q135" s="700"/>
      <c r="R135" s="698"/>
      <c r="S135" s="698"/>
      <c r="T135" s="698"/>
      <c r="U135" s="697"/>
      <c r="V135" s="697"/>
      <c r="W135" s="697"/>
      <c r="X135" s="697"/>
      <c r="Y135" s="697"/>
      <c r="Z135" s="697"/>
      <c r="AA135" s="697"/>
      <c r="AB135" s="697"/>
      <c r="AC135" s="697"/>
      <c r="AD135" s="697"/>
      <c r="AE135" s="697"/>
      <c r="AF135" s="697"/>
      <c r="AG135" s="697"/>
      <c r="AH135" s="697"/>
      <c r="AI135" s="697"/>
      <c r="AJ135" s="697"/>
      <c r="AK135" s="697"/>
      <c r="AL135" s="697"/>
      <c r="AM135" s="697"/>
      <c r="AN135" s="697"/>
      <c r="AO135" s="697"/>
      <c r="AP135" s="697"/>
      <c r="AQ135" s="697"/>
      <c r="AR135" s="697"/>
      <c r="AS135" s="697"/>
      <c r="AT135" s="697"/>
      <c r="AU135" s="697"/>
      <c r="AV135" s="697"/>
      <c r="AW135" s="697"/>
      <c r="AX135" s="697"/>
      <c r="AY135" s="697"/>
      <c r="AZ135" s="697"/>
      <c r="BA135" s="697"/>
      <c r="BB135" s="697"/>
      <c r="BC135" s="697"/>
      <c r="BD135" s="697"/>
      <c r="BE135" s="697"/>
      <c r="BF135" s="697"/>
      <c r="BG135" s="697"/>
      <c r="BH135" s="697"/>
      <c r="BI135" s="697"/>
      <c r="BJ135" s="697"/>
      <c r="BK135" s="697"/>
      <c r="BL135" s="697"/>
    </row>
    <row r="136" spans="1:64" s="696" customFormat="1" ht="15">
      <c r="A136" s="695"/>
      <c r="B136" s="695"/>
      <c r="C136" s="695"/>
      <c r="D136" s="695"/>
      <c r="E136" s="695"/>
      <c r="F136" s="695"/>
      <c r="G136" s="695"/>
      <c r="H136" s="695"/>
      <c r="I136" s="695"/>
      <c r="J136" s="695"/>
      <c r="K136" s="695"/>
      <c r="L136" s="695"/>
      <c r="M136" s="699"/>
      <c r="N136" s="698"/>
      <c r="O136" s="701"/>
      <c r="P136" s="701"/>
      <c r="Q136" s="700"/>
      <c r="R136" s="698"/>
      <c r="S136" s="698"/>
      <c r="T136" s="698"/>
      <c r="U136" s="697"/>
      <c r="V136" s="697"/>
      <c r="W136" s="697"/>
      <c r="X136" s="697"/>
      <c r="Y136" s="697"/>
      <c r="Z136" s="697"/>
      <c r="AA136" s="697"/>
      <c r="AB136" s="697"/>
      <c r="AC136" s="697"/>
      <c r="AD136" s="697"/>
      <c r="AE136" s="697"/>
      <c r="AF136" s="697"/>
      <c r="AG136" s="697"/>
      <c r="AH136" s="697"/>
      <c r="AI136" s="697"/>
      <c r="AJ136" s="697"/>
      <c r="AK136" s="697"/>
      <c r="AL136" s="697"/>
      <c r="AM136" s="697"/>
      <c r="AN136" s="697"/>
      <c r="AO136" s="697"/>
      <c r="AP136" s="697"/>
      <c r="AQ136" s="697"/>
      <c r="AR136" s="697"/>
      <c r="AS136" s="697"/>
      <c r="AT136" s="697"/>
      <c r="AU136" s="697"/>
      <c r="AV136" s="697"/>
      <c r="AW136" s="697"/>
      <c r="AX136" s="697"/>
      <c r="AY136" s="697"/>
      <c r="AZ136" s="697"/>
      <c r="BA136" s="697"/>
      <c r="BB136" s="697"/>
      <c r="BC136" s="697"/>
      <c r="BD136" s="697"/>
      <c r="BE136" s="697"/>
      <c r="BF136" s="697"/>
      <c r="BG136" s="697"/>
      <c r="BH136" s="697"/>
      <c r="BI136" s="697"/>
      <c r="BJ136" s="697"/>
      <c r="BK136" s="697"/>
      <c r="BL136" s="697"/>
    </row>
    <row r="137" spans="1:64" s="696" customFormat="1" ht="15">
      <c r="A137" s="695"/>
      <c r="B137" s="695"/>
      <c r="C137" s="695"/>
      <c r="D137" s="695"/>
      <c r="E137" s="695"/>
      <c r="F137" s="695"/>
      <c r="G137" s="695"/>
      <c r="H137" s="695"/>
      <c r="I137" s="695"/>
      <c r="J137" s="695"/>
      <c r="K137" s="695"/>
      <c r="L137" s="695"/>
      <c r="M137" s="699"/>
      <c r="N137" s="698"/>
      <c r="O137" s="701"/>
      <c r="P137" s="701"/>
      <c r="Q137" s="700"/>
      <c r="R137" s="698"/>
      <c r="S137" s="698"/>
      <c r="T137" s="698"/>
      <c r="U137" s="697"/>
      <c r="V137" s="697"/>
      <c r="W137" s="697"/>
      <c r="X137" s="697"/>
      <c r="Y137" s="697"/>
      <c r="Z137" s="697"/>
      <c r="AA137" s="697"/>
      <c r="AB137" s="697"/>
      <c r="AC137" s="697"/>
      <c r="AD137" s="697"/>
      <c r="AE137" s="697"/>
      <c r="AF137" s="697"/>
      <c r="AG137" s="697"/>
      <c r="AH137" s="697"/>
      <c r="AI137" s="697"/>
      <c r="AJ137" s="697"/>
      <c r="AK137" s="697"/>
      <c r="AL137" s="697"/>
      <c r="AM137" s="697"/>
      <c r="AN137" s="697"/>
      <c r="AO137" s="697"/>
      <c r="AP137" s="697"/>
      <c r="AQ137" s="697"/>
      <c r="AR137" s="697"/>
      <c r="AS137" s="697"/>
      <c r="AT137" s="697"/>
      <c r="AU137" s="697"/>
      <c r="AV137" s="697"/>
      <c r="AW137" s="697"/>
      <c r="AX137" s="697"/>
      <c r="AY137" s="697"/>
      <c r="AZ137" s="697"/>
      <c r="BA137" s="697"/>
      <c r="BB137" s="697"/>
      <c r="BC137" s="697"/>
      <c r="BD137" s="697"/>
      <c r="BE137" s="697"/>
      <c r="BF137" s="697"/>
      <c r="BG137" s="697"/>
      <c r="BH137" s="697"/>
      <c r="BI137" s="697"/>
      <c r="BJ137" s="697"/>
      <c r="BK137" s="697"/>
      <c r="BL137" s="697"/>
    </row>
    <row r="138" spans="1:64" ht="15">
      <c r="A138"/>
      <c r="B138"/>
      <c r="C138"/>
      <c r="D138"/>
      <c r="E138"/>
      <c r="F138"/>
      <c r="G138"/>
      <c r="H138" s="659" t="str">
        <f>H1</f>
        <v>Attachment O-EIA Non-Levelized Generic</v>
      </c>
      <c r="I138"/>
      <c r="J138"/>
      <c r="K138"/>
      <c r="L138"/>
      <c r="M138" s="296"/>
      <c r="N138" s="295"/>
      <c r="O138" s="321"/>
      <c r="P138" s="321"/>
      <c r="Q138" s="319"/>
      <c r="R138" s="295"/>
      <c r="S138" s="295"/>
      <c r="T138" s="295"/>
      <c r="U138" s="279"/>
      <c r="V138" s="279"/>
      <c r="W138" s="279"/>
      <c r="X138" s="279"/>
      <c r="Y138" s="279"/>
      <c r="Z138" s="279"/>
      <c r="AA138" s="279"/>
      <c r="AB138" s="279"/>
      <c r="AC138" s="279"/>
      <c r="AD138" s="279"/>
      <c r="AE138" s="279"/>
      <c r="AF138" s="279"/>
      <c r="AG138" s="279"/>
      <c r="AH138" s="279"/>
      <c r="AI138" s="279"/>
      <c r="AJ138" s="279"/>
      <c r="AK138" s="279"/>
      <c r="AL138" s="279"/>
      <c r="AM138" s="279"/>
      <c r="AN138" s="279"/>
      <c r="AO138" s="279"/>
      <c r="AP138" s="279"/>
      <c r="AQ138" s="279"/>
      <c r="AR138" s="279"/>
      <c r="AS138" s="279"/>
      <c r="AT138" s="279"/>
      <c r="AU138" s="279"/>
      <c r="AV138" s="279"/>
      <c r="AW138" s="279"/>
      <c r="AX138" s="279"/>
      <c r="AY138" s="279"/>
      <c r="AZ138" s="279"/>
      <c r="BA138" s="279"/>
      <c r="BB138" s="279"/>
      <c r="BC138" s="279"/>
      <c r="BD138" s="279"/>
      <c r="BE138" s="279"/>
      <c r="BF138" s="279"/>
      <c r="BG138" s="279"/>
      <c r="BH138" s="279"/>
      <c r="BI138" s="279"/>
      <c r="BJ138" s="279"/>
      <c r="BK138" s="279"/>
      <c r="BL138" s="279"/>
    </row>
    <row r="139" spans="1:64" ht="15">
      <c r="B139" s="276"/>
      <c r="C139" s="276"/>
      <c r="D139" s="280"/>
      <c r="E139" s="276"/>
      <c r="F139" s="276"/>
      <c r="G139" s="276"/>
      <c r="H139" s="277"/>
      <c r="I139" s="277"/>
      <c r="J139" s="277"/>
      <c r="K139" s="738" t="s">
        <v>772</v>
      </c>
      <c r="L139" s="738"/>
      <c r="M139" s="296"/>
      <c r="N139" s="295"/>
      <c r="O139" s="296"/>
      <c r="P139" s="296"/>
      <c r="Q139" s="296"/>
      <c r="R139" s="295"/>
      <c r="S139" s="295"/>
      <c r="T139" s="295"/>
      <c r="U139" s="279"/>
      <c r="V139" s="279"/>
      <c r="W139" s="279"/>
      <c r="X139" s="279"/>
      <c r="Y139" s="279"/>
      <c r="Z139" s="279"/>
      <c r="AA139" s="279"/>
      <c r="AB139" s="279"/>
      <c r="AC139" s="279"/>
      <c r="AD139" s="279"/>
      <c r="AE139" s="279"/>
      <c r="AF139" s="279"/>
      <c r="AG139" s="279"/>
      <c r="AH139" s="279"/>
      <c r="AI139" s="279"/>
      <c r="AJ139" s="279"/>
      <c r="AK139" s="279"/>
      <c r="AL139" s="279"/>
      <c r="AM139" s="279"/>
      <c r="AN139" s="279"/>
      <c r="AO139" s="279"/>
      <c r="AP139" s="279"/>
      <c r="AQ139" s="279"/>
      <c r="AR139" s="279"/>
      <c r="AS139" s="279"/>
      <c r="AT139" s="279"/>
      <c r="AU139" s="279"/>
      <c r="AV139" s="279"/>
      <c r="AW139" s="279"/>
      <c r="AX139" s="279"/>
      <c r="AY139" s="279"/>
      <c r="AZ139" s="279"/>
      <c r="BA139" s="279"/>
      <c r="BB139" s="279"/>
      <c r="BC139" s="279"/>
      <c r="BD139" s="279"/>
      <c r="BE139" s="279"/>
      <c r="BF139" s="279"/>
      <c r="BG139" s="279"/>
      <c r="BH139" s="279"/>
      <c r="BI139" s="279"/>
      <c r="BJ139" s="279"/>
      <c r="BK139" s="279"/>
      <c r="BL139" s="279"/>
    </row>
    <row r="140" spans="1:64" ht="15">
      <c r="A140" s="284"/>
      <c r="B140" s="276"/>
      <c r="C140" s="283"/>
      <c r="D140" s="283"/>
      <c r="E140" s="283"/>
      <c r="F140" s="283"/>
      <c r="G140" s="283"/>
      <c r="H140" s="283"/>
      <c r="I140" s="283"/>
      <c r="J140" s="283"/>
      <c r="K140" s="283"/>
      <c r="L140" s="320"/>
      <c r="M140" s="296"/>
      <c r="N140" s="295"/>
      <c r="O140" s="296"/>
      <c r="P140" s="296"/>
      <c r="Q140" s="296"/>
      <c r="R140" s="295"/>
      <c r="S140" s="295"/>
      <c r="T140" s="295"/>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79"/>
      <c r="AV140" s="279"/>
      <c r="AW140" s="279"/>
      <c r="AX140" s="279"/>
      <c r="AY140" s="279"/>
      <c r="AZ140" s="279"/>
      <c r="BA140" s="279"/>
      <c r="BB140" s="279"/>
      <c r="BC140" s="279"/>
      <c r="BD140" s="279"/>
      <c r="BE140" s="279"/>
      <c r="BF140" s="279"/>
      <c r="BG140" s="279"/>
      <c r="BH140" s="279"/>
      <c r="BI140" s="279"/>
      <c r="BJ140" s="279"/>
      <c r="BK140" s="279"/>
      <c r="BL140" s="279"/>
    </row>
    <row r="141" spans="1:64" ht="15">
      <c r="A141" s="284"/>
      <c r="B141" s="276" t="str">
        <f>B4</f>
        <v xml:space="preserve">Formula Rate - Non-Levelized </v>
      </c>
      <c r="C141" s="283"/>
      <c r="D141" s="283" t="str">
        <f>D4</f>
        <v xml:space="preserve">   Rate Formula Template</v>
      </c>
      <c r="E141" s="283"/>
      <c r="F141" s="283"/>
      <c r="G141" s="283"/>
      <c r="H141" s="283"/>
      <c r="I141" s="283" t="str">
        <f>I4</f>
        <v>For the 12 months ended 12/31/14</v>
      </c>
      <c r="J141" s="283"/>
      <c r="K141" s="283"/>
      <c r="L141" s="320"/>
      <c r="M141" s="296"/>
      <c r="N141" s="295"/>
      <c r="O141" s="296"/>
      <c r="P141" s="296"/>
      <c r="Q141" s="296"/>
      <c r="R141" s="295"/>
      <c r="S141" s="295"/>
      <c r="T141" s="295"/>
      <c r="U141" s="279"/>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279"/>
      <c r="AU141" s="279"/>
      <c r="AV141" s="279"/>
      <c r="AW141" s="279"/>
      <c r="AX141" s="279"/>
      <c r="AY141" s="279"/>
      <c r="AZ141" s="279"/>
      <c r="BA141" s="279"/>
      <c r="BB141" s="279"/>
      <c r="BC141" s="279"/>
      <c r="BD141" s="279"/>
      <c r="BE141" s="279"/>
      <c r="BF141" s="279"/>
      <c r="BG141" s="279"/>
      <c r="BH141" s="279"/>
      <c r="BI141" s="279"/>
      <c r="BJ141" s="279"/>
      <c r="BK141" s="279"/>
      <c r="BL141" s="279"/>
    </row>
    <row r="142" spans="1:64" ht="15">
      <c r="A142" s="284"/>
      <c r="B142" s="276"/>
      <c r="C142" s="283"/>
      <c r="D142" s="283" t="str">
        <f>D5</f>
        <v>Utilizing EIA 412 Form Data</v>
      </c>
      <c r="E142" s="283"/>
      <c r="F142" s="283"/>
      <c r="G142" s="283"/>
      <c r="H142" s="283"/>
      <c r="I142" s="283"/>
      <c r="J142" s="283"/>
      <c r="K142" s="283"/>
      <c r="L142" s="320"/>
      <c r="M142" s="296"/>
      <c r="N142" s="295"/>
      <c r="O142" s="296"/>
      <c r="P142" s="296"/>
      <c r="Q142" s="296"/>
      <c r="R142" s="295"/>
      <c r="S142" s="295"/>
      <c r="T142" s="295"/>
      <c r="U142" s="279"/>
      <c r="V142" s="279"/>
      <c r="W142" s="279"/>
      <c r="X142" s="279"/>
      <c r="Y142" s="279"/>
      <c r="Z142" s="279"/>
      <c r="AA142" s="279"/>
      <c r="AB142" s="279"/>
      <c r="AC142" s="279"/>
      <c r="AD142" s="279"/>
      <c r="AE142" s="279"/>
      <c r="AF142" s="279"/>
      <c r="AG142" s="279"/>
      <c r="AH142" s="279"/>
      <c r="AI142" s="279"/>
      <c r="AJ142" s="279"/>
      <c r="AK142" s="279"/>
      <c r="AL142" s="279"/>
      <c r="AM142" s="279"/>
      <c r="AN142" s="279"/>
      <c r="AO142" s="279"/>
      <c r="AP142" s="279"/>
      <c r="AQ142" s="279"/>
      <c r="AR142" s="279"/>
      <c r="AS142" s="279"/>
      <c r="AT142" s="279"/>
      <c r="AU142" s="279"/>
      <c r="AV142" s="279"/>
      <c r="AW142" s="279"/>
      <c r="AX142" s="279"/>
      <c r="AY142" s="279"/>
      <c r="AZ142" s="279"/>
      <c r="BA142" s="279"/>
      <c r="BB142" s="279"/>
      <c r="BC142" s="279"/>
      <c r="BD142" s="279"/>
      <c r="BE142" s="279"/>
      <c r="BF142" s="279"/>
      <c r="BG142" s="279"/>
      <c r="BH142" s="279"/>
      <c r="BI142" s="279"/>
      <c r="BJ142" s="279"/>
      <c r="BK142" s="279"/>
      <c r="BL142" s="279"/>
    </row>
    <row r="143" spans="1:64" ht="15">
      <c r="A143" s="284"/>
      <c r="C143" s="283"/>
      <c r="D143" s="283"/>
      <c r="E143" s="283"/>
      <c r="F143" s="283"/>
      <c r="G143" s="283"/>
      <c r="H143" s="283"/>
      <c r="I143" s="283"/>
      <c r="J143" s="283"/>
      <c r="K143" s="283"/>
      <c r="L143" s="320"/>
      <c r="M143" s="296"/>
      <c r="N143" s="295"/>
      <c r="O143" s="296"/>
      <c r="P143" s="296"/>
      <c r="Q143" s="296"/>
      <c r="R143" s="295"/>
      <c r="S143" s="295"/>
      <c r="T143" s="295"/>
      <c r="U143" s="279"/>
      <c r="V143" s="279"/>
      <c r="W143" s="279"/>
      <c r="X143" s="279"/>
      <c r="Y143" s="279"/>
      <c r="Z143" s="279"/>
      <c r="AA143" s="279"/>
      <c r="AB143" s="279"/>
      <c r="AC143" s="279"/>
      <c r="AD143" s="279"/>
      <c r="AE143" s="279"/>
      <c r="AF143" s="279"/>
      <c r="AG143" s="279"/>
      <c r="AH143" s="279"/>
      <c r="AI143" s="279"/>
      <c r="AJ143" s="279"/>
      <c r="AK143" s="279"/>
      <c r="AL143" s="279"/>
      <c r="AM143" s="279"/>
      <c r="AN143" s="279"/>
      <c r="AO143" s="279"/>
      <c r="AP143" s="279"/>
      <c r="AQ143" s="279"/>
      <c r="AR143" s="279"/>
      <c r="AS143" s="279"/>
      <c r="AT143" s="279"/>
      <c r="AU143" s="279"/>
      <c r="AV143" s="279"/>
      <c r="AW143" s="279"/>
      <c r="AX143" s="279"/>
      <c r="AY143" s="279"/>
      <c r="AZ143" s="279"/>
      <c r="BA143" s="279"/>
      <c r="BB143" s="279"/>
      <c r="BC143" s="279"/>
      <c r="BD143" s="279"/>
      <c r="BE143" s="279"/>
      <c r="BF143" s="279"/>
      <c r="BG143" s="279"/>
      <c r="BH143" s="279"/>
      <c r="BI143" s="279"/>
      <c r="BJ143" s="279"/>
      <c r="BK143" s="279"/>
      <c r="BL143" s="279"/>
    </row>
    <row r="144" spans="1:64" ht="15">
      <c r="A144" s="284"/>
      <c r="C144" s="300"/>
      <c r="D144" s="300" t="str">
        <f>D7</f>
        <v>Elk River</v>
      </c>
      <c r="E144" s="300"/>
      <c r="F144" s="300"/>
      <c r="G144" s="300"/>
      <c r="H144" s="300"/>
      <c r="I144" s="300"/>
      <c r="J144" s="283"/>
      <c r="K144" s="283"/>
      <c r="L144" s="320"/>
      <c r="M144" s="296"/>
      <c r="N144" s="295"/>
      <c r="O144" s="321"/>
      <c r="P144" s="321"/>
      <c r="Q144" s="319"/>
      <c r="R144" s="295"/>
      <c r="S144" s="295"/>
      <c r="T144" s="295"/>
      <c r="U144" s="279"/>
      <c r="V144" s="279"/>
      <c r="W144" s="279"/>
      <c r="X144" s="279"/>
      <c r="Y144" s="279"/>
      <c r="Z144" s="279"/>
      <c r="AA144" s="279"/>
      <c r="AB144" s="279"/>
      <c r="AC144" s="279"/>
      <c r="AD144" s="279"/>
      <c r="AE144" s="279"/>
      <c r="AF144" s="279"/>
      <c r="AG144" s="279"/>
      <c r="AH144" s="279"/>
      <c r="AI144" s="279"/>
      <c r="AJ144" s="279"/>
      <c r="AK144" s="279"/>
      <c r="AL144" s="279"/>
      <c r="AM144" s="279"/>
      <c r="AN144" s="279"/>
      <c r="AO144" s="279"/>
      <c r="AP144" s="279"/>
      <c r="AQ144" s="279"/>
      <c r="AR144" s="279"/>
      <c r="AS144" s="279"/>
      <c r="AT144" s="279"/>
      <c r="AU144" s="279"/>
      <c r="AV144" s="279"/>
      <c r="AW144" s="279"/>
      <c r="AX144" s="279"/>
      <c r="AY144" s="279"/>
      <c r="AZ144" s="279"/>
      <c r="BA144" s="279"/>
      <c r="BB144" s="279"/>
      <c r="BC144" s="279"/>
      <c r="BD144" s="279"/>
      <c r="BE144" s="279"/>
      <c r="BF144" s="279"/>
      <c r="BG144" s="279"/>
      <c r="BH144" s="279"/>
      <c r="BI144" s="279"/>
      <c r="BJ144" s="279"/>
      <c r="BK144" s="279"/>
      <c r="BL144" s="279"/>
    </row>
    <row r="145" spans="1:64" ht="15">
      <c r="A145" s="284"/>
      <c r="B145" s="281" t="s">
        <v>717</v>
      </c>
      <c r="C145" s="281" t="s">
        <v>718</v>
      </c>
      <c r="D145" s="281" t="s">
        <v>719</v>
      </c>
      <c r="E145" s="283" t="s">
        <v>669</v>
      </c>
      <c r="F145" s="283"/>
      <c r="G145" s="322" t="s">
        <v>720</v>
      </c>
      <c r="H145" s="283"/>
      <c r="I145" s="323" t="s">
        <v>721</v>
      </c>
      <c r="J145" s="283"/>
      <c r="K145" s="283"/>
      <c r="L145" s="320"/>
      <c r="M145" s="319"/>
      <c r="N145" s="295"/>
      <c r="O145" s="321"/>
      <c r="P145" s="321"/>
      <c r="Q145" s="319"/>
      <c r="R145" s="295"/>
      <c r="S145" s="295"/>
      <c r="T145" s="295"/>
      <c r="U145" s="279"/>
      <c r="V145" s="279"/>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79"/>
      <c r="AY145" s="279"/>
      <c r="AZ145" s="279"/>
      <c r="BA145" s="279"/>
      <c r="BB145" s="279"/>
      <c r="BC145" s="279"/>
      <c r="BD145" s="279"/>
      <c r="BE145" s="279"/>
      <c r="BF145" s="279"/>
      <c r="BG145" s="279"/>
      <c r="BH145" s="279"/>
      <c r="BI145" s="279"/>
      <c r="BJ145" s="279"/>
      <c r="BK145" s="279"/>
      <c r="BL145" s="279"/>
    </row>
    <row r="146" spans="1:64" ht="15.75">
      <c r="A146" s="284" t="s">
        <v>671</v>
      </c>
      <c r="B146" s="276"/>
      <c r="C146" s="325" t="s">
        <v>722</v>
      </c>
      <c r="D146" s="283"/>
      <c r="E146" s="283"/>
      <c r="F146" s="283"/>
      <c r="G146" s="281"/>
      <c r="H146" s="283"/>
      <c r="I146" s="326" t="s">
        <v>397</v>
      </c>
      <c r="J146" s="346"/>
      <c r="K146" s="326"/>
      <c r="L146" s="346"/>
      <c r="M146" s="319"/>
      <c r="N146" s="295"/>
      <c r="O146" s="321"/>
      <c r="P146" s="321"/>
      <c r="Q146" s="319"/>
      <c r="R146" s="295"/>
      <c r="S146" s="295"/>
      <c r="T146" s="295"/>
      <c r="U146" s="279"/>
      <c r="V146" s="279"/>
      <c r="W146" s="279"/>
      <c r="X146" s="279"/>
      <c r="Y146" s="279"/>
      <c r="Z146" s="279"/>
      <c r="AA146" s="279"/>
      <c r="AB146" s="279"/>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79"/>
      <c r="AY146" s="279"/>
      <c r="AZ146" s="279"/>
      <c r="BA146" s="279"/>
      <c r="BB146" s="279"/>
      <c r="BC146" s="279"/>
      <c r="BD146" s="279"/>
      <c r="BE146" s="279"/>
      <c r="BF146" s="279"/>
      <c r="BG146" s="279"/>
      <c r="BH146" s="279"/>
      <c r="BI146" s="279"/>
      <c r="BJ146" s="279"/>
      <c r="BK146" s="279"/>
      <c r="BL146" s="279"/>
    </row>
    <row r="147" spans="1:64" ht="16.5" thickBot="1">
      <c r="A147" s="288" t="s">
        <v>673</v>
      </c>
      <c r="B147" s="276"/>
      <c r="C147" s="327" t="s">
        <v>723</v>
      </c>
      <c r="D147" s="326" t="s">
        <v>724</v>
      </c>
      <c r="E147" s="328"/>
      <c r="F147" s="326" t="s">
        <v>725</v>
      </c>
      <c r="G147" s="300"/>
      <c r="H147" s="328"/>
      <c r="I147" s="329" t="s">
        <v>726</v>
      </c>
      <c r="J147" s="283"/>
      <c r="K147" s="326"/>
      <c r="L147" s="283"/>
      <c r="M147" s="319"/>
      <c r="N147" s="295"/>
      <c r="O147" s="321"/>
      <c r="P147" s="321"/>
      <c r="Q147" s="319"/>
      <c r="R147" s="295"/>
      <c r="S147" s="295"/>
      <c r="T147" s="295"/>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79"/>
      <c r="AY147" s="279"/>
      <c r="AZ147" s="279"/>
      <c r="BA147" s="279"/>
      <c r="BB147" s="279"/>
      <c r="BC147" s="279"/>
      <c r="BD147" s="279"/>
      <c r="BE147" s="279"/>
      <c r="BF147" s="279"/>
      <c r="BG147" s="279"/>
      <c r="BH147" s="279"/>
      <c r="BI147" s="279"/>
      <c r="BJ147" s="279"/>
      <c r="BK147" s="279"/>
      <c r="BL147" s="279"/>
    </row>
    <row r="148" spans="1:64" ht="15">
      <c r="A148" s="284"/>
      <c r="B148" s="276" t="s">
        <v>798</v>
      </c>
      <c r="C148" s="283"/>
      <c r="D148" s="283"/>
      <c r="E148" s="283"/>
      <c r="F148" s="283"/>
      <c r="G148" s="283"/>
      <c r="H148" s="283"/>
      <c r="I148" s="283"/>
      <c r="J148" s="283"/>
      <c r="K148" s="283"/>
      <c r="L148" s="320"/>
      <c r="M148" s="319"/>
      <c r="N148" s="295"/>
      <c r="O148" s="347"/>
      <c r="P148" s="321"/>
      <c r="Q148" s="319"/>
      <c r="R148" s="295"/>
      <c r="S148" s="295"/>
      <c r="T148" s="295"/>
      <c r="U148" s="279"/>
      <c r="V148" s="279"/>
      <c r="W148" s="279"/>
      <c r="X148" s="279"/>
      <c r="Y148" s="279"/>
      <c r="Z148" s="279"/>
      <c r="AA148" s="279"/>
      <c r="AB148" s="279"/>
      <c r="AC148" s="279"/>
      <c r="AD148" s="279"/>
      <c r="AE148" s="279"/>
      <c r="AF148" s="279"/>
      <c r="AG148" s="279"/>
      <c r="AH148" s="279"/>
      <c r="AI148" s="279"/>
      <c r="AJ148" s="279"/>
      <c r="AK148" s="279"/>
      <c r="AL148" s="279"/>
      <c r="AM148" s="279"/>
      <c r="AN148" s="279"/>
      <c r="AO148" s="279"/>
      <c r="AP148" s="279"/>
      <c r="AQ148" s="279"/>
      <c r="AR148" s="279"/>
      <c r="AS148" s="279"/>
      <c r="AT148" s="279"/>
      <c r="AU148" s="279"/>
      <c r="AV148" s="279"/>
      <c r="AW148" s="279"/>
      <c r="AX148" s="279"/>
      <c r="AY148" s="279"/>
      <c r="AZ148" s="279"/>
      <c r="BA148" s="279"/>
      <c r="BB148" s="279"/>
      <c r="BC148" s="279"/>
      <c r="BD148" s="279"/>
      <c r="BE148" s="279"/>
      <c r="BF148" s="279"/>
      <c r="BG148" s="279"/>
      <c r="BH148" s="279"/>
      <c r="BI148" s="279"/>
      <c r="BJ148" s="279"/>
      <c r="BK148" s="279"/>
      <c r="BL148" s="279"/>
    </row>
    <row r="149" spans="1:64" ht="15">
      <c r="A149" s="284">
        <v>1</v>
      </c>
      <c r="B149" s="276" t="s">
        <v>773</v>
      </c>
      <c r="C149" s="300" t="s">
        <v>774</v>
      </c>
      <c r="D149" s="335">
        <f>'EIA 412 OP &amp; MAINT'!F21</f>
        <v>16639.47795</v>
      </c>
      <c r="E149" s="283"/>
      <c r="F149" s="283" t="s">
        <v>766</v>
      </c>
      <c r="G149" s="332">
        <f>I229</f>
        <v>1</v>
      </c>
      <c r="H149" s="283"/>
      <c r="I149" s="283">
        <f t="shared" ref="I149:I157" si="1">+G149*D149</f>
        <v>16639.47795</v>
      </c>
      <c r="J149" s="277"/>
      <c r="K149" s="283"/>
      <c r="L149" s="320"/>
      <c r="M149" s="319"/>
      <c r="N149" s="295"/>
      <c r="O149" s="348"/>
      <c r="P149" s="321"/>
      <c r="Q149" s="319"/>
      <c r="R149" s="295"/>
      <c r="S149" s="295"/>
      <c r="T149" s="295"/>
      <c r="U149" s="279"/>
      <c r="V149" s="279"/>
      <c r="W149" s="279"/>
      <c r="X149" s="279"/>
      <c r="Y149" s="279"/>
      <c r="Z149" s="279"/>
      <c r="AA149" s="279"/>
      <c r="AB149" s="279"/>
      <c r="AC149" s="279"/>
      <c r="AD149" s="279"/>
      <c r="AE149" s="279"/>
      <c r="AF149" s="279"/>
      <c r="AG149" s="279"/>
      <c r="AH149" s="279"/>
      <c r="AI149" s="279"/>
      <c r="AJ149" s="279"/>
      <c r="AK149" s="279"/>
      <c r="AL149" s="279"/>
      <c r="AM149" s="279"/>
      <c r="AN149" s="279"/>
      <c r="AO149" s="279"/>
      <c r="AP149" s="279"/>
      <c r="AQ149" s="279"/>
      <c r="AR149" s="279"/>
      <c r="AS149" s="279"/>
      <c r="AT149" s="279"/>
      <c r="AU149" s="279"/>
      <c r="AV149" s="279"/>
      <c r="AW149" s="279"/>
      <c r="AX149" s="279"/>
      <c r="AY149" s="279"/>
      <c r="AZ149" s="279"/>
      <c r="BA149" s="279"/>
      <c r="BB149" s="279"/>
      <c r="BC149" s="279"/>
      <c r="BD149" s="279"/>
      <c r="BE149" s="279"/>
      <c r="BF149" s="279"/>
      <c r="BG149" s="279"/>
      <c r="BH149" s="279"/>
      <c r="BI149" s="279"/>
      <c r="BJ149" s="279"/>
      <c r="BK149" s="279"/>
      <c r="BL149" s="279"/>
    </row>
    <row r="150" spans="1:64" ht="15.75">
      <c r="A150" s="350" t="s">
        <v>775</v>
      </c>
      <c r="B150" s="352" t="s">
        <v>776</v>
      </c>
      <c r="C150" s="353"/>
      <c r="D150" s="335">
        <v>0</v>
      </c>
      <c r="E150" s="354"/>
      <c r="F150" s="354"/>
      <c r="G150" s="355">
        <v>1</v>
      </c>
      <c r="H150" s="354"/>
      <c r="I150" s="354">
        <f t="shared" si="1"/>
        <v>0</v>
      </c>
      <c r="J150" s="356"/>
      <c r="K150" s="354"/>
      <c r="L150" s="357"/>
      <c r="M150" s="321"/>
      <c r="N150" s="295"/>
      <c r="O150" s="349"/>
      <c r="P150" s="321"/>
      <c r="Q150" s="319"/>
      <c r="R150" s="295"/>
      <c r="S150" s="295"/>
      <c r="T150" s="295"/>
      <c r="U150" s="279"/>
      <c r="V150" s="279"/>
      <c r="W150" s="279"/>
      <c r="X150" s="279"/>
      <c r="Y150" s="279"/>
      <c r="Z150" s="279"/>
      <c r="AA150" s="279"/>
      <c r="AB150" s="279"/>
      <c r="AC150" s="279"/>
      <c r="AD150" s="279"/>
      <c r="AE150" s="279"/>
      <c r="AF150" s="279"/>
      <c r="AG150" s="279"/>
      <c r="AH150" s="279"/>
      <c r="AI150" s="279"/>
      <c r="AJ150" s="279"/>
      <c r="AK150" s="279"/>
      <c r="AL150" s="279"/>
      <c r="AM150" s="279"/>
      <c r="AN150" s="279"/>
      <c r="AO150" s="279"/>
      <c r="AP150" s="279"/>
      <c r="AQ150" s="279"/>
      <c r="AR150" s="279"/>
      <c r="AS150" s="279"/>
      <c r="AT150" s="279"/>
      <c r="AU150" s="279"/>
      <c r="AV150" s="279"/>
      <c r="AW150" s="279"/>
      <c r="AX150" s="279"/>
      <c r="AY150" s="279"/>
      <c r="AZ150" s="279"/>
      <c r="BA150" s="279"/>
      <c r="BB150" s="279"/>
      <c r="BC150" s="279"/>
      <c r="BD150" s="279"/>
      <c r="BE150" s="279"/>
      <c r="BF150" s="279"/>
      <c r="BG150" s="279"/>
      <c r="BH150" s="279"/>
      <c r="BI150" s="279"/>
      <c r="BJ150" s="279"/>
      <c r="BK150" s="279"/>
      <c r="BL150" s="279"/>
    </row>
    <row r="151" spans="1:64" ht="15">
      <c r="A151" s="284">
        <v>2</v>
      </c>
      <c r="B151" s="276" t="s">
        <v>0</v>
      </c>
      <c r="C151" s="300"/>
      <c r="D151" s="335">
        <v>0</v>
      </c>
      <c r="E151" s="283"/>
      <c r="F151" s="283" t="s">
        <v>730</v>
      </c>
      <c r="G151" s="332">
        <v>1</v>
      </c>
      <c r="H151" s="283"/>
      <c r="I151" s="283">
        <f t="shared" si="1"/>
        <v>0</v>
      </c>
      <c r="J151" s="277"/>
      <c r="K151" s="283"/>
      <c r="L151" s="320"/>
      <c r="M151" s="321"/>
      <c r="N151" s="295"/>
      <c r="O151" s="321"/>
      <c r="P151" s="321"/>
      <c r="Q151" s="319"/>
      <c r="R151" s="295"/>
      <c r="S151" s="295"/>
      <c r="T151" s="295"/>
      <c r="U151" s="279"/>
      <c r="V151" s="279"/>
      <c r="W151" s="279"/>
      <c r="X151" s="279"/>
      <c r="Y151" s="279"/>
      <c r="Z151" s="279"/>
      <c r="AA151" s="279"/>
      <c r="AB151" s="279"/>
      <c r="AC151" s="279"/>
      <c r="AD151" s="279"/>
      <c r="AE151" s="279"/>
      <c r="AF151" s="279"/>
      <c r="AG151" s="279"/>
      <c r="AH151" s="279"/>
      <c r="AI151" s="279"/>
      <c r="AJ151" s="279"/>
      <c r="AK151" s="279"/>
      <c r="AL151" s="279"/>
      <c r="AM151" s="279"/>
      <c r="AN151" s="279"/>
      <c r="AO151" s="279"/>
      <c r="AP151" s="279"/>
      <c r="AQ151" s="279"/>
      <c r="AR151" s="279"/>
      <c r="AS151" s="279"/>
      <c r="AT151" s="279"/>
      <c r="AU151" s="279"/>
      <c r="AV151" s="279"/>
      <c r="AW151" s="279"/>
      <c r="AX151" s="279"/>
      <c r="AY151" s="279"/>
      <c r="AZ151" s="279"/>
      <c r="BA151" s="279"/>
      <c r="BB151" s="279"/>
      <c r="BC151" s="279"/>
      <c r="BD151" s="279"/>
      <c r="BE151" s="279"/>
      <c r="BF151" s="279"/>
      <c r="BG151" s="279"/>
      <c r="BH151" s="279"/>
      <c r="BI151" s="279"/>
      <c r="BJ151" s="279"/>
      <c r="BK151" s="279"/>
      <c r="BL151" s="279"/>
    </row>
    <row r="152" spans="1:64" ht="15">
      <c r="A152" s="284">
        <v>3</v>
      </c>
      <c r="B152" s="276" t="s">
        <v>1</v>
      </c>
      <c r="C152" s="300" t="s">
        <v>2</v>
      </c>
      <c r="D152" s="335">
        <f>'EIA 412 OP &amp; MAINT'!F29-'CMMPA DUES IN A&amp;G'!Y17</f>
        <v>2233001</v>
      </c>
      <c r="E152" s="283"/>
      <c r="F152" s="283" t="s">
        <v>736</v>
      </c>
      <c r="G152" s="332">
        <f>I236</f>
        <v>1.1640545132496561E-2</v>
      </c>
      <c r="H152" s="283"/>
      <c r="I152" s="283">
        <f t="shared" si="1"/>
        <v>25993.348921409954</v>
      </c>
      <c r="J152" s="283"/>
      <c r="K152" s="283" t="s">
        <v>669</v>
      </c>
      <c r="L152" s="320"/>
      <c r="M152" s="319"/>
      <c r="N152" s="295"/>
      <c r="O152" s="321"/>
      <c r="P152" s="321"/>
      <c r="Q152" s="319"/>
      <c r="R152" s="295"/>
      <c r="S152" s="295"/>
      <c r="T152" s="295"/>
      <c r="U152" s="279"/>
      <c r="V152" s="279"/>
      <c r="W152" s="279"/>
      <c r="X152" s="279"/>
      <c r="Y152" s="279"/>
      <c r="Z152" s="279"/>
      <c r="AA152" s="279"/>
      <c r="AB152" s="279"/>
      <c r="AC152" s="279"/>
      <c r="AD152" s="279"/>
      <c r="AE152" s="279"/>
      <c r="AF152" s="279"/>
      <c r="AG152" s="279"/>
      <c r="AH152" s="279"/>
      <c r="AI152" s="279"/>
      <c r="AJ152" s="279"/>
      <c r="AK152" s="279"/>
      <c r="AL152" s="279"/>
      <c r="AM152" s="279"/>
      <c r="AN152" s="279"/>
      <c r="AO152" s="279"/>
      <c r="AP152" s="279"/>
      <c r="AQ152" s="279"/>
      <c r="AR152" s="279"/>
      <c r="AS152" s="279"/>
      <c r="AT152" s="279"/>
      <c r="AU152" s="279"/>
      <c r="AV152" s="279"/>
      <c r="AW152" s="279"/>
      <c r="AX152" s="279"/>
      <c r="AY152" s="279"/>
      <c r="AZ152" s="279"/>
      <c r="BA152" s="279"/>
      <c r="BB152" s="279"/>
      <c r="BC152" s="279"/>
      <c r="BD152" s="279"/>
      <c r="BE152" s="279"/>
      <c r="BF152" s="279"/>
      <c r="BG152" s="279"/>
      <c r="BH152" s="279"/>
      <c r="BI152" s="279"/>
      <c r="BJ152" s="279"/>
      <c r="BK152" s="279"/>
      <c r="BL152" s="279"/>
    </row>
    <row r="153" spans="1:64" ht="15">
      <c r="A153" s="284">
        <v>4</v>
      </c>
      <c r="B153" s="276" t="s">
        <v>3</v>
      </c>
      <c r="C153" s="283"/>
      <c r="D153" s="335">
        <v>0</v>
      </c>
      <c r="E153" s="283"/>
      <c r="F153" s="283" t="str">
        <f>+F152</f>
        <v>W/S</v>
      </c>
      <c r="G153" s="332">
        <f>I236</f>
        <v>1.1640545132496561E-2</v>
      </c>
      <c r="H153" s="283"/>
      <c r="I153" s="283">
        <f t="shared" si="1"/>
        <v>0</v>
      </c>
      <c r="J153" s="283"/>
      <c r="K153" s="283"/>
      <c r="L153" s="320"/>
      <c r="M153" s="319"/>
      <c r="N153" s="295"/>
      <c r="O153" s="321"/>
      <c r="P153" s="324"/>
      <c r="Q153" s="321"/>
      <c r="R153" s="295"/>
      <c r="S153" s="295"/>
      <c r="T153" s="295"/>
      <c r="U153" s="279"/>
      <c r="V153" s="279"/>
      <c r="W153" s="279"/>
      <c r="X153" s="279"/>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279"/>
      <c r="AU153" s="279"/>
      <c r="AV153" s="279"/>
      <c r="AW153" s="279"/>
      <c r="AX153" s="279"/>
      <c r="AY153" s="279"/>
      <c r="AZ153" s="279"/>
      <c r="BA153" s="279"/>
      <c r="BB153" s="279"/>
      <c r="BC153" s="279"/>
      <c r="BD153" s="279"/>
      <c r="BE153" s="279"/>
      <c r="BF153" s="279"/>
      <c r="BG153" s="279"/>
      <c r="BH153" s="279"/>
      <c r="BI153" s="279"/>
      <c r="BJ153" s="279"/>
      <c r="BK153" s="279"/>
      <c r="BL153" s="279"/>
    </row>
    <row r="154" spans="1:64" s="351" customFormat="1" ht="15">
      <c r="A154" s="284">
        <v>5</v>
      </c>
      <c r="B154" s="276" t="s">
        <v>4</v>
      </c>
      <c r="C154" s="283"/>
      <c r="D154" s="335">
        <v>0</v>
      </c>
      <c r="E154" s="283"/>
      <c r="F154" s="283" t="str">
        <f>+F153</f>
        <v>W/S</v>
      </c>
      <c r="G154" s="332">
        <f>I236</f>
        <v>1.1640545132496561E-2</v>
      </c>
      <c r="H154" s="283"/>
      <c r="I154" s="283">
        <f t="shared" si="1"/>
        <v>0</v>
      </c>
      <c r="J154" s="283"/>
      <c r="K154" s="283"/>
      <c r="L154" s="320"/>
      <c r="M154" s="319"/>
      <c r="N154" s="295"/>
      <c r="O154" s="321"/>
      <c r="P154" s="324"/>
      <c r="Q154" s="321"/>
      <c r="R154" s="295"/>
      <c r="S154" s="295"/>
      <c r="T154" s="295"/>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c r="BB154" s="287"/>
      <c r="BC154" s="287"/>
      <c r="BD154" s="287"/>
      <c r="BE154" s="287"/>
      <c r="BF154" s="287"/>
      <c r="BG154" s="287"/>
      <c r="BH154" s="287"/>
      <c r="BI154" s="287"/>
      <c r="BJ154" s="287"/>
      <c r="BK154" s="287"/>
      <c r="BL154" s="287"/>
    </row>
    <row r="155" spans="1:64" ht="15">
      <c r="A155" s="284" t="s">
        <v>5</v>
      </c>
      <c r="B155" s="276" t="s">
        <v>6</v>
      </c>
      <c r="C155" s="283"/>
      <c r="D155" s="335">
        <v>0</v>
      </c>
      <c r="E155" s="283"/>
      <c r="F155" s="283" t="str">
        <f>+F149</f>
        <v>TE</v>
      </c>
      <c r="G155" s="332">
        <f>+G149</f>
        <v>1</v>
      </c>
      <c r="H155" s="283"/>
      <c r="I155" s="283">
        <f t="shared" si="1"/>
        <v>0</v>
      </c>
      <c r="J155" s="283"/>
      <c r="K155" s="283"/>
      <c r="L155" s="320"/>
      <c r="M155" s="319"/>
      <c r="N155" s="295"/>
      <c r="O155" s="321"/>
      <c r="P155" s="324"/>
      <c r="Q155" s="321"/>
      <c r="R155" s="295"/>
      <c r="S155" s="295"/>
      <c r="T155" s="295"/>
      <c r="U155" s="279"/>
      <c r="V155" s="279"/>
      <c r="W155" s="279"/>
      <c r="X155" s="279"/>
      <c r="Y155" s="279"/>
      <c r="Z155" s="279"/>
      <c r="AA155" s="279"/>
      <c r="AB155" s="279"/>
      <c r="AC155" s="279"/>
      <c r="AD155" s="279"/>
      <c r="AE155" s="279"/>
      <c r="AF155" s="279"/>
      <c r="AG155" s="279"/>
      <c r="AH155" s="279"/>
      <c r="AI155" s="279"/>
      <c r="AJ155" s="279"/>
      <c r="AK155" s="279"/>
      <c r="AL155" s="279"/>
      <c r="AM155" s="279"/>
      <c r="AN155" s="279"/>
      <c r="AO155" s="279"/>
      <c r="AP155" s="279"/>
      <c r="AQ155" s="279"/>
      <c r="AR155" s="279"/>
      <c r="AS155" s="279"/>
      <c r="AT155" s="279"/>
      <c r="AU155" s="279"/>
      <c r="AV155" s="279"/>
      <c r="AW155" s="279"/>
      <c r="AX155" s="279"/>
      <c r="AY155" s="279"/>
      <c r="AZ155" s="279"/>
      <c r="BA155" s="279"/>
      <c r="BB155" s="279"/>
      <c r="BC155" s="279"/>
      <c r="BD155" s="279"/>
      <c r="BE155" s="279"/>
      <c r="BF155" s="279"/>
      <c r="BG155" s="279"/>
      <c r="BH155" s="279"/>
      <c r="BI155" s="279"/>
      <c r="BJ155" s="279"/>
      <c r="BK155" s="279"/>
      <c r="BL155" s="279"/>
    </row>
    <row r="156" spans="1:64" ht="15">
      <c r="A156" s="284">
        <v>6</v>
      </c>
      <c r="B156" s="276" t="s">
        <v>737</v>
      </c>
      <c r="C156" s="283"/>
      <c r="D156" s="335">
        <v>0</v>
      </c>
      <c r="E156" s="283"/>
      <c r="F156" s="283" t="s">
        <v>738</v>
      </c>
      <c r="G156" s="332">
        <f>K240</f>
        <v>1.1640545132496561E-2</v>
      </c>
      <c r="H156" s="283"/>
      <c r="I156" s="283">
        <f t="shared" si="1"/>
        <v>0</v>
      </c>
      <c r="J156" s="283"/>
      <c r="K156" s="283"/>
      <c r="L156" s="320"/>
      <c r="M156" s="319"/>
      <c r="N156" s="295"/>
      <c r="O156" s="321"/>
      <c r="P156" s="324"/>
      <c r="Q156" s="319"/>
      <c r="R156" s="295"/>
      <c r="S156" s="295"/>
      <c r="T156" s="295"/>
      <c r="U156" s="279"/>
      <c r="V156" s="279"/>
      <c r="W156" s="279"/>
      <c r="X156" s="279"/>
      <c r="Y156" s="279"/>
      <c r="Z156" s="279"/>
      <c r="AA156" s="279"/>
      <c r="AB156" s="279"/>
      <c r="AC156" s="279"/>
      <c r="AD156" s="279"/>
      <c r="AE156" s="279"/>
      <c r="AF156" s="279"/>
      <c r="AG156" s="279"/>
      <c r="AH156" s="279"/>
      <c r="AI156" s="279"/>
      <c r="AJ156" s="279"/>
      <c r="AK156" s="279"/>
      <c r="AL156" s="279"/>
      <c r="AM156" s="279"/>
      <c r="AN156" s="279"/>
      <c r="AO156" s="279"/>
      <c r="AP156" s="279"/>
      <c r="AQ156" s="279"/>
      <c r="AR156" s="279"/>
      <c r="AS156" s="279"/>
      <c r="AT156" s="279"/>
      <c r="AU156" s="279"/>
      <c r="AV156" s="279"/>
      <c r="AW156" s="279"/>
      <c r="AX156" s="279"/>
      <c r="AY156" s="279"/>
      <c r="AZ156" s="279"/>
      <c r="BA156" s="279"/>
      <c r="BB156" s="279"/>
      <c r="BC156" s="279"/>
      <c r="BD156" s="279"/>
      <c r="BE156" s="279"/>
      <c r="BF156" s="279"/>
      <c r="BG156" s="279"/>
      <c r="BH156" s="279"/>
      <c r="BI156" s="279"/>
      <c r="BJ156" s="279"/>
      <c r="BK156" s="279"/>
      <c r="BL156" s="279"/>
    </row>
    <row r="157" spans="1:64" ht="15.75" thickBot="1">
      <c r="A157" s="284">
        <v>7</v>
      </c>
      <c r="B157" s="276" t="s">
        <v>7</v>
      </c>
      <c r="C157" s="283"/>
      <c r="D157" s="333">
        <v>0</v>
      </c>
      <c r="E157" s="283"/>
      <c r="F157" s="283" t="s">
        <v>730</v>
      </c>
      <c r="G157" s="332">
        <v>1</v>
      </c>
      <c r="H157" s="283"/>
      <c r="I157" s="298">
        <f t="shared" si="1"/>
        <v>0</v>
      </c>
      <c r="J157" s="283"/>
      <c r="K157" s="283"/>
      <c r="L157" s="320"/>
      <c r="M157" s="319"/>
      <c r="N157" s="295"/>
      <c r="O157" s="321"/>
      <c r="P157" s="324"/>
      <c r="Q157" s="319"/>
      <c r="R157" s="295"/>
      <c r="S157" s="295"/>
      <c r="T157" s="295"/>
      <c r="U157" s="279"/>
      <c r="V157" s="279"/>
      <c r="W157" s="279"/>
      <c r="X157" s="279"/>
      <c r="Y157" s="279"/>
      <c r="Z157" s="279"/>
      <c r="AA157" s="279"/>
      <c r="AB157" s="279"/>
      <c r="AC157" s="279"/>
      <c r="AD157" s="279"/>
      <c r="AE157" s="279"/>
      <c r="AF157" s="279"/>
      <c r="AG157" s="279"/>
      <c r="AH157" s="279"/>
      <c r="AI157" s="279"/>
      <c r="AJ157" s="279"/>
      <c r="AK157" s="279"/>
      <c r="AL157" s="279"/>
      <c r="AM157" s="279"/>
      <c r="AN157" s="279"/>
      <c r="AO157" s="279"/>
      <c r="AP157" s="279"/>
      <c r="AQ157" s="279"/>
      <c r="AR157" s="279"/>
      <c r="AS157" s="279"/>
      <c r="AT157" s="279"/>
      <c r="AU157" s="279"/>
      <c r="AV157" s="279"/>
      <c r="AW157" s="279"/>
      <c r="AX157" s="279"/>
      <c r="AY157" s="279"/>
      <c r="AZ157" s="279"/>
      <c r="BA157" s="279"/>
      <c r="BB157" s="279"/>
      <c r="BC157" s="279"/>
      <c r="BD157" s="279"/>
      <c r="BE157" s="279"/>
      <c r="BF157" s="279"/>
      <c r="BG157" s="279"/>
      <c r="BH157" s="279"/>
      <c r="BI157" s="279"/>
      <c r="BJ157" s="279"/>
      <c r="BK157" s="279"/>
      <c r="BL157" s="279"/>
    </row>
    <row r="158" spans="1:64" ht="15">
      <c r="A158" s="284">
        <v>8</v>
      </c>
      <c r="B158" s="276" t="s">
        <v>8</v>
      </c>
      <c r="C158" s="283"/>
      <c r="D158" s="283">
        <f>+D149-D150-D151+D152-D153-D154+D155+D156+D157</f>
        <v>2249640.4779500002</v>
      </c>
      <c r="E158" s="283"/>
      <c r="F158" s="283"/>
      <c r="G158" s="283"/>
      <c r="H158" s="283"/>
      <c r="I158" s="283">
        <f>+I149-I150-I151+I152-I153-I154+I155+I156+I157</f>
        <v>42632.826871409954</v>
      </c>
      <c r="J158" s="283"/>
      <c r="K158" s="283"/>
      <c r="L158" s="320"/>
      <c r="M158" s="319"/>
      <c r="N158" s="295"/>
      <c r="O158" s="321"/>
      <c r="P158" s="324"/>
      <c r="Q158" s="319"/>
      <c r="R158" s="295"/>
      <c r="S158" s="295"/>
      <c r="T158" s="295"/>
      <c r="U158" s="279"/>
      <c r="V158" s="279"/>
      <c r="W158" s="279"/>
      <c r="X158" s="279"/>
      <c r="Y158" s="279"/>
      <c r="Z158" s="279"/>
      <c r="AA158" s="279"/>
      <c r="AB158" s="279"/>
      <c r="AC158" s="279"/>
      <c r="AD158" s="279"/>
      <c r="AE158" s="279"/>
      <c r="AF158" s="279"/>
      <c r="AG158" s="279"/>
      <c r="AH158" s="279"/>
      <c r="AI158" s="279"/>
      <c r="AJ158" s="279"/>
      <c r="AK158" s="279"/>
      <c r="AL158" s="279"/>
      <c r="AM158" s="279"/>
      <c r="AN158" s="279"/>
      <c r="AO158" s="279"/>
      <c r="AP158" s="279"/>
      <c r="AQ158" s="279"/>
      <c r="AR158" s="279"/>
      <c r="AS158" s="279"/>
      <c r="AT158" s="279"/>
      <c r="AU158" s="279"/>
      <c r="AV158" s="279"/>
      <c r="AW158" s="279"/>
      <c r="AX158" s="279"/>
      <c r="AY158" s="279"/>
      <c r="AZ158" s="279"/>
      <c r="BA158" s="279"/>
      <c r="BB158" s="279"/>
      <c r="BC158" s="279"/>
      <c r="BD158" s="279"/>
      <c r="BE158" s="279"/>
      <c r="BF158" s="279"/>
      <c r="BG158" s="279"/>
      <c r="BH158" s="279"/>
      <c r="BI158" s="279"/>
      <c r="BJ158" s="279"/>
      <c r="BK158" s="279"/>
      <c r="BL158" s="279"/>
    </row>
    <row r="159" spans="1:64" ht="15">
      <c r="A159" s="284"/>
      <c r="C159" s="283"/>
      <c r="E159" s="283"/>
      <c r="F159" s="283"/>
      <c r="G159" s="283"/>
      <c r="H159" s="283"/>
      <c r="J159" s="283"/>
      <c r="K159" s="283"/>
      <c r="L159" s="320"/>
      <c r="M159" s="319"/>
      <c r="N159" s="295"/>
      <c r="O159" s="321"/>
      <c r="P159" s="324"/>
      <c r="Q159" s="319"/>
      <c r="R159" s="295"/>
      <c r="S159" s="295"/>
      <c r="T159" s="295"/>
      <c r="U159" s="279"/>
      <c r="V159" s="279"/>
      <c r="W159" s="279"/>
      <c r="X159" s="279"/>
      <c r="Y159" s="279"/>
      <c r="Z159" s="279"/>
      <c r="AA159" s="279"/>
      <c r="AB159" s="279"/>
      <c r="AC159" s="279"/>
      <c r="AD159" s="279"/>
      <c r="AE159" s="279"/>
      <c r="AF159" s="279"/>
      <c r="AG159" s="279"/>
      <c r="AH159" s="279"/>
      <c r="AI159" s="279"/>
      <c r="AJ159" s="279"/>
      <c r="AK159" s="279"/>
      <c r="AL159" s="279"/>
      <c r="AM159" s="279"/>
      <c r="AN159" s="279"/>
      <c r="AO159" s="279"/>
      <c r="AP159" s="279"/>
      <c r="AQ159" s="279"/>
      <c r="AR159" s="279"/>
      <c r="AS159" s="279"/>
      <c r="AT159" s="279"/>
      <c r="AU159" s="279"/>
      <c r="AV159" s="279"/>
      <c r="AW159" s="279"/>
      <c r="AX159" s="279"/>
      <c r="AY159" s="279"/>
      <c r="AZ159" s="279"/>
      <c r="BA159" s="279"/>
      <c r="BB159" s="279"/>
      <c r="BC159" s="279"/>
      <c r="BD159" s="279"/>
      <c r="BE159" s="279"/>
      <c r="BF159" s="279"/>
      <c r="BG159" s="279"/>
      <c r="BH159" s="279"/>
      <c r="BI159" s="279"/>
      <c r="BJ159" s="279"/>
      <c r="BK159" s="279"/>
      <c r="BL159" s="279"/>
    </row>
    <row r="160" spans="1:64" ht="15">
      <c r="A160" s="284"/>
      <c r="B160" s="661" t="s">
        <v>827</v>
      </c>
      <c r="C160" s="283"/>
      <c r="D160" s="283"/>
      <c r="E160" s="283"/>
      <c r="F160" s="283"/>
      <c r="G160" s="283"/>
      <c r="H160" s="283"/>
      <c r="I160" s="283"/>
      <c r="J160" s="283"/>
      <c r="K160" s="283"/>
      <c r="L160" s="320"/>
      <c r="M160" s="319"/>
      <c r="N160" s="295"/>
      <c r="O160" s="321"/>
      <c r="P160" s="324"/>
      <c r="Q160" s="319"/>
      <c r="R160" s="295"/>
      <c r="S160" s="295"/>
      <c r="T160" s="295"/>
      <c r="U160" s="279"/>
      <c r="V160" s="279"/>
      <c r="W160" s="279"/>
      <c r="X160" s="279"/>
      <c r="Y160" s="279"/>
      <c r="Z160" s="279"/>
      <c r="AA160" s="279"/>
      <c r="AB160" s="279"/>
      <c r="AC160" s="279"/>
      <c r="AD160" s="279"/>
      <c r="AE160" s="279"/>
      <c r="AF160" s="279"/>
      <c r="AG160" s="279"/>
      <c r="AH160" s="279"/>
      <c r="AI160" s="279"/>
      <c r="AJ160" s="279"/>
      <c r="AK160" s="279"/>
      <c r="AL160" s="279"/>
      <c r="AM160" s="279"/>
      <c r="AN160" s="279"/>
      <c r="AO160" s="279"/>
      <c r="AP160" s="279"/>
      <c r="AQ160" s="279"/>
      <c r="AR160" s="279"/>
      <c r="AS160" s="279"/>
      <c r="AT160" s="279"/>
      <c r="AU160" s="279"/>
      <c r="AV160" s="279"/>
      <c r="AW160" s="279"/>
      <c r="AX160" s="279"/>
      <c r="AY160" s="279"/>
      <c r="AZ160" s="279"/>
      <c r="BA160" s="279"/>
      <c r="BB160" s="279"/>
      <c r="BC160" s="279"/>
      <c r="BD160" s="279"/>
      <c r="BE160" s="279"/>
      <c r="BF160" s="279"/>
      <c r="BG160" s="279"/>
      <c r="BH160" s="279"/>
      <c r="BI160" s="279"/>
      <c r="BJ160" s="279"/>
      <c r="BK160" s="279"/>
      <c r="BL160" s="279"/>
    </row>
    <row r="161" spans="1:64" ht="15">
      <c r="A161" s="284">
        <v>9</v>
      </c>
      <c r="B161" s="276" t="str">
        <f>+B149</f>
        <v xml:space="preserve">  Transmission </v>
      </c>
      <c r="C161" s="300" t="s">
        <v>669</v>
      </c>
      <c r="D161" s="335">
        <f>'EIA 412 ELECTRIC PLANT'!J18</f>
        <v>22081</v>
      </c>
      <c r="E161" s="283"/>
      <c r="F161" s="283" t="s">
        <v>680</v>
      </c>
      <c r="G161" s="332">
        <f>+G114</f>
        <v>1</v>
      </c>
      <c r="H161" s="283"/>
      <c r="I161" s="283">
        <f>+G161*D161</f>
        <v>22081</v>
      </c>
      <c r="J161" s="283"/>
      <c r="K161" s="334"/>
      <c r="L161" s="320"/>
      <c r="M161" s="319"/>
      <c r="N161" s="295"/>
      <c r="O161" s="321"/>
      <c r="P161" s="342"/>
      <c r="Q161" s="319"/>
      <c r="R161" s="295"/>
      <c r="S161" s="295"/>
      <c r="T161" s="295"/>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279"/>
      <c r="AV161" s="279"/>
      <c r="AW161" s="279"/>
      <c r="AX161" s="279"/>
      <c r="AY161" s="279"/>
      <c r="AZ161" s="279"/>
      <c r="BA161" s="279"/>
      <c r="BB161" s="279"/>
      <c r="BC161" s="279"/>
      <c r="BD161" s="279"/>
      <c r="BE161" s="279"/>
      <c r="BF161" s="279"/>
      <c r="BG161" s="279"/>
      <c r="BH161" s="279"/>
      <c r="BI161" s="279"/>
      <c r="BJ161" s="279"/>
      <c r="BK161" s="279"/>
      <c r="BL161" s="279"/>
    </row>
    <row r="162" spans="1:64" ht="15">
      <c r="A162" s="284">
        <v>10</v>
      </c>
      <c r="B162" s="276" t="s">
        <v>735</v>
      </c>
      <c r="C162" s="300" t="s">
        <v>669</v>
      </c>
      <c r="D162" s="335">
        <f>'EIA 412 ELECTRIC PLANT'!J20</f>
        <v>314674</v>
      </c>
      <c r="E162" s="283"/>
      <c r="F162" s="283" t="s">
        <v>736</v>
      </c>
      <c r="G162" s="332">
        <f>+G152</f>
        <v>1.1640545132496561E-2</v>
      </c>
      <c r="H162" s="283"/>
      <c r="I162" s="283">
        <f>+G162*D162</f>
        <v>3662.9768990232228</v>
      </c>
      <c r="J162" s="283"/>
      <c r="K162" s="334"/>
      <c r="L162" s="320"/>
      <c r="M162" s="321"/>
      <c r="N162" s="295"/>
      <c r="O162" s="336"/>
      <c r="P162" s="358"/>
      <c r="Q162" s="319"/>
      <c r="R162" s="295"/>
      <c r="S162" s="295"/>
      <c r="T162" s="295"/>
      <c r="U162" s="279"/>
      <c r="V162" s="279"/>
      <c r="W162" s="279"/>
      <c r="X162" s="279"/>
      <c r="Y162" s="279"/>
      <c r="Z162" s="279"/>
      <c r="AA162" s="279"/>
      <c r="AB162" s="279"/>
      <c r="AC162" s="279"/>
      <c r="AD162" s="279"/>
      <c r="AE162" s="279"/>
      <c r="AF162" s="279"/>
      <c r="AG162" s="279"/>
      <c r="AH162" s="279"/>
      <c r="AI162" s="279"/>
      <c r="AJ162" s="279"/>
      <c r="AK162" s="279"/>
      <c r="AL162" s="279"/>
      <c r="AM162" s="279"/>
      <c r="AN162" s="279"/>
      <c r="AO162" s="279"/>
      <c r="AP162" s="279"/>
      <c r="AQ162" s="279"/>
      <c r="AR162" s="279"/>
      <c r="AS162" s="279"/>
      <c r="AT162" s="279"/>
      <c r="AU162" s="279"/>
      <c r="AV162" s="279"/>
      <c r="AW162" s="279"/>
      <c r="AX162" s="279"/>
      <c r="AY162" s="279"/>
      <c r="AZ162" s="279"/>
      <c r="BA162" s="279"/>
      <c r="BB162" s="279"/>
      <c r="BC162" s="279"/>
      <c r="BD162" s="279"/>
      <c r="BE162" s="279"/>
      <c r="BF162" s="279"/>
      <c r="BG162" s="279"/>
      <c r="BH162" s="279"/>
      <c r="BI162" s="279"/>
      <c r="BJ162" s="279"/>
      <c r="BK162" s="279"/>
      <c r="BL162" s="279"/>
    </row>
    <row r="163" spans="1:64" ht="15.75" thickBot="1">
      <c r="A163" s="284">
        <v>11</v>
      </c>
      <c r="B163" s="276" t="str">
        <f>+B156</f>
        <v xml:space="preserve">  Common</v>
      </c>
      <c r="C163" s="283"/>
      <c r="D163" s="333">
        <v>0</v>
      </c>
      <c r="E163" s="283"/>
      <c r="F163" s="283" t="s">
        <v>738</v>
      </c>
      <c r="G163" s="332">
        <f>+G156</f>
        <v>1.1640545132496561E-2</v>
      </c>
      <c r="H163" s="283"/>
      <c r="I163" s="298">
        <f>+G163*D163</f>
        <v>0</v>
      </c>
      <c r="J163" s="283"/>
      <c r="K163" s="334"/>
      <c r="L163" s="320"/>
      <c r="M163" s="321"/>
      <c r="N163" s="295"/>
      <c r="O163" s="321"/>
      <c r="P163" s="321"/>
      <c r="Q163" s="319"/>
      <c r="R163" s="295"/>
      <c r="S163" s="295"/>
      <c r="T163" s="295"/>
      <c r="U163" s="279"/>
      <c r="V163" s="279"/>
      <c r="W163" s="279"/>
      <c r="X163" s="279"/>
      <c r="Y163" s="279"/>
      <c r="Z163" s="279"/>
      <c r="AA163" s="279"/>
      <c r="AB163" s="279"/>
      <c r="AC163" s="279"/>
      <c r="AD163" s="279"/>
      <c r="AE163" s="279"/>
      <c r="AF163" s="279"/>
      <c r="AG163" s="279"/>
      <c r="AH163" s="279"/>
      <c r="AI163" s="279"/>
      <c r="AJ163" s="279"/>
      <c r="AK163" s="279"/>
      <c r="AL163" s="279"/>
      <c r="AM163" s="279"/>
      <c r="AN163" s="279"/>
      <c r="AO163" s="279"/>
      <c r="AP163" s="279"/>
      <c r="AQ163" s="279"/>
      <c r="AR163" s="279"/>
      <c r="AS163" s="279"/>
      <c r="AT163" s="279"/>
      <c r="AU163" s="279"/>
      <c r="AV163" s="279"/>
      <c r="AW163" s="279"/>
      <c r="AX163" s="279"/>
      <c r="AY163" s="279"/>
      <c r="AZ163" s="279"/>
      <c r="BA163" s="279"/>
      <c r="BB163" s="279"/>
      <c r="BC163" s="279"/>
      <c r="BD163" s="279"/>
      <c r="BE163" s="279"/>
      <c r="BF163" s="279"/>
      <c r="BG163" s="279"/>
      <c r="BH163" s="279"/>
      <c r="BI163" s="279"/>
      <c r="BJ163" s="279"/>
      <c r="BK163" s="279"/>
      <c r="BL163" s="279"/>
    </row>
    <row r="164" spans="1:64" ht="15">
      <c r="A164" s="284">
        <v>12</v>
      </c>
      <c r="B164" s="276" t="s">
        <v>9</v>
      </c>
      <c r="C164" s="283"/>
      <c r="D164" s="283">
        <f>SUM(D161:D163)</f>
        <v>336755</v>
      </c>
      <c r="E164" s="283"/>
      <c r="F164" s="283"/>
      <c r="G164" s="283"/>
      <c r="H164" s="283"/>
      <c r="I164" s="283">
        <f>SUM(I161:I163)</f>
        <v>25743.976899023222</v>
      </c>
      <c r="J164" s="283"/>
      <c r="K164" s="283"/>
      <c r="L164" s="320"/>
      <c r="M164" s="321"/>
      <c r="N164" s="295"/>
      <c r="O164" s="321"/>
      <c r="P164" s="321"/>
      <c r="Q164" s="319"/>
      <c r="R164" s="295"/>
      <c r="S164" s="295"/>
      <c r="T164" s="295"/>
      <c r="U164" s="279"/>
      <c r="V164" s="279"/>
      <c r="W164" s="279"/>
      <c r="X164" s="279"/>
      <c r="Y164" s="279"/>
      <c r="Z164" s="279"/>
      <c r="AA164" s="279"/>
      <c r="AB164" s="279"/>
      <c r="AC164" s="279"/>
      <c r="AD164" s="279"/>
      <c r="AE164" s="279"/>
      <c r="AF164" s="279"/>
      <c r="AG164" s="279"/>
      <c r="AH164" s="279"/>
      <c r="AI164" s="279"/>
      <c r="AJ164" s="279"/>
      <c r="AK164" s="279"/>
      <c r="AL164" s="279"/>
      <c r="AM164" s="279"/>
      <c r="AN164" s="279"/>
      <c r="AO164" s="279"/>
      <c r="AP164" s="279"/>
      <c r="AQ164" s="279"/>
      <c r="AR164" s="279"/>
      <c r="AS164" s="279"/>
      <c r="AT164" s="279"/>
      <c r="AU164" s="279"/>
      <c r="AV164" s="279"/>
      <c r="AW164" s="279"/>
      <c r="AX164" s="279"/>
      <c r="AY164" s="279"/>
      <c r="AZ164" s="279"/>
      <c r="BA164" s="279"/>
      <c r="BB164" s="279"/>
      <c r="BC164" s="279"/>
      <c r="BD164" s="279"/>
      <c r="BE164" s="279"/>
      <c r="BF164" s="279"/>
      <c r="BG164" s="279"/>
      <c r="BH164" s="279"/>
      <c r="BI164" s="279"/>
      <c r="BJ164" s="279"/>
      <c r="BK164" s="279"/>
      <c r="BL164" s="279"/>
    </row>
    <row r="165" spans="1:64" ht="15">
      <c r="A165" s="284"/>
      <c r="B165" s="276"/>
      <c r="C165" s="283"/>
      <c r="D165" s="283"/>
      <c r="E165" s="283"/>
      <c r="F165" s="283"/>
      <c r="G165" s="283"/>
      <c r="H165" s="283"/>
      <c r="I165" s="283"/>
      <c r="J165" s="283"/>
      <c r="K165" s="283"/>
      <c r="L165" s="320"/>
      <c r="M165" s="319"/>
      <c r="N165" s="295"/>
      <c r="O165" s="321"/>
      <c r="P165" s="324"/>
      <c r="Q165" s="321"/>
      <c r="R165" s="295"/>
      <c r="S165" s="295"/>
      <c r="T165" s="295"/>
      <c r="U165" s="279"/>
      <c r="V165" s="279"/>
      <c r="W165" s="279"/>
      <c r="X165" s="279"/>
      <c r="Y165" s="279"/>
      <c r="Z165" s="279"/>
      <c r="AA165" s="279"/>
      <c r="AB165" s="279"/>
      <c r="AC165" s="279"/>
      <c r="AD165" s="279"/>
      <c r="AE165" s="279"/>
      <c r="AF165" s="279"/>
      <c r="AG165" s="279"/>
      <c r="AH165" s="279"/>
      <c r="AI165" s="279"/>
      <c r="AJ165" s="279"/>
      <c r="AK165" s="279"/>
      <c r="AL165" s="279"/>
      <c r="AM165" s="279"/>
      <c r="AN165" s="279"/>
      <c r="AO165" s="279"/>
      <c r="AP165" s="279"/>
      <c r="AQ165" s="279"/>
      <c r="AR165" s="279"/>
      <c r="AS165" s="279"/>
      <c r="AT165" s="279"/>
      <c r="AU165" s="279"/>
      <c r="AV165" s="279"/>
      <c r="AW165" s="279"/>
      <c r="AX165" s="279"/>
      <c r="AY165" s="279"/>
      <c r="AZ165" s="279"/>
      <c r="BA165" s="279"/>
      <c r="BB165" s="279"/>
      <c r="BC165" s="279"/>
      <c r="BD165" s="279"/>
      <c r="BE165" s="279"/>
      <c r="BF165" s="279"/>
      <c r="BG165" s="279"/>
      <c r="BH165" s="279"/>
      <c r="BI165" s="279"/>
      <c r="BJ165" s="279"/>
      <c r="BK165" s="279"/>
      <c r="BL165" s="279"/>
    </row>
    <row r="166" spans="1:64" ht="15">
      <c r="A166" s="284" t="s">
        <v>669</v>
      </c>
      <c r="B166" s="276" t="s">
        <v>10</v>
      </c>
      <c r="C166" s="300"/>
      <c r="D166" s="283"/>
      <c r="E166" s="283"/>
      <c r="F166" s="283"/>
      <c r="G166" s="283"/>
      <c r="H166" s="283"/>
      <c r="I166" s="283"/>
      <c r="J166" s="283"/>
      <c r="K166" s="283"/>
      <c r="L166" s="320"/>
      <c r="M166" s="319"/>
      <c r="N166" s="295"/>
      <c r="O166" s="321"/>
      <c r="P166" s="324"/>
      <c r="Q166" s="321"/>
      <c r="R166" s="295"/>
      <c r="S166" s="295"/>
      <c r="T166" s="295"/>
      <c r="U166" s="279"/>
      <c r="V166" s="279"/>
      <c r="W166" s="279"/>
      <c r="X166" s="279"/>
      <c r="Y166" s="279"/>
      <c r="Z166" s="279"/>
      <c r="AA166" s="279"/>
      <c r="AB166" s="279"/>
      <c r="AC166" s="279"/>
      <c r="AD166" s="279"/>
      <c r="AE166" s="279"/>
      <c r="AF166" s="279"/>
      <c r="AG166" s="279"/>
      <c r="AH166" s="279"/>
      <c r="AI166" s="279"/>
      <c r="AJ166" s="279"/>
      <c r="AK166" s="279"/>
      <c r="AL166" s="279"/>
      <c r="AM166" s="279"/>
      <c r="AN166" s="279"/>
      <c r="AO166" s="279"/>
      <c r="AP166" s="279"/>
      <c r="AQ166" s="279"/>
      <c r="AR166" s="279"/>
      <c r="AS166" s="279"/>
      <c r="AT166" s="279"/>
      <c r="AU166" s="279"/>
      <c r="AV166" s="279"/>
      <c r="AW166" s="279"/>
      <c r="AX166" s="279"/>
      <c r="AY166" s="279"/>
      <c r="AZ166" s="279"/>
      <c r="BA166" s="279"/>
      <c r="BB166" s="279"/>
      <c r="BC166" s="279"/>
      <c r="BD166" s="279"/>
      <c r="BE166" s="279"/>
      <c r="BF166" s="279"/>
      <c r="BG166" s="279"/>
      <c r="BH166" s="279"/>
      <c r="BI166" s="279"/>
      <c r="BJ166" s="279"/>
      <c r="BK166" s="279"/>
      <c r="BL166" s="279"/>
    </row>
    <row r="167" spans="1:64" ht="15">
      <c r="A167" s="284"/>
      <c r="B167" s="276" t="s">
        <v>11</v>
      </c>
      <c r="C167" s="300"/>
      <c r="D167" s="300"/>
      <c r="E167" s="283"/>
      <c r="F167" s="283"/>
      <c r="G167" s="300"/>
      <c r="H167" s="283"/>
      <c r="I167" s="300"/>
      <c r="J167" s="283"/>
      <c r="K167" s="334"/>
      <c r="L167" s="320"/>
      <c r="M167" s="319"/>
      <c r="N167" s="295"/>
      <c r="O167" s="321"/>
      <c r="P167" s="324"/>
      <c r="Q167" s="321"/>
      <c r="R167" s="295"/>
      <c r="S167" s="295"/>
      <c r="T167" s="295"/>
      <c r="U167" s="279"/>
      <c r="V167" s="279"/>
      <c r="W167" s="279"/>
      <c r="X167" s="279"/>
      <c r="Y167" s="279"/>
      <c r="Z167" s="279"/>
      <c r="AA167" s="279"/>
      <c r="AB167" s="279"/>
      <c r="AC167" s="279"/>
      <c r="AD167" s="279"/>
      <c r="AE167" s="279"/>
      <c r="AF167" s="279"/>
      <c r="AG167" s="279"/>
      <c r="AH167" s="279"/>
      <c r="AI167" s="279"/>
      <c r="AJ167" s="279"/>
      <c r="AK167" s="279"/>
      <c r="AL167" s="279"/>
      <c r="AM167" s="279"/>
      <c r="AN167" s="279"/>
      <c r="AO167" s="279"/>
      <c r="AP167" s="279"/>
      <c r="AQ167" s="279"/>
      <c r="AR167" s="279"/>
      <c r="AS167" s="279"/>
      <c r="AT167" s="279"/>
      <c r="AU167" s="279"/>
      <c r="AV167" s="279"/>
      <c r="AW167" s="279"/>
      <c r="AX167" s="279"/>
      <c r="AY167" s="279"/>
      <c r="AZ167" s="279"/>
      <c r="BA167" s="279"/>
      <c r="BB167" s="279"/>
      <c r="BC167" s="279"/>
      <c r="BD167" s="279"/>
      <c r="BE167" s="279"/>
      <c r="BF167" s="279"/>
      <c r="BG167" s="279"/>
      <c r="BH167" s="279"/>
      <c r="BI167" s="279"/>
      <c r="BJ167" s="279"/>
      <c r="BK167" s="279"/>
      <c r="BL167" s="279"/>
    </row>
    <row r="168" spans="1:64" ht="15">
      <c r="A168" s="284">
        <v>13</v>
      </c>
      <c r="B168" s="276" t="s">
        <v>12</v>
      </c>
      <c r="C168" s="283"/>
      <c r="D168" s="335">
        <v>0</v>
      </c>
      <c r="E168" s="283"/>
      <c r="F168" s="283" t="s">
        <v>736</v>
      </c>
      <c r="G168" s="293">
        <f>+G162</f>
        <v>1.1640545132496561E-2</v>
      </c>
      <c r="H168" s="283"/>
      <c r="I168" s="283">
        <f>+G168*D168</f>
        <v>0</v>
      </c>
      <c r="J168" s="283"/>
      <c r="K168" s="334"/>
      <c r="L168" s="320"/>
      <c r="M168" s="319"/>
      <c r="N168" s="295"/>
      <c r="O168" s="336"/>
      <c r="P168" s="321"/>
      <c r="Q168" s="319"/>
      <c r="R168" s="295"/>
      <c r="S168" s="295"/>
      <c r="T168" s="295"/>
      <c r="U168" s="279"/>
      <c r="V168" s="279"/>
      <c r="W168" s="279"/>
      <c r="X168" s="279"/>
      <c r="Y168" s="279"/>
      <c r="Z168" s="279"/>
      <c r="AA168" s="279"/>
      <c r="AB168" s="279"/>
      <c r="AC168" s="279"/>
      <c r="AD168" s="279"/>
      <c r="AE168" s="279"/>
      <c r="AF168" s="279"/>
      <c r="AG168" s="279"/>
      <c r="AH168" s="279"/>
      <c r="AI168" s="279"/>
      <c r="AJ168" s="279"/>
      <c r="AK168" s="279"/>
      <c r="AL168" s="279"/>
      <c r="AM168" s="279"/>
      <c r="AN168" s="279"/>
      <c r="AO168" s="279"/>
      <c r="AP168" s="279"/>
      <c r="AQ168" s="279"/>
      <c r="AR168" s="279"/>
      <c r="AS168" s="279"/>
      <c r="AT168" s="279"/>
      <c r="AU168" s="279"/>
      <c r="AV168" s="279"/>
      <c r="AW168" s="279"/>
      <c r="AX168" s="279"/>
      <c r="AY168" s="279"/>
      <c r="AZ168" s="279"/>
      <c r="BA168" s="279"/>
      <c r="BB168" s="279"/>
      <c r="BC168" s="279"/>
      <c r="BD168" s="279"/>
      <c r="BE168" s="279"/>
      <c r="BF168" s="279"/>
      <c r="BG168" s="279"/>
      <c r="BH168" s="279"/>
      <c r="BI168" s="279"/>
      <c r="BJ168" s="279"/>
      <c r="BK168" s="279"/>
      <c r="BL168" s="279"/>
    </row>
    <row r="169" spans="1:64" ht="15">
      <c r="A169" s="284">
        <v>14</v>
      </c>
      <c r="B169" s="276" t="s">
        <v>13</v>
      </c>
      <c r="C169" s="283"/>
      <c r="D169" s="335">
        <v>0</v>
      </c>
      <c r="E169" s="283"/>
      <c r="F169" s="283" t="str">
        <f>+F168</f>
        <v>W/S</v>
      </c>
      <c r="G169" s="293">
        <f>+G168</f>
        <v>1.1640545132496561E-2</v>
      </c>
      <c r="H169" s="283"/>
      <c r="I169" s="283">
        <f>+G169*D169</f>
        <v>0</v>
      </c>
      <c r="J169" s="283"/>
      <c r="K169" s="334"/>
      <c r="L169" s="320"/>
      <c r="M169" s="319"/>
      <c r="N169" s="295"/>
      <c r="O169" s="321"/>
      <c r="P169" s="321"/>
      <c r="Q169" s="319"/>
      <c r="R169" s="295"/>
      <c r="S169" s="295"/>
      <c r="T169" s="295"/>
      <c r="U169" s="279"/>
      <c r="V169" s="279"/>
      <c r="W169" s="279"/>
      <c r="X169" s="279"/>
      <c r="Y169" s="279"/>
      <c r="Z169" s="279"/>
      <c r="AA169" s="279"/>
      <c r="AB169" s="279"/>
      <c r="AC169" s="279"/>
      <c r="AD169" s="279"/>
      <c r="AE169" s="279"/>
      <c r="AF169" s="279"/>
      <c r="AG169" s="279"/>
      <c r="AH169" s="279"/>
      <c r="AI169" s="279"/>
      <c r="AJ169" s="279"/>
      <c r="AK169" s="279"/>
      <c r="AL169" s="279"/>
      <c r="AM169" s="279"/>
      <c r="AN169" s="279"/>
      <c r="AO169" s="279"/>
      <c r="AP169" s="279"/>
      <c r="AQ169" s="279"/>
      <c r="AR169" s="279"/>
      <c r="AS169" s="279"/>
      <c r="AT169" s="279"/>
      <c r="AU169" s="279"/>
      <c r="AV169" s="279"/>
      <c r="AW169" s="279"/>
      <c r="AX169" s="279"/>
      <c r="AY169" s="279"/>
      <c r="AZ169" s="279"/>
      <c r="BA169" s="279"/>
      <c r="BB169" s="279"/>
      <c r="BC169" s="279"/>
      <c r="BD169" s="279"/>
      <c r="BE169" s="279"/>
      <c r="BF169" s="279"/>
      <c r="BG169" s="279"/>
      <c r="BH169" s="279"/>
      <c r="BI169" s="279"/>
      <c r="BJ169" s="279"/>
      <c r="BK169" s="279"/>
      <c r="BL169" s="279"/>
    </row>
    <row r="170" spans="1:64" ht="15">
      <c r="A170" s="284">
        <v>15</v>
      </c>
      <c r="B170" s="276" t="s">
        <v>14</v>
      </c>
      <c r="C170" s="283"/>
      <c r="D170" s="300"/>
      <c r="E170" s="283"/>
      <c r="F170" s="283"/>
      <c r="G170" s="300"/>
      <c r="H170" s="283"/>
      <c r="I170" s="300"/>
      <c r="J170" s="283"/>
      <c r="K170" s="334"/>
      <c r="L170" s="320"/>
      <c r="M170" s="319"/>
      <c r="N170" s="295"/>
      <c r="O170" s="321"/>
      <c r="P170" s="321"/>
      <c r="Q170" s="319"/>
      <c r="R170" s="295"/>
      <c r="S170" s="295"/>
      <c r="T170" s="295"/>
      <c r="U170" s="279"/>
      <c r="V170" s="279"/>
      <c r="W170" s="279"/>
      <c r="X170" s="279"/>
      <c r="Y170" s="279"/>
      <c r="Z170" s="279"/>
      <c r="AA170" s="279"/>
      <c r="AB170" s="279"/>
      <c r="AC170" s="279"/>
      <c r="AD170" s="279"/>
      <c r="AE170" s="279"/>
      <c r="AF170" s="279"/>
      <c r="AG170" s="279"/>
      <c r="AH170" s="279"/>
      <c r="AI170" s="279"/>
      <c r="AJ170" s="279"/>
      <c r="AK170" s="279"/>
      <c r="AL170" s="279"/>
      <c r="AM170" s="279"/>
      <c r="AN170" s="279"/>
      <c r="AO170" s="279"/>
      <c r="AP170" s="279"/>
      <c r="AQ170" s="279"/>
      <c r="AR170" s="279"/>
      <c r="AS170" s="279"/>
      <c r="AT170" s="279"/>
      <c r="AU170" s="279"/>
      <c r="AV170" s="279"/>
      <c r="AW170" s="279"/>
      <c r="AX170" s="279"/>
      <c r="AY170" s="279"/>
      <c r="AZ170" s="279"/>
      <c r="BA170" s="279"/>
      <c r="BB170" s="279"/>
      <c r="BC170" s="279"/>
      <c r="BD170" s="279"/>
      <c r="BE170" s="279"/>
      <c r="BF170" s="279"/>
      <c r="BG170" s="279"/>
      <c r="BH170" s="279"/>
      <c r="BI170" s="279"/>
      <c r="BJ170" s="279"/>
      <c r="BK170" s="279"/>
      <c r="BL170" s="279"/>
    </row>
    <row r="171" spans="1:64" ht="15">
      <c r="A171" s="284">
        <v>16</v>
      </c>
      <c r="B171" s="276" t="s">
        <v>15</v>
      </c>
      <c r="C171" s="283"/>
      <c r="D171" s="335">
        <v>0</v>
      </c>
      <c r="E171" s="283"/>
      <c r="F171" s="283" t="s">
        <v>769</v>
      </c>
      <c r="G171" s="293">
        <f>+G88</f>
        <v>1.6748902982246166E-2</v>
      </c>
      <c r="H171" s="283"/>
      <c r="I171" s="283">
        <f>+G171*D171</f>
        <v>0</v>
      </c>
      <c r="J171" s="283"/>
      <c r="K171" s="334"/>
      <c r="L171" s="320"/>
      <c r="M171" s="319"/>
      <c r="N171" s="295"/>
      <c r="O171" s="341"/>
      <c r="P171" s="324"/>
      <c r="Q171" s="319"/>
      <c r="R171" s="295"/>
      <c r="S171" s="295"/>
      <c r="T171" s="295"/>
      <c r="U171" s="279"/>
      <c r="V171" s="279"/>
      <c r="W171" s="279"/>
      <c r="X171" s="279"/>
      <c r="Y171" s="279"/>
      <c r="Z171" s="279"/>
      <c r="AA171" s="279"/>
      <c r="AB171" s="279"/>
      <c r="AC171" s="279"/>
      <c r="AD171" s="279"/>
      <c r="AE171" s="279"/>
      <c r="AF171" s="279"/>
      <c r="AG171" s="279"/>
      <c r="AH171" s="279"/>
      <c r="AI171" s="279"/>
      <c r="AJ171" s="279"/>
      <c r="AK171" s="279"/>
      <c r="AL171" s="279"/>
      <c r="AM171" s="279"/>
      <c r="AN171" s="279"/>
      <c r="AO171" s="279"/>
      <c r="AP171" s="279"/>
      <c r="AQ171" s="279"/>
      <c r="AR171" s="279"/>
      <c r="AS171" s="279"/>
      <c r="AT171" s="279"/>
      <c r="AU171" s="279"/>
      <c r="AV171" s="279"/>
      <c r="AW171" s="279"/>
      <c r="AX171" s="279"/>
      <c r="AY171" s="279"/>
      <c r="AZ171" s="279"/>
      <c r="BA171" s="279"/>
      <c r="BB171" s="279"/>
      <c r="BC171" s="279"/>
      <c r="BD171" s="279"/>
      <c r="BE171" s="279"/>
      <c r="BF171" s="279"/>
      <c r="BG171" s="279"/>
      <c r="BH171" s="279"/>
      <c r="BI171" s="279"/>
      <c r="BJ171" s="279"/>
      <c r="BK171" s="279"/>
      <c r="BL171" s="279"/>
    </row>
    <row r="172" spans="1:64" ht="15">
      <c r="A172" s="284">
        <v>17</v>
      </c>
      <c r="B172" s="276" t="s">
        <v>16</v>
      </c>
      <c r="C172" s="283"/>
      <c r="D172" s="335">
        <v>0</v>
      </c>
      <c r="E172" s="283"/>
      <c r="F172" s="283" t="s">
        <v>730</v>
      </c>
      <c r="G172" s="359" t="s">
        <v>752</v>
      </c>
      <c r="H172" s="283"/>
      <c r="I172" s="283">
        <v>0</v>
      </c>
      <c r="J172" s="283"/>
      <c r="K172" s="334"/>
      <c r="L172" s="320"/>
      <c r="M172" s="319"/>
      <c r="N172" s="295"/>
      <c r="O172" s="341"/>
      <c r="P172" s="324"/>
      <c r="Q172" s="319"/>
      <c r="R172" s="295"/>
      <c r="S172" s="295"/>
      <c r="T172" s="295"/>
      <c r="U172" s="279"/>
      <c r="V172" s="279"/>
      <c r="W172" s="279"/>
      <c r="X172" s="279"/>
      <c r="Y172" s="279"/>
      <c r="Z172" s="279"/>
      <c r="AA172" s="279"/>
      <c r="AB172" s="279"/>
      <c r="AC172" s="279"/>
      <c r="AD172" s="279"/>
      <c r="AE172" s="279"/>
      <c r="AF172" s="279"/>
      <c r="AG172" s="279"/>
      <c r="AH172" s="279"/>
      <c r="AI172" s="279"/>
      <c r="AJ172" s="279"/>
      <c r="AK172" s="279"/>
      <c r="AL172" s="279"/>
      <c r="AM172" s="279"/>
      <c r="AN172" s="279"/>
      <c r="AO172" s="279"/>
      <c r="AP172" s="279"/>
      <c r="AQ172" s="279"/>
      <c r="AR172" s="279"/>
      <c r="AS172" s="279"/>
      <c r="AT172" s="279"/>
      <c r="AU172" s="279"/>
      <c r="AV172" s="279"/>
      <c r="AW172" s="279"/>
      <c r="AX172" s="279"/>
      <c r="AY172" s="279"/>
      <c r="AZ172" s="279"/>
      <c r="BA172" s="279"/>
      <c r="BB172" s="279"/>
      <c r="BC172" s="279"/>
      <c r="BD172" s="279"/>
      <c r="BE172" s="279"/>
      <c r="BF172" s="279"/>
      <c r="BG172" s="279"/>
      <c r="BH172" s="279"/>
      <c r="BI172" s="279"/>
      <c r="BJ172" s="279"/>
      <c r="BK172" s="279"/>
      <c r="BL172" s="279"/>
    </row>
    <row r="173" spans="1:64" ht="15">
      <c r="A173" s="284">
        <v>18</v>
      </c>
      <c r="B173" s="276" t="s">
        <v>17</v>
      </c>
      <c r="C173" s="283"/>
      <c r="D173" s="335">
        <v>0</v>
      </c>
      <c r="E173" s="283"/>
      <c r="F173" s="283" t="str">
        <f>+F171</f>
        <v>GP</v>
      </c>
      <c r="G173" s="293">
        <f>+G171</f>
        <v>1.6748902982246166E-2</v>
      </c>
      <c r="H173" s="283"/>
      <c r="I173" s="283">
        <f>+G173*D173</f>
        <v>0</v>
      </c>
      <c r="J173" s="283"/>
      <c r="K173" s="334"/>
      <c r="L173" s="320"/>
      <c r="M173" s="319"/>
      <c r="N173" s="295"/>
      <c r="O173" s="341"/>
      <c r="P173" s="324"/>
      <c r="Q173" s="319"/>
      <c r="R173" s="295"/>
      <c r="S173" s="295"/>
      <c r="T173" s="295"/>
      <c r="U173" s="279"/>
      <c r="V173" s="279"/>
      <c r="W173" s="279"/>
      <c r="X173" s="279"/>
      <c r="Y173" s="279"/>
      <c r="Z173" s="279"/>
      <c r="AA173" s="279"/>
      <c r="AB173" s="279"/>
      <c r="AC173" s="279"/>
      <c r="AD173" s="279"/>
      <c r="AE173" s="279"/>
      <c r="AF173" s="279"/>
      <c r="AG173" s="279"/>
      <c r="AH173" s="279"/>
      <c r="AI173" s="279"/>
      <c r="AJ173" s="279"/>
      <c r="AK173" s="279"/>
      <c r="AL173" s="279"/>
      <c r="AM173" s="279"/>
      <c r="AN173" s="279"/>
      <c r="AO173" s="279"/>
      <c r="AP173" s="279"/>
      <c r="AQ173" s="279"/>
      <c r="AR173" s="279"/>
      <c r="AS173" s="279"/>
      <c r="AT173" s="279"/>
      <c r="AU173" s="279"/>
      <c r="AV173" s="279"/>
      <c r="AW173" s="279"/>
      <c r="AX173" s="279"/>
      <c r="AY173" s="279"/>
      <c r="AZ173" s="279"/>
      <c r="BA173" s="279"/>
      <c r="BB173" s="279"/>
      <c r="BC173" s="279"/>
      <c r="BD173" s="279"/>
      <c r="BE173" s="279"/>
      <c r="BF173" s="279"/>
      <c r="BG173" s="279"/>
      <c r="BH173" s="279"/>
      <c r="BI173" s="279"/>
      <c r="BJ173" s="279"/>
      <c r="BK173" s="279"/>
      <c r="BL173" s="279"/>
    </row>
    <row r="174" spans="1:64" ht="15.75" thickBot="1">
      <c r="A174" s="284">
        <v>19</v>
      </c>
      <c r="B174" s="276" t="s">
        <v>18</v>
      </c>
      <c r="C174" s="283"/>
      <c r="D174" s="333">
        <f>'EIA 412 TAXES'!C18</f>
        <v>797835</v>
      </c>
      <c r="E174" s="283"/>
      <c r="F174" s="283" t="s">
        <v>769</v>
      </c>
      <c r="G174" s="293">
        <f>+G173</f>
        <v>1.6748902982246166E-2</v>
      </c>
      <c r="H174" s="283"/>
      <c r="I174" s="298">
        <f>+G174*D174</f>
        <v>13362.86101084037</v>
      </c>
      <c r="J174" s="283"/>
      <c r="K174" s="334"/>
      <c r="L174" s="320"/>
      <c r="M174" s="319"/>
      <c r="N174" s="295"/>
      <c r="O174" s="341"/>
      <c r="P174" s="324"/>
      <c r="Q174" s="319"/>
      <c r="R174" s="295"/>
      <c r="S174" s="295"/>
      <c r="T174" s="295"/>
      <c r="U174" s="279"/>
      <c r="V174" s="279"/>
      <c r="W174" s="279"/>
      <c r="X174" s="279"/>
      <c r="Y174" s="279"/>
      <c r="Z174" s="279"/>
      <c r="AA174" s="279"/>
      <c r="AB174" s="279"/>
      <c r="AC174" s="279"/>
      <c r="AD174" s="279"/>
      <c r="AE174" s="279"/>
      <c r="AF174" s="279"/>
      <c r="AG174" s="279"/>
      <c r="AH174" s="279"/>
      <c r="AI174" s="279"/>
      <c r="AJ174" s="279"/>
      <c r="AK174" s="279"/>
      <c r="AL174" s="279"/>
      <c r="AM174" s="279"/>
      <c r="AN174" s="279"/>
      <c r="AO174" s="279"/>
      <c r="AP174" s="279"/>
      <c r="AQ174" s="279"/>
      <c r="AR174" s="279"/>
      <c r="AS174" s="279"/>
      <c r="AT174" s="279"/>
      <c r="AU174" s="279"/>
      <c r="AV174" s="279"/>
      <c r="AW174" s="279"/>
      <c r="AX174" s="279"/>
      <c r="AY174" s="279"/>
      <c r="AZ174" s="279"/>
      <c r="BA174" s="279"/>
      <c r="BB174" s="279"/>
      <c r="BC174" s="279"/>
      <c r="BD174" s="279"/>
      <c r="BE174" s="279"/>
      <c r="BF174" s="279"/>
      <c r="BG174" s="279"/>
      <c r="BH174" s="279"/>
      <c r="BI174" s="279"/>
      <c r="BJ174" s="279"/>
      <c r="BK174" s="279"/>
      <c r="BL174" s="279"/>
    </row>
    <row r="175" spans="1:64" ht="15">
      <c r="A175" s="284">
        <v>20</v>
      </c>
      <c r="B175" s="276" t="s">
        <v>19</v>
      </c>
      <c r="C175" s="283"/>
      <c r="D175" s="283">
        <f>SUM(D168:D174)</f>
        <v>797835</v>
      </c>
      <c r="E175" s="283"/>
      <c r="F175" s="283"/>
      <c r="G175" s="293"/>
      <c r="H175" s="283"/>
      <c r="I175" s="283">
        <f>SUM(I168:I174)</f>
        <v>13362.86101084037</v>
      </c>
      <c r="J175" s="283"/>
      <c r="K175" s="283"/>
      <c r="L175" s="320"/>
      <c r="M175" s="319"/>
      <c r="N175" s="295"/>
      <c r="O175" s="341"/>
      <c r="P175" s="324"/>
      <c r="Q175" s="319"/>
      <c r="R175" s="295"/>
      <c r="S175" s="295"/>
      <c r="T175" s="295"/>
      <c r="U175" s="279"/>
      <c r="V175" s="279"/>
      <c r="W175" s="279"/>
      <c r="X175" s="279"/>
      <c r="Y175" s="279"/>
      <c r="Z175" s="279"/>
      <c r="AA175" s="279"/>
      <c r="AB175" s="279"/>
      <c r="AC175" s="279"/>
      <c r="AD175" s="279"/>
      <c r="AE175" s="279"/>
      <c r="AF175" s="279"/>
      <c r="AG175" s="279"/>
      <c r="AH175" s="279"/>
      <c r="AI175" s="279"/>
      <c r="AJ175" s="279"/>
      <c r="AK175" s="279"/>
      <c r="AL175" s="279"/>
      <c r="AM175" s="279"/>
      <c r="AN175" s="279"/>
      <c r="AO175" s="279"/>
      <c r="AP175" s="279"/>
      <c r="AQ175" s="279"/>
      <c r="AR175" s="279"/>
      <c r="AS175" s="279"/>
      <c r="AT175" s="279"/>
      <c r="AU175" s="279"/>
      <c r="AV175" s="279"/>
      <c r="AW175" s="279"/>
      <c r="AX175" s="279"/>
      <c r="AY175" s="279"/>
      <c r="AZ175" s="279"/>
      <c r="BA175" s="279"/>
      <c r="BB175" s="279"/>
      <c r="BC175" s="279"/>
      <c r="BD175" s="279"/>
      <c r="BE175" s="279"/>
      <c r="BF175" s="279"/>
      <c r="BG175" s="279"/>
      <c r="BH175" s="279"/>
      <c r="BI175" s="279"/>
      <c r="BJ175" s="279"/>
      <c r="BK175" s="279"/>
      <c r="BL175" s="279"/>
    </row>
    <row r="176" spans="1:64" ht="15">
      <c r="A176" s="284"/>
      <c r="B176" s="276"/>
      <c r="C176" s="283"/>
      <c r="D176" s="283"/>
      <c r="E176" s="283"/>
      <c r="F176" s="283"/>
      <c r="G176" s="293"/>
      <c r="H176" s="283"/>
      <c r="I176" s="283"/>
      <c r="J176" s="283"/>
      <c r="K176" s="283"/>
      <c r="L176" s="320"/>
      <c r="M176" s="319"/>
      <c r="N176" s="295"/>
      <c r="O176" s="341"/>
      <c r="P176" s="324"/>
      <c r="Q176" s="319"/>
      <c r="R176" s="295"/>
      <c r="S176" s="295"/>
      <c r="T176" s="295"/>
      <c r="U176" s="279"/>
      <c r="V176" s="279"/>
      <c r="W176" s="279"/>
      <c r="X176" s="279"/>
      <c r="Y176" s="279"/>
      <c r="Z176" s="279"/>
      <c r="AA176" s="279"/>
      <c r="AB176" s="279"/>
      <c r="AC176" s="279"/>
      <c r="AD176" s="279"/>
      <c r="AE176" s="279"/>
      <c r="AF176" s="279"/>
      <c r="AG176" s="279"/>
      <c r="AH176" s="279"/>
      <c r="AI176" s="279"/>
      <c r="AJ176" s="279"/>
      <c r="AK176" s="279"/>
      <c r="AL176" s="279"/>
      <c r="AM176" s="279"/>
      <c r="AN176" s="279"/>
      <c r="AO176" s="279"/>
      <c r="AP176" s="279"/>
      <c r="AQ176" s="279"/>
      <c r="AR176" s="279"/>
      <c r="AS176" s="279"/>
      <c r="AT176" s="279"/>
      <c r="AU176" s="279"/>
      <c r="AV176" s="279"/>
      <c r="AW176" s="279"/>
      <c r="AX176" s="279"/>
      <c r="AY176" s="279"/>
      <c r="AZ176" s="279"/>
      <c r="BA176" s="279"/>
      <c r="BB176" s="279"/>
      <c r="BC176" s="279"/>
      <c r="BD176" s="279"/>
      <c r="BE176" s="279"/>
      <c r="BF176" s="279"/>
      <c r="BG176" s="279"/>
      <c r="BH176" s="279"/>
      <c r="BI176" s="279"/>
      <c r="BJ176" s="279"/>
      <c r="BK176" s="279"/>
      <c r="BL176" s="279"/>
    </row>
    <row r="177" spans="1:64" ht="15">
      <c r="A177" s="284" t="s">
        <v>669</v>
      </c>
      <c r="B177" s="276" t="s">
        <v>20</v>
      </c>
      <c r="C177" s="360" t="s">
        <v>21</v>
      </c>
      <c r="D177" s="283"/>
      <c r="E177" s="283"/>
      <c r="F177" s="283" t="s">
        <v>730</v>
      </c>
      <c r="G177" s="361"/>
      <c r="H177" s="283"/>
      <c r="I177" s="283"/>
      <c r="J177" s="283"/>
      <c r="K177" s="300"/>
      <c r="L177" s="320"/>
      <c r="M177" s="319"/>
      <c r="N177" s="295"/>
      <c r="O177" s="341"/>
      <c r="P177" s="324"/>
      <c r="Q177" s="319"/>
      <c r="R177" s="295"/>
      <c r="S177" s="295"/>
      <c r="T177" s="295"/>
      <c r="U177" s="279"/>
      <c r="V177" s="279"/>
      <c r="W177" s="279"/>
      <c r="X177" s="279"/>
      <c r="Y177" s="279"/>
      <c r="Z177" s="279"/>
      <c r="AA177" s="279"/>
      <c r="AB177" s="279"/>
      <c r="AC177" s="279"/>
      <c r="AD177" s="279"/>
      <c r="AE177" s="279"/>
      <c r="AF177" s="279"/>
      <c r="AG177" s="279"/>
      <c r="AH177" s="279"/>
      <c r="AI177" s="279"/>
      <c r="AJ177" s="279"/>
      <c r="AK177" s="279"/>
      <c r="AL177" s="279"/>
      <c r="AM177" s="279"/>
      <c r="AN177" s="279"/>
      <c r="AO177" s="279"/>
      <c r="AP177" s="279"/>
      <c r="AQ177" s="279"/>
      <c r="AR177" s="279"/>
      <c r="AS177" s="279"/>
      <c r="AT177" s="279"/>
      <c r="AU177" s="279"/>
      <c r="AV177" s="279"/>
      <c r="AW177" s="279"/>
      <c r="AX177" s="279"/>
      <c r="AY177" s="279"/>
      <c r="AZ177" s="279"/>
      <c r="BA177" s="279"/>
      <c r="BB177" s="279"/>
      <c r="BC177" s="279"/>
      <c r="BD177" s="279"/>
      <c r="BE177" s="279"/>
      <c r="BF177" s="279"/>
      <c r="BG177" s="279"/>
      <c r="BH177" s="279"/>
      <c r="BI177" s="279"/>
      <c r="BJ177" s="279"/>
      <c r="BK177" s="279"/>
      <c r="BL177" s="279"/>
    </row>
    <row r="178" spans="1:64" ht="15">
      <c r="A178" s="284">
        <v>21</v>
      </c>
      <c r="B178" s="362" t="s">
        <v>22</v>
      </c>
      <c r="C178" s="283"/>
      <c r="D178" s="363">
        <f>IF(D313&gt;0,1-(((1-D314)*(1-D313))/(1-D314*D313*D315)),0)</f>
        <v>0</v>
      </c>
      <c r="E178" s="283"/>
      <c r="G178" s="361"/>
      <c r="H178" s="283"/>
      <c r="J178" s="283"/>
      <c r="K178" s="300"/>
      <c r="L178" s="320"/>
      <c r="M178" s="321"/>
      <c r="N178" s="295"/>
      <c r="O178" s="336"/>
      <c r="P178" s="321"/>
      <c r="Q178" s="319"/>
      <c r="R178" s="295"/>
      <c r="S178" s="295"/>
      <c r="T178" s="295"/>
      <c r="U178" s="279"/>
      <c r="V178" s="279"/>
      <c r="W178" s="279"/>
      <c r="X178" s="279"/>
      <c r="Y178" s="279"/>
      <c r="Z178" s="279"/>
      <c r="AA178" s="279"/>
      <c r="AB178" s="279"/>
      <c r="AC178" s="279"/>
      <c r="AD178" s="279"/>
      <c r="AE178" s="279"/>
      <c r="AF178" s="279"/>
      <c r="AG178" s="279"/>
      <c r="AH178" s="279"/>
      <c r="AI178" s="279"/>
      <c r="AJ178" s="279"/>
      <c r="AK178" s="279"/>
      <c r="AL178" s="279"/>
      <c r="AM178" s="279"/>
      <c r="AN178" s="279"/>
      <c r="AO178" s="279"/>
      <c r="AP178" s="279"/>
      <c r="AQ178" s="279"/>
      <c r="AR178" s="279"/>
      <c r="AS178" s="279"/>
      <c r="AT178" s="279"/>
      <c r="AU178" s="279"/>
      <c r="AV178" s="279"/>
      <c r="AW178" s="279"/>
      <c r="AX178" s="279"/>
      <c r="AY178" s="279"/>
      <c r="AZ178" s="279"/>
      <c r="BA178" s="279"/>
      <c r="BB178" s="279"/>
      <c r="BC178" s="279"/>
      <c r="BD178" s="279"/>
      <c r="BE178" s="279"/>
      <c r="BF178" s="279"/>
      <c r="BG178" s="279"/>
      <c r="BH178" s="279"/>
      <c r="BI178" s="279"/>
      <c r="BJ178" s="279"/>
      <c r="BK178" s="279"/>
      <c r="BL178" s="279"/>
    </row>
    <row r="179" spans="1:64" ht="15">
      <c r="A179" s="284">
        <v>22</v>
      </c>
      <c r="B179" s="275" t="s">
        <v>23</v>
      </c>
      <c r="C179" s="283"/>
      <c r="D179" s="363">
        <f>IF(I250&gt;0,(D178/(1-D178))*(1-I248/I250),0)</f>
        <v>0</v>
      </c>
      <c r="E179" s="283"/>
      <c r="G179" s="361"/>
      <c r="H179" s="283"/>
      <c r="J179" s="283"/>
      <c r="K179" s="300"/>
      <c r="L179" s="320"/>
      <c r="M179" s="321"/>
      <c r="N179" s="295"/>
      <c r="O179" s="336"/>
      <c r="P179" s="321"/>
      <c r="Q179" s="319"/>
      <c r="R179" s="295"/>
      <c r="S179" s="295"/>
      <c r="T179" s="295"/>
      <c r="U179" s="279"/>
      <c r="V179" s="279"/>
      <c r="W179" s="279"/>
      <c r="X179" s="279"/>
      <c r="Y179" s="279"/>
      <c r="Z179" s="279"/>
      <c r="AA179" s="279"/>
      <c r="AB179" s="279"/>
      <c r="AC179" s="279"/>
      <c r="AD179" s="279"/>
      <c r="AE179" s="279"/>
      <c r="AF179" s="279"/>
      <c r="AG179" s="279"/>
      <c r="AH179" s="279"/>
      <c r="AI179" s="279"/>
      <c r="AJ179" s="279"/>
      <c r="AK179" s="279"/>
      <c r="AL179" s="279"/>
      <c r="AM179" s="279"/>
      <c r="AN179" s="279"/>
      <c r="AO179" s="279"/>
      <c r="AP179" s="279"/>
      <c r="AQ179" s="279"/>
      <c r="AR179" s="279"/>
      <c r="AS179" s="279"/>
      <c r="AT179" s="279"/>
      <c r="AU179" s="279"/>
      <c r="AV179" s="279"/>
      <c r="AW179" s="279"/>
      <c r="AX179" s="279"/>
      <c r="AY179" s="279"/>
      <c r="AZ179" s="279"/>
      <c r="BA179" s="279"/>
      <c r="BB179" s="279"/>
      <c r="BC179" s="279"/>
      <c r="BD179" s="279"/>
      <c r="BE179" s="279"/>
      <c r="BF179" s="279"/>
      <c r="BG179" s="279"/>
      <c r="BH179" s="279"/>
      <c r="BI179" s="279"/>
      <c r="BJ179" s="279"/>
      <c r="BK179" s="279"/>
      <c r="BL179" s="279"/>
    </row>
    <row r="180" spans="1:64" ht="15">
      <c r="A180" s="284"/>
      <c r="B180" s="276" t="s">
        <v>799</v>
      </c>
      <c r="C180" s="283"/>
      <c r="D180" s="283"/>
      <c r="E180" s="283"/>
      <c r="G180" s="361"/>
      <c r="H180" s="283"/>
      <c r="J180" s="283"/>
      <c r="K180" s="300"/>
      <c r="L180" s="320"/>
      <c r="M180" s="321"/>
      <c r="N180" s="295"/>
      <c r="O180" s="321"/>
      <c r="P180" s="321"/>
      <c r="Q180" s="319"/>
      <c r="R180" s="295"/>
      <c r="S180" s="295"/>
      <c r="T180" s="295"/>
      <c r="U180" s="279"/>
      <c r="V180" s="279"/>
      <c r="W180" s="279"/>
      <c r="X180" s="279"/>
      <c r="Y180" s="279"/>
      <c r="Z180" s="279"/>
      <c r="AA180" s="279"/>
      <c r="AB180" s="279"/>
      <c r="AC180" s="279"/>
      <c r="AD180" s="279"/>
      <c r="AE180" s="279"/>
      <c r="AF180" s="279"/>
      <c r="AG180" s="279"/>
      <c r="AH180" s="279"/>
      <c r="AI180" s="279"/>
      <c r="AJ180" s="279"/>
      <c r="AK180" s="279"/>
      <c r="AL180" s="279"/>
      <c r="AM180" s="279"/>
      <c r="AN180" s="279"/>
      <c r="AO180" s="279"/>
      <c r="AP180" s="279"/>
      <c r="AQ180" s="279"/>
      <c r="AR180" s="279"/>
      <c r="AS180" s="279"/>
      <c r="AT180" s="279"/>
      <c r="AU180" s="279"/>
      <c r="AV180" s="279"/>
      <c r="AW180" s="279"/>
      <c r="AX180" s="279"/>
      <c r="AY180" s="279"/>
      <c r="AZ180" s="279"/>
      <c r="BA180" s="279"/>
      <c r="BB180" s="279"/>
      <c r="BC180" s="279"/>
      <c r="BD180" s="279"/>
      <c r="BE180" s="279"/>
      <c r="BF180" s="279"/>
      <c r="BG180" s="279"/>
      <c r="BH180" s="279"/>
      <c r="BI180" s="279"/>
      <c r="BJ180" s="279"/>
      <c r="BK180" s="279"/>
      <c r="BL180" s="279"/>
    </row>
    <row r="181" spans="1:64" ht="15">
      <c r="A181" s="284"/>
      <c r="B181" s="276" t="s">
        <v>24</v>
      </c>
      <c r="C181" s="283"/>
      <c r="D181" s="283"/>
      <c r="E181" s="283"/>
      <c r="G181" s="361"/>
      <c r="H181" s="283"/>
      <c r="J181" s="283"/>
      <c r="K181" s="300"/>
      <c r="L181" s="320"/>
      <c r="M181" s="321"/>
      <c r="N181" s="295"/>
      <c r="O181" s="321"/>
      <c r="P181" s="342"/>
      <c r="Q181" s="321"/>
      <c r="R181" s="295"/>
      <c r="S181" s="295"/>
      <c r="T181" s="295"/>
      <c r="U181" s="279"/>
      <c r="V181" s="279"/>
      <c r="W181" s="279"/>
      <c r="X181" s="279"/>
      <c r="Y181" s="279"/>
      <c r="Z181" s="279"/>
      <c r="AA181" s="279"/>
      <c r="AB181" s="279"/>
      <c r="AC181" s="279"/>
      <c r="AD181" s="279"/>
      <c r="AE181" s="279"/>
      <c r="AF181" s="279"/>
      <c r="AG181" s="279"/>
      <c r="AH181" s="279"/>
      <c r="AI181" s="279"/>
      <c r="AJ181" s="279"/>
      <c r="AK181" s="279"/>
      <c r="AL181" s="279"/>
      <c r="AM181" s="279"/>
      <c r="AN181" s="279"/>
      <c r="AO181" s="279"/>
      <c r="AP181" s="279"/>
      <c r="AQ181" s="279"/>
      <c r="AR181" s="279"/>
      <c r="AS181" s="279"/>
      <c r="AT181" s="279"/>
      <c r="AU181" s="279"/>
      <c r="AV181" s="279"/>
      <c r="AW181" s="279"/>
      <c r="AX181" s="279"/>
      <c r="AY181" s="279"/>
      <c r="AZ181" s="279"/>
      <c r="BA181" s="279"/>
      <c r="BB181" s="279"/>
      <c r="BC181" s="279"/>
      <c r="BD181" s="279"/>
      <c r="BE181" s="279"/>
      <c r="BF181" s="279"/>
      <c r="BG181" s="279"/>
      <c r="BH181" s="279"/>
      <c r="BI181" s="279"/>
      <c r="BJ181" s="279"/>
      <c r="BK181" s="279"/>
      <c r="BL181" s="279"/>
    </row>
    <row r="182" spans="1:64" ht="15">
      <c r="A182" s="284">
        <v>23</v>
      </c>
      <c r="B182" s="362" t="s">
        <v>25</v>
      </c>
      <c r="C182" s="283"/>
      <c r="D182" s="364">
        <f>IF(D178&gt;0,1/(1-D178),0)</f>
        <v>0</v>
      </c>
      <c r="E182" s="283"/>
      <c r="G182" s="361"/>
      <c r="H182" s="283"/>
      <c r="J182" s="283"/>
      <c r="K182" s="300"/>
      <c r="L182" s="320"/>
      <c r="M182" s="321"/>
      <c r="N182" s="295"/>
      <c r="O182" s="321"/>
      <c r="P182" s="342"/>
      <c r="Q182" s="321"/>
      <c r="R182" s="295"/>
      <c r="S182" s="295"/>
      <c r="T182" s="295"/>
      <c r="U182" s="279"/>
      <c r="V182" s="279"/>
      <c r="W182" s="279"/>
      <c r="X182" s="279"/>
      <c r="Y182" s="279"/>
      <c r="Z182" s="279"/>
      <c r="AA182" s="279"/>
      <c r="AB182" s="279"/>
      <c r="AC182" s="279"/>
      <c r="AD182" s="279"/>
      <c r="AE182" s="279"/>
      <c r="AF182" s="279"/>
      <c r="AG182" s="279"/>
      <c r="AH182" s="279"/>
      <c r="AI182" s="279"/>
      <c r="AJ182" s="279"/>
      <c r="AK182" s="279"/>
      <c r="AL182" s="279"/>
      <c r="AM182" s="279"/>
      <c r="AN182" s="279"/>
      <c r="AO182" s="279"/>
      <c r="AP182" s="279"/>
      <c r="AQ182" s="279"/>
      <c r="AR182" s="279"/>
      <c r="AS182" s="279"/>
      <c r="AT182" s="279"/>
      <c r="AU182" s="279"/>
      <c r="AV182" s="279"/>
      <c r="AW182" s="279"/>
      <c r="AX182" s="279"/>
      <c r="AY182" s="279"/>
      <c r="AZ182" s="279"/>
      <c r="BA182" s="279"/>
      <c r="BB182" s="279"/>
      <c r="BC182" s="279"/>
      <c r="BD182" s="279"/>
      <c r="BE182" s="279"/>
      <c r="BF182" s="279"/>
      <c r="BG182" s="279"/>
      <c r="BH182" s="279"/>
      <c r="BI182" s="279"/>
      <c r="BJ182" s="279"/>
      <c r="BK182" s="279"/>
      <c r="BL182" s="279"/>
    </row>
    <row r="183" spans="1:64" ht="15">
      <c r="A183" s="284">
        <v>24</v>
      </c>
      <c r="B183" s="276" t="s">
        <v>26</v>
      </c>
      <c r="C183" s="283"/>
      <c r="D183" s="335">
        <v>0</v>
      </c>
      <c r="E183" s="283"/>
      <c r="G183" s="361"/>
      <c r="H183" s="283"/>
      <c r="J183" s="283"/>
      <c r="K183" s="300"/>
      <c r="L183" s="320"/>
      <c r="M183" s="321"/>
      <c r="N183" s="295"/>
      <c r="O183" s="321"/>
      <c r="P183" s="324"/>
      <c r="Q183" s="321"/>
      <c r="R183" s="295"/>
      <c r="S183" s="295"/>
      <c r="T183" s="295"/>
      <c r="U183" s="279"/>
      <c r="V183" s="279"/>
      <c r="W183" s="279"/>
      <c r="X183" s="279"/>
      <c r="Y183" s="279"/>
      <c r="Z183" s="279"/>
      <c r="AA183" s="279"/>
      <c r="AB183" s="279"/>
      <c r="AC183" s="279"/>
      <c r="AD183" s="279"/>
      <c r="AE183" s="279"/>
      <c r="AF183" s="279"/>
      <c r="AG183" s="279"/>
      <c r="AH183" s="279"/>
      <c r="AI183" s="279"/>
      <c r="AJ183" s="279"/>
      <c r="AK183" s="279"/>
      <c r="AL183" s="279"/>
      <c r="AM183" s="279"/>
      <c r="AN183" s="279"/>
      <c r="AO183" s="279"/>
      <c r="AP183" s="279"/>
      <c r="AQ183" s="279"/>
      <c r="AR183" s="279"/>
      <c r="AS183" s="279"/>
      <c r="AT183" s="279"/>
      <c r="AU183" s="279"/>
      <c r="AV183" s="279"/>
      <c r="AW183" s="279"/>
      <c r="AX183" s="279"/>
      <c r="AY183" s="279"/>
      <c r="AZ183" s="279"/>
      <c r="BA183" s="279"/>
      <c r="BB183" s="279"/>
      <c r="BC183" s="279"/>
      <c r="BD183" s="279"/>
      <c r="BE183" s="279"/>
      <c r="BF183" s="279"/>
      <c r="BG183" s="279"/>
      <c r="BH183" s="279"/>
      <c r="BI183" s="279"/>
      <c r="BJ183" s="279"/>
      <c r="BK183" s="279"/>
      <c r="BL183" s="279"/>
    </row>
    <row r="184" spans="1:64" ht="15">
      <c r="A184" s="284"/>
      <c r="B184" s="276"/>
      <c r="C184" s="283"/>
      <c r="D184" s="283"/>
      <c r="E184" s="283"/>
      <c r="G184" s="361"/>
      <c r="H184" s="283"/>
      <c r="J184" s="283"/>
      <c r="K184" s="300"/>
      <c r="L184" s="320"/>
      <c r="M184" s="321"/>
      <c r="N184" s="295"/>
      <c r="O184" s="321"/>
      <c r="P184" s="324"/>
      <c r="Q184" s="321"/>
      <c r="R184" s="295"/>
      <c r="S184" s="295"/>
      <c r="T184" s="295"/>
      <c r="U184" s="279"/>
      <c r="V184" s="279"/>
      <c r="W184" s="279"/>
      <c r="X184" s="279"/>
      <c r="Y184" s="279"/>
      <c r="Z184" s="279"/>
      <c r="AA184" s="279"/>
      <c r="AB184" s="279"/>
      <c r="AC184" s="279"/>
      <c r="AD184" s="279"/>
      <c r="AE184" s="279"/>
      <c r="AF184" s="279"/>
      <c r="AG184" s="279"/>
      <c r="AH184" s="279"/>
      <c r="AI184" s="279"/>
      <c r="AJ184" s="279"/>
      <c r="AK184" s="279"/>
      <c r="AL184" s="279"/>
      <c r="AM184" s="279"/>
      <c r="AN184" s="279"/>
      <c r="AO184" s="279"/>
      <c r="AP184" s="279"/>
      <c r="AQ184" s="279"/>
      <c r="AR184" s="279"/>
      <c r="AS184" s="279"/>
      <c r="AT184" s="279"/>
      <c r="AU184" s="279"/>
      <c r="AV184" s="279"/>
      <c r="AW184" s="279"/>
      <c r="AX184" s="279"/>
      <c r="AY184" s="279"/>
      <c r="AZ184" s="279"/>
      <c r="BA184" s="279"/>
      <c r="BB184" s="279"/>
      <c r="BC184" s="279"/>
      <c r="BD184" s="279"/>
      <c r="BE184" s="279"/>
      <c r="BF184" s="279"/>
      <c r="BG184" s="279"/>
      <c r="BH184" s="279"/>
      <c r="BI184" s="279"/>
      <c r="BJ184" s="279"/>
      <c r="BK184" s="279"/>
      <c r="BL184" s="279"/>
    </row>
    <row r="185" spans="1:64" ht="15">
      <c r="A185" s="284">
        <v>25</v>
      </c>
      <c r="B185" s="362" t="s">
        <v>27</v>
      </c>
      <c r="C185" s="360"/>
      <c r="D185" s="283">
        <f>D179*D189</f>
        <v>0</v>
      </c>
      <c r="E185" s="283"/>
      <c r="F185" s="283" t="s">
        <v>730</v>
      </c>
      <c r="G185" s="293"/>
      <c r="H185" s="283"/>
      <c r="I185" s="283">
        <f>D179*I189</f>
        <v>0</v>
      </c>
      <c r="J185" s="283"/>
      <c r="K185" s="300"/>
      <c r="L185" s="320"/>
      <c r="M185" s="321"/>
      <c r="N185" s="295"/>
      <c r="O185" s="321"/>
      <c r="P185" s="324"/>
      <c r="Q185" s="321"/>
      <c r="R185" s="295"/>
      <c r="S185" s="295"/>
      <c r="T185" s="295"/>
      <c r="U185" s="279"/>
      <c r="V185" s="279"/>
      <c r="W185" s="279"/>
      <c r="X185" s="279"/>
      <c r="Y185" s="279"/>
      <c r="Z185" s="279"/>
      <c r="AA185" s="279"/>
      <c r="AB185" s="279"/>
      <c r="AC185" s="279"/>
      <c r="AD185" s="279"/>
      <c r="AE185" s="279"/>
      <c r="AF185" s="279"/>
      <c r="AG185" s="279"/>
      <c r="AH185" s="279"/>
      <c r="AI185" s="279"/>
      <c r="AJ185" s="279"/>
      <c r="AK185" s="279"/>
      <c r="AL185" s="279"/>
      <c r="AM185" s="279"/>
      <c r="AN185" s="279"/>
      <c r="AO185" s="279"/>
      <c r="AP185" s="279"/>
      <c r="AQ185" s="279"/>
      <c r="AR185" s="279"/>
      <c r="AS185" s="279"/>
      <c r="AT185" s="279"/>
      <c r="AU185" s="279"/>
      <c r="AV185" s="279"/>
      <c r="AW185" s="279"/>
      <c r="AX185" s="279"/>
      <c r="AY185" s="279"/>
      <c r="AZ185" s="279"/>
      <c r="BA185" s="279"/>
      <c r="BB185" s="279"/>
      <c r="BC185" s="279"/>
      <c r="BD185" s="279"/>
      <c r="BE185" s="279"/>
      <c r="BF185" s="279"/>
      <c r="BG185" s="279"/>
      <c r="BH185" s="279"/>
      <c r="BI185" s="279"/>
      <c r="BJ185" s="279"/>
      <c r="BK185" s="279"/>
      <c r="BL185" s="279"/>
    </row>
    <row r="186" spans="1:64" ht="15.75" thickBot="1">
      <c r="A186" s="284">
        <v>26</v>
      </c>
      <c r="B186" s="275" t="s">
        <v>28</v>
      </c>
      <c r="C186" s="360"/>
      <c r="D186" s="298">
        <f>D182*D183</f>
        <v>0</v>
      </c>
      <c r="E186" s="283"/>
      <c r="F186" s="275" t="s">
        <v>754</v>
      </c>
      <c r="G186" s="293">
        <f>G104</f>
        <v>1.9068321299055464E-2</v>
      </c>
      <c r="H186" s="283"/>
      <c r="I186" s="298">
        <f>G186*D186</f>
        <v>0</v>
      </c>
      <c r="J186" s="283"/>
      <c r="K186" s="300"/>
      <c r="L186" s="320"/>
      <c r="M186" s="319"/>
      <c r="N186" s="295"/>
      <c r="O186" s="321"/>
      <c r="P186" s="324"/>
      <c r="Q186" s="321"/>
      <c r="R186" s="295"/>
      <c r="S186" s="295"/>
      <c r="T186" s="295"/>
      <c r="U186" s="279"/>
      <c r="V186" s="279"/>
      <c r="W186" s="279"/>
      <c r="X186" s="279"/>
      <c r="Y186" s="279"/>
      <c r="Z186" s="279"/>
      <c r="AA186" s="279"/>
      <c r="AB186" s="279"/>
      <c r="AC186" s="279"/>
      <c r="AD186" s="279"/>
      <c r="AE186" s="279"/>
      <c r="AF186" s="279"/>
      <c r="AG186" s="279"/>
      <c r="AH186" s="279"/>
      <c r="AI186" s="279"/>
      <c r="AJ186" s="279"/>
      <c r="AK186" s="279"/>
      <c r="AL186" s="279"/>
      <c r="AM186" s="279"/>
      <c r="AN186" s="279"/>
      <c r="AO186" s="279"/>
      <c r="AP186" s="279"/>
      <c r="AQ186" s="279"/>
      <c r="AR186" s="279"/>
      <c r="AS186" s="279"/>
      <c r="AT186" s="279"/>
      <c r="AU186" s="279"/>
      <c r="AV186" s="279"/>
      <c r="AW186" s="279"/>
      <c r="AX186" s="279"/>
      <c r="AY186" s="279"/>
      <c r="AZ186" s="279"/>
      <c r="BA186" s="279"/>
      <c r="BB186" s="279"/>
      <c r="BC186" s="279"/>
      <c r="BD186" s="279"/>
      <c r="BE186" s="279"/>
      <c r="BF186" s="279"/>
      <c r="BG186" s="279"/>
      <c r="BH186" s="279"/>
      <c r="BI186" s="279"/>
      <c r="BJ186" s="279"/>
      <c r="BK186" s="279"/>
      <c r="BL186" s="279"/>
    </row>
    <row r="187" spans="1:64" ht="15">
      <c r="A187" s="284">
        <v>27</v>
      </c>
      <c r="B187" s="362" t="s">
        <v>29</v>
      </c>
      <c r="C187" s="275" t="s">
        <v>30</v>
      </c>
      <c r="D187" s="365">
        <f>+D185+D186</f>
        <v>0</v>
      </c>
      <c r="E187" s="283"/>
      <c r="F187" s="283" t="s">
        <v>669</v>
      </c>
      <c r="G187" s="293" t="s">
        <v>669</v>
      </c>
      <c r="H187" s="283"/>
      <c r="I187" s="365">
        <f>+I185+I186</f>
        <v>0</v>
      </c>
      <c r="J187" s="283"/>
      <c r="K187" s="300"/>
      <c r="L187" s="320"/>
      <c r="M187" s="319"/>
      <c r="N187" s="295"/>
      <c r="O187" s="321"/>
      <c r="P187" s="324"/>
      <c r="Q187" s="321"/>
      <c r="R187" s="295"/>
      <c r="S187" s="295"/>
      <c r="T187" s="295"/>
      <c r="U187" s="279"/>
      <c r="V187" s="279"/>
      <c r="W187" s="279"/>
      <c r="X187" s="279"/>
      <c r="Y187" s="279"/>
      <c r="Z187" s="279"/>
      <c r="AA187" s="279"/>
      <c r="AB187" s="279"/>
      <c r="AC187" s="279"/>
      <c r="AD187" s="279"/>
      <c r="AE187" s="279"/>
      <c r="AF187" s="279"/>
      <c r="AG187" s="279"/>
      <c r="AH187" s="279"/>
      <c r="AI187" s="279"/>
      <c r="AJ187" s="279"/>
      <c r="AK187" s="279"/>
      <c r="AL187" s="279"/>
      <c r="AM187" s="279"/>
      <c r="AN187" s="279"/>
      <c r="AO187" s="279"/>
      <c r="AP187" s="279"/>
      <c r="AQ187" s="279"/>
      <c r="AR187" s="279"/>
      <c r="AS187" s="279"/>
      <c r="AT187" s="279"/>
      <c r="AU187" s="279"/>
      <c r="AV187" s="279"/>
      <c r="AW187" s="279"/>
      <c r="AX187" s="279"/>
      <c r="AY187" s="279"/>
      <c r="AZ187" s="279"/>
      <c r="BA187" s="279"/>
      <c r="BB187" s="279"/>
      <c r="BC187" s="279"/>
      <c r="BD187" s="279"/>
      <c r="BE187" s="279"/>
      <c r="BF187" s="279"/>
      <c r="BG187" s="279"/>
      <c r="BH187" s="279"/>
      <c r="BI187" s="279"/>
      <c r="BJ187" s="279"/>
      <c r="BK187" s="279"/>
      <c r="BL187" s="279"/>
    </row>
    <row r="188" spans="1:64" ht="15">
      <c r="A188" s="284" t="s">
        <v>669</v>
      </c>
      <c r="C188" s="366"/>
      <c r="D188" s="283"/>
      <c r="E188" s="283"/>
      <c r="F188" s="283"/>
      <c r="G188" s="293"/>
      <c r="H188" s="283"/>
      <c r="I188" s="283"/>
      <c r="J188" s="283"/>
      <c r="K188" s="283"/>
      <c r="L188" s="320"/>
      <c r="M188" s="319"/>
      <c r="N188" s="295"/>
      <c r="O188" s="321"/>
      <c r="P188" s="324"/>
      <c r="Q188" s="321"/>
      <c r="R188" s="295"/>
      <c r="S188" s="295"/>
      <c r="T188" s="295"/>
      <c r="U188" s="279"/>
      <c r="V188" s="279"/>
      <c r="W188" s="279"/>
      <c r="X188" s="279"/>
      <c r="Y188" s="279"/>
      <c r="Z188" s="279"/>
      <c r="AA188" s="279"/>
      <c r="AB188" s="279"/>
      <c r="AC188" s="279"/>
      <c r="AD188" s="279"/>
      <c r="AE188" s="279"/>
      <c r="AF188" s="279"/>
      <c r="AG188" s="279"/>
      <c r="AH188" s="279"/>
      <c r="AI188" s="279"/>
      <c r="AJ188" s="279"/>
      <c r="AK188" s="279"/>
      <c r="AL188" s="279"/>
      <c r="AM188" s="279"/>
      <c r="AN188" s="279"/>
      <c r="AO188" s="279"/>
      <c r="AP188" s="279"/>
      <c r="AQ188" s="279"/>
      <c r="AR188" s="279"/>
      <c r="AS188" s="279"/>
      <c r="AT188" s="279"/>
      <c r="AU188" s="279"/>
      <c r="AV188" s="279"/>
      <c r="AW188" s="279"/>
      <c r="AX188" s="279"/>
      <c r="AY188" s="279"/>
      <c r="AZ188" s="279"/>
      <c r="BA188" s="279"/>
      <c r="BB188" s="279"/>
      <c r="BC188" s="279"/>
      <c r="BD188" s="279"/>
      <c r="BE188" s="279"/>
      <c r="BF188" s="279"/>
      <c r="BG188" s="279"/>
      <c r="BH188" s="279"/>
      <c r="BI188" s="279"/>
      <c r="BJ188" s="279"/>
      <c r="BK188" s="279"/>
      <c r="BL188" s="279"/>
    </row>
    <row r="189" spans="1:64" ht="15">
      <c r="A189" s="284">
        <v>28</v>
      </c>
      <c r="B189" s="276" t="s">
        <v>31</v>
      </c>
      <c r="C189" s="334"/>
      <c r="D189" s="283">
        <f>+$I250*D122</f>
        <v>3084167.2358325473</v>
      </c>
      <c r="E189" s="283"/>
      <c r="F189" s="283" t="s">
        <v>730</v>
      </c>
      <c r="G189" s="361"/>
      <c r="H189" s="283"/>
      <c r="I189" s="283">
        <f>+$I250*I122</f>
        <v>58759.722472140667</v>
      </c>
      <c r="J189" s="283"/>
      <c r="K189" s="300"/>
      <c r="L189" s="320"/>
      <c r="M189" s="319"/>
      <c r="N189" s="295"/>
      <c r="O189" s="321"/>
      <c r="P189" s="324"/>
      <c r="Q189" s="321"/>
      <c r="R189" s="295"/>
      <c r="S189" s="295"/>
      <c r="T189" s="295"/>
      <c r="U189" s="279"/>
      <c r="V189" s="279"/>
      <c r="W189" s="279"/>
      <c r="X189" s="279"/>
      <c r="Y189" s="279"/>
      <c r="Z189" s="279"/>
      <c r="AA189" s="279"/>
      <c r="AB189" s="279"/>
      <c r="AC189" s="279"/>
      <c r="AD189" s="279"/>
      <c r="AE189" s="279"/>
      <c r="AF189" s="279"/>
      <c r="AG189" s="279"/>
      <c r="AH189" s="279"/>
      <c r="AI189" s="279"/>
      <c r="AJ189" s="279"/>
      <c r="AK189" s="279"/>
      <c r="AL189" s="279"/>
      <c r="AM189" s="279"/>
      <c r="AN189" s="279"/>
      <c r="AO189" s="279"/>
      <c r="AP189" s="279"/>
      <c r="AQ189" s="279"/>
      <c r="AR189" s="279"/>
      <c r="AS189" s="279"/>
      <c r="AT189" s="279"/>
      <c r="AU189" s="279"/>
      <c r="AV189" s="279"/>
      <c r="AW189" s="279"/>
      <c r="AX189" s="279"/>
      <c r="AY189" s="279"/>
      <c r="AZ189" s="279"/>
      <c r="BA189" s="279"/>
      <c r="BB189" s="279"/>
      <c r="BC189" s="279"/>
      <c r="BD189" s="279"/>
      <c r="BE189" s="279"/>
      <c r="BF189" s="279"/>
      <c r="BG189" s="279"/>
      <c r="BH189" s="279"/>
      <c r="BI189" s="279"/>
      <c r="BJ189" s="279"/>
      <c r="BK189" s="279"/>
      <c r="BL189" s="279"/>
    </row>
    <row r="190" spans="1:64" ht="15">
      <c r="A190" s="284"/>
      <c r="B190" s="362" t="s">
        <v>32</v>
      </c>
      <c r="C190" s="300"/>
      <c r="D190" s="283"/>
      <c r="E190" s="283"/>
      <c r="F190" s="283"/>
      <c r="G190" s="361"/>
      <c r="H190" s="283"/>
      <c r="I190" s="283"/>
      <c r="J190" s="283"/>
      <c r="K190" s="334"/>
      <c r="L190" s="320"/>
      <c r="M190" s="321"/>
      <c r="N190" s="295"/>
      <c r="O190" s="321"/>
      <c r="P190" s="324"/>
      <c r="Q190" s="321"/>
      <c r="R190" s="295"/>
      <c r="S190" s="295"/>
      <c r="T190" s="295"/>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79"/>
      <c r="AY190" s="279"/>
      <c r="AZ190" s="279"/>
      <c r="BA190" s="279"/>
      <c r="BB190" s="279"/>
      <c r="BC190" s="279"/>
      <c r="BD190" s="279"/>
      <c r="BE190" s="279"/>
      <c r="BF190" s="279"/>
      <c r="BG190" s="279"/>
      <c r="BH190" s="279"/>
      <c r="BI190" s="279"/>
      <c r="BJ190" s="279"/>
      <c r="BK190" s="279"/>
      <c r="BL190" s="279"/>
    </row>
    <row r="191" spans="1:64" ht="15">
      <c r="A191" s="284"/>
      <c r="B191" s="276"/>
      <c r="C191" s="300"/>
      <c r="D191" s="367"/>
      <c r="E191" s="283"/>
      <c r="F191" s="283"/>
      <c r="G191" s="361"/>
      <c r="H191" s="283"/>
      <c r="I191" s="367"/>
      <c r="J191" s="283"/>
      <c r="K191" s="334"/>
      <c r="L191" s="320"/>
      <c r="M191" s="321"/>
      <c r="N191" s="295"/>
      <c r="O191" s="321"/>
      <c r="P191" s="324"/>
      <c r="Q191" s="321"/>
      <c r="R191" s="295"/>
      <c r="S191" s="295"/>
      <c r="T191" s="295"/>
      <c r="U191" s="279"/>
      <c r="V191" s="279"/>
      <c r="W191" s="279"/>
      <c r="X191" s="279"/>
      <c r="Y191" s="279"/>
      <c r="Z191" s="279"/>
      <c r="AA191" s="279"/>
      <c r="AB191" s="279"/>
      <c r="AC191" s="279"/>
      <c r="AD191" s="279"/>
      <c r="AE191" s="279"/>
      <c r="AF191" s="279"/>
      <c r="AG191" s="279"/>
      <c r="AH191" s="279"/>
      <c r="AI191" s="279"/>
      <c r="AJ191" s="279"/>
      <c r="AK191" s="279"/>
      <c r="AL191" s="279"/>
      <c r="AM191" s="279"/>
      <c r="AN191" s="279"/>
      <c r="AO191" s="279"/>
      <c r="AP191" s="279"/>
      <c r="AQ191" s="279"/>
      <c r="AR191" s="279"/>
      <c r="AS191" s="279"/>
      <c r="AT191" s="279"/>
      <c r="AU191" s="279"/>
      <c r="AV191" s="279"/>
      <c r="AW191" s="279"/>
      <c r="AX191" s="279"/>
      <c r="AY191" s="279"/>
      <c r="AZ191" s="279"/>
      <c r="BA191" s="279"/>
      <c r="BB191" s="279"/>
      <c r="BC191" s="279"/>
      <c r="BD191" s="279"/>
      <c r="BE191" s="279"/>
      <c r="BF191" s="279"/>
      <c r="BG191" s="279"/>
      <c r="BH191" s="279"/>
      <c r="BI191" s="279"/>
      <c r="BJ191" s="279"/>
      <c r="BK191" s="279"/>
      <c r="BL191" s="279"/>
    </row>
    <row r="192" spans="1:64" ht="15">
      <c r="A192" s="284">
        <v>29</v>
      </c>
      <c r="B192" s="276" t="s">
        <v>33</v>
      </c>
      <c r="C192" s="283"/>
      <c r="D192" s="368">
        <f>+D189+D187+D175+D164+D158</f>
        <v>6468397.713782548</v>
      </c>
      <c r="E192" s="283"/>
      <c r="F192" s="283"/>
      <c r="G192" s="283"/>
      <c r="H192" s="283"/>
      <c r="I192" s="368">
        <f>+I189+I187+I175+I164+I158</f>
        <v>140499.3872534142</v>
      </c>
      <c r="J192" s="277"/>
      <c r="K192" s="277"/>
      <c r="L192" s="278"/>
      <c r="M192" s="321"/>
      <c r="N192" s="295"/>
      <c r="O192" s="321"/>
      <c r="P192" s="321"/>
      <c r="Q192" s="319"/>
      <c r="R192" s="295"/>
      <c r="S192" s="295"/>
      <c r="T192" s="295"/>
      <c r="U192" s="279"/>
      <c r="V192" s="279"/>
      <c r="W192" s="279"/>
      <c r="X192" s="279"/>
      <c r="Y192" s="279"/>
      <c r="Z192" s="279"/>
      <c r="AA192" s="279"/>
      <c r="AB192" s="279"/>
      <c r="AC192" s="279"/>
      <c r="AD192" s="279"/>
      <c r="AE192" s="279"/>
      <c r="AF192" s="279"/>
      <c r="AG192" s="279"/>
      <c r="AH192" s="279"/>
      <c r="AI192" s="279"/>
      <c r="AJ192" s="279"/>
      <c r="AK192" s="279"/>
      <c r="AL192" s="279"/>
      <c r="AM192" s="279"/>
      <c r="AN192" s="279"/>
      <c r="AO192" s="279"/>
      <c r="AP192" s="279"/>
      <c r="AQ192" s="279"/>
      <c r="AR192" s="279"/>
      <c r="AS192" s="279"/>
      <c r="AT192" s="279"/>
      <c r="AU192" s="279"/>
      <c r="AV192" s="279"/>
      <c r="AW192" s="279"/>
      <c r="AX192" s="279"/>
      <c r="AY192" s="279"/>
      <c r="AZ192" s="279"/>
      <c r="BA192" s="279"/>
      <c r="BB192" s="279"/>
      <c r="BC192" s="279"/>
      <c r="BD192" s="279"/>
      <c r="BE192" s="279"/>
      <c r="BF192" s="279"/>
      <c r="BG192" s="279"/>
      <c r="BH192" s="279"/>
      <c r="BI192" s="279"/>
      <c r="BJ192" s="279"/>
      <c r="BK192" s="279"/>
      <c r="BL192" s="279"/>
    </row>
    <row r="193" spans="1:64" ht="15">
      <c r="A193" s="284"/>
      <c r="B193" s="300"/>
      <c r="C193" s="300"/>
      <c r="D193" s="300"/>
      <c r="E193" s="300"/>
      <c r="F193" s="300"/>
      <c r="G193" s="300"/>
      <c r="H193" s="300"/>
      <c r="I193" s="300"/>
      <c r="J193" s="283"/>
      <c r="K193" s="283"/>
      <c r="L193" s="320"/>
      <c r="M193" s="319"/>
      <c r="N193" s="295"/>
      <c r="O193" s="321"/>
      <c r="P193" s="324"/>
      <c r="Q193" s="321"/>
      <c r="R193" s="295"/>
      <c r="S193" s="295"/>
      <c r="T193" s="295"/>
      <c r="U193" s="279"/>
      <c r="V193" s="279"/>
      <c r="W193" s="279"/>
      <c r="X193" s="279"/>
      <c r="Y193" s="279"/>
      <c r="Z193" s="279"/>
      <c r="AA193" s="279"/>
      <c r="AB193" s="279"/>
      <c r="AC193" s="279"/>
      <c r="AD193" s="279"/>
      <c r="AE193" s="279"/>
      <c r="AF193" s="279"/>
      <c r="AG193" s="279"/>
      <c r="AH193" s="279"/>
      <c r="AI193" s="279"/>
      <c r="AJ193" s="279"/>
      <c r="AK193" s="279"/>
      <c r="AL193" s="279"/>
      <c r="AM193" s="279"/>
      <c r="AN193" s="279"/>
      <c r="AO193" s="279"/>
      <c r="AP193" s="279"/>
      <c r="AQ193" s="279"/>
      <c r="AR193" s="279"/>
      <c r="AS193" s="279"/>
      <c r="AT193" s="279"/>
      <c r="AU193" s="279"/>
      <c r="AV193" s="279"/>
      <c r="AW193" s="279"/>
      <c r="AX193" s="279"/>
      <c r="AY193" s="279"/>
      <c r="AZ193" s="279"/>
      <c r="BA193" s="279"/>
      <c r="BB193" s="279"/>
      <c r="BC193" s="279"/>
      <c r="BD193" s="279"/>
      <c r="BE193" s="279"/>
      <c r="BF193" s="279"/>
      <c r="BG193" s="279"/>
      <c r="BH193" s="279"/>
      <c r="BI193" s="279"/>
      <c r="BJ193" s="279"/>
      <c r="BK193" s="279"/>
      <c r="BL193" s="279"/>
    </row>
    <row r="194" spans="1:64" ht="15">
      <c r="A194" s="350">
        <v>30</v>
      </c>
      <c r="B194" s="352" t="s">
        <v>34</v>
      </c>
      <c r="C194" s="354"/>
      <c r="D194" s="369"/>
      <c r="E194" s="300"/>
      <c r="F194" s="300"/>
      <c r="G194" s="300"/>
      <c r="H194" s="300"/>
      <c r="I194" s="369"/>
      <c r="J194" s="283"/>
      <c r="K194" s="283"/>
      <c r="L194" s="320"/>
      <c r="M194" s="296"/>
      <c r="N194" s="295"/>
      <c r="O194" s="321"/>
      <c r="P194" s="324"/>
      <c r="Q194" s="321"/>
      <c r="R194" s="295"/>
      <c r="S194" s="295"/>
      <c r="T194" s="295"/>
      <c r="U194" s="279"/>
      <c r="V194" s="279"/>
      <c r="W194" s="279"/>
      <c r="X194" s="279"/>
      <c r="Y194" s="279"/>
      <c r="Z194" s="279"/>
      <c r="AA194" s="279"/>
      <c r="AB194" s="279"/>
      <c r="AC194" s="279"/>
      <c r="AD194" s="279"/>
      <c r="AE194" s="279"/>
      <c r="AF194" s="279"/>
      <c r="AG194" s="279"/>
      <c r="AH194" s="279"/>
      <c r="AI194" s="279"/>
      <c r="AJ194" s="279"/>
      <c r="AK194" s="279"/>
      <c r="AL194" s="279"/>
      <c r="AM194" s="279"/>
      <c r="AN194" s="279"/>
      <c r="AO194" s="279"/>
      <c r="AP194" s="279"/>
      <c r="AQ194" s="279"/>
      <c r="AR194" s="279"/>
      <c r="AS194" s="279"/>
      <c r="AT194" s="279"/>
      <c r="AU194" s="279"/>
      <c r="AV194" s="279"/>
      <c r="AW194" s="279"/>
      <c r="AX194" s="279"/>
      <c r="AY194" s="279"/>
      <c r="AZ194" s="279"/>
      <c r="BA194" s="279"/>
      <c r="BB194" s="279"/>
      <c r="BC194" s="279"/>
      <c r="BD194" s="279"/>
      <c r="BE194" s="279"/>
      <c r="BF194" s="279"/>
      <c r="BG194" s="279"/>
      <c r="BH194" s="279"/>
      <c r="BI194" s="279"/>
      <c r="BJ194" s="279"/>
      <c r="BK194" s="279"/>
      <c r="BL194" s="279"/>
    </row>
    <row r="195" spans="1:64" ht="15">
      <c r="A195" s="350"/>
      <c r="B195" s="352" t="s">
        <v>35</v>
      </c>
      <c r="C195" s="354"/>
      <c r="D195" s="300">
        <v>0</v>
      </c>
      <c r="E195" s="300"/>
      <c r="F195" s="300"/>
      <c r="G195" s="300"/>
      <c r="H195" s="300"/>
      <c r="I195" s="300">
        <v>0</v>
      </c>
      <c r="J195" s="283"/>
      <c r="K195" s="283"/>
      <c r="L195" s="320"/>
      <c r="M195" s="296"/>
      <c r="N195" s="295"/>
      <c r="O195" s="321"/>
      <c r="P195" s="324"/>
      <c r="Q195" s="321"/>
      <c r="R195" s="295"/>
      <c r="S195" s="295"/>
      <c r="T195" s="295"/>
      <c r="U195" s="279"/>
      <c r="V195" s="279"/>
      <c r="W195" s="279"/>
      <c r="X195" s="279"/>
      <c r="Y195" s="279"/>
      <c r="Z195" s="279"/>
      <c r="AA195" s="279"/>
      <c r="AB195" s="279"/>
      <c r="AC195" s="279"/>
      <c r="AD195" s="279"/>
      <c r="AE195" s="279"/>
      <c r="AF195" s="279"/>
      <c r="AG195" s="279"/>
      <c r="AH195" s="279"/>
      <c r="AI195" s="279"/>
      <c r="AJ195" s="279"/>
      <c r="AK195" s="279"/>
      <c r="AL195" s="279"/>
      <c r="AM195" s="279"/>
      <c r="AN195" s="279"/>
      <c r="AO195" s="279"/>
      <c r="AP195" s="279"/>
      <c r="AQ195" s="279"/>
      <c r="AR195" s="279"/>
      <c r="AS195" s="279"/>
      <c r="AT195" s="279"/>
      <c r="AU195" s="279"/>
      <c r="AV195" s="279"/>
      <c r="AW195" s="279"/>
      <c r="AX195" s="279"/>
      <c r="AY195" s="279"/>
      <c r="AZ195" s="279"/>
      <c r="BA195" s="279"/>
      <c r="BB195" s="279"/>
      <c r="BC195" s="279"/>
      <c r="BD195" s="279"/>
      <c r="BE195" s="279"/>
      <c r="BF195" s="279"/>
      <c r="BG195" s="279"/>
      <c r="BH195" s="279"/>
      <c r="BI195" s="279"/>
      <c r="BJ195" s="279"/>
      <c r="BK195" s="279"/>
      <c r="BL195" s="279"/>
    </row>
    <row r="196" spans="1:64" ht="15">
      <c r="A196" s="350"/>
      <c r="B196" s="370" t="s">
        <v>36</v>
      </c>
      <c r="C196" s="370"/>
      <c r="D196" s="300"/>
      <c r="E196" s="300"/>
      <c r="F196" s="300"/>
      <c r="G196" s="300"/>
      <c r="H196" s="300"/>
      <c r="I196" s="300"/>
      <c r="J196" s="283"/>
      <c r="K196" s="283"/>
      <c r="L196" s="320"/>
      <c r="M196" s="296"/>
      <c r="N196" s="295"/>
      <c r="O196" s="296"/>
      <c r="P196" s="342"/>
      <c r="Q196" s="319"/>
      <c r="R196" s="295"/>
      <c r="S196" s="295"/>
      <c r="T196" s="295"/>
      <c r="U196" s="279"/>
      <c r="V196" s="279"/>
      <c r="W196" s="279"/>
      <c r="X196" s="279"/>
      <c r="Y196" s="279"/>
      <c r="Z196" s="279"/>
      <c r="AA196" s="279"/>
      <c r="AB196" s="279"/>
      <c r="AC196" s="279"/>
      <c r="AD196" s="279"/>
      <c r="AE196" s="279"/>
      <c r="AF196" s="279"/>
      <c r="AG196" s="279"/>
      <c r="AH196" s="279"/>
      <c r="AI196" s="279"/>
      <c r="AJ196" s="279"/>
      <c r="AK196" s="279"/>
      <c r="AL196" s="279"/>
      <c r="AM196" s="279"/>
      <c r="AN196" s="279"/>
      <c r="AO196" s="279"/>
      <c r="AP196" s="279"/>
      <c r="AQ196" s="279"/>
      <c r="AR196" s="279"/>
      <c r="AS196" s="279"/>
      <c r="AT196" s="279"/>
      <c r="AU196" s="279"/>
      <c r="AV196" s="279"/>
      <c r="AW196" s="279"/>
      <c r="AX196" s="279"/>
      <c r="AY196" s="279"/>
      <c r="AZ196" s="279"/>
      <c r="BA196" s="279"/>
      <c r="BB196" s="279"/>
      <c r="BC196" s="279"/>
      <c r="BD196" s="279"/>
      <c r="BE196" s="279"/>
      <c r="BF196" s="279"/>
      <c r="BG196" s="279"/>
      <c r="BH196" s="279"/>
      <c r="BI196" s="279"/>
      <c r="BJ196" s="279"/>
      <c r="BK196" s="279"/>
      <c r="BL196" s="279"/>
    </row>
    <row r="197" spans="1:64" ht="15">
      <c r="A197" s="350"/>
      <c r="B197" s="370"/>
      <c r="C197" s="370"/>
      <c r="D197" s="300"/>
      <c r="E197" s="300"/>
      <c r="F197" s="300"/>
      <c r="G197" s="300"/>
      <c r="H197" s="300"/>
      <c r="I197" s="300"/>
      <c r="J197" s="283"/>
      <c r="K197" s="283"/>
      <c r="L197" s="320"/>
      <c r="M197" s="296"/>
      <c r="N197" s="295"/>
      <c r="O197" s="296"/>
      <c r="P197" s="342"/>
      <c r="Q197" s="319"/>
      <c r="R197" s="295"/>
      <c r="S197" s="295"/>
      <c r="T197" s="295"/>
      <c r="U197" s="279"/>
      <c r="V197" s="279"/>
      <c r="W197" s="279"/>
      <c r="X197" s="279"/>
      <c r="Y197" s="279"/>
      <c r="Z197" s="279"/>
      <c r="AA197" s="279"/>
      <c r="AB197" s="279"/>
      <c r="AC197" s="279"/>
      <c r="AD197" s="279"/>
      <c r="AE197" s="279"/>
      <c r="AF197" s="279"/>
      <c r="AG197" s="279"/>
      <c r="AH197" s="279"/>
      <c r="AI197" s="279"/>
      <c r="AJ197" s="279"/>
      <c r="AK197" s="279"/>
      <c r="AL197" s="279"/>
      <c r="AM197" s="279"/>
      <c r="AN197" s="279"/>
      <c r="AO197" s="279"/>
      <c r="AP197" s="279"/>
      <c r="AQ197" s="279"/>
      <c r="AR197" s="279"/>
      <c r="AS197" s="279"/>
      <c r="AT197" s="279"/>
      <c r="AU197" s="279"/>
      <c r="AV197" s="279"/>
      <c r="AW197" s="279"/>
      <c r="AX197" s="279"/>
      <c r="AY197" s="279"/>
      <c r="AZ197" s="279"/>
      <c r="BA197" s="279"/>
      <c r="BB197" s="279"/>
      <c r="BC197" s="279"/>
      <c r="BD197" s="279"/>
      <c r="BE197" s="279"/>
      <c r="BF197" s="279"/>
      <c r="BG197" s="279"/>
      <c r="BH197" s="279"/>
      <c r="BI197" s="279"/>
      <c r="BJ197" s="279"/>
      <c r="BK197" s="279"/>
      <c r="BL197" s="279"/>
    </row>
    <row r="198" spans="1:64" ht="15.75">
      <c r="A198" s="614" t="s">
        <v>800</v>
      </c>
      <c r="B198" s="615" t="s">
        <v>801</v>
      </c>
      <c r="C198" s="613"/>
      <c r="D198" s="613"/>
      <c r="E198" s="370"/>
      <c r="F198" s="370"/>
      <c r="G198" s="370"/>
      <c r="H198" s="370"/>
      <c r="I198" s="370"/>
      <c r="J198" s="283"/>
      <c r="K198" s="283"/>
      <c r="L198" s="320"/>
      <c r="M198" s="296"/>
      <c r="N198" s="295"/>
      <c r="O198" s="296"/>
      <c r="P198" s="342"/>
      <c r="Q198" s="319"/>
      <c r="R198" s="295"/>
      <c r="S198" s="295"/>
      <c r="T198" s="295"/>
      <c r="U198" s="279"/>
      <c r="V198" s="279"/>
      <c r="W198" s="279"/>
      <c r="X198" s="279"/>
      <c r="Y198" s="279"/>
      <c r="Z198" s="279"/>
      <c r="AA198" s="279"/>
      <c r="AB198" s="279"/>
      <c r="AC198" s="279"/>
      <c r="AD198" s="279"/>
      <c r="AE198" s="279"/>
      <c r="AF198" s="279"/>
      <c r="AG198" s="279"/>
      <c r="AH198" s="279"/>
      <c r="AI198" s="279"/>
      <c r="AJ198" s="279"/>
      <c r="AK198" s="279"/>
      <c r="AL198" s="279"/>
      <c r="AM198" s="279"/>
      <c r="AN198" s="279"/>
      <c r="AO198" s="279"/>
      <c r="AP198" s="279"/>
      <c r="AQ198" s="279"/>
      <c r="AR198" s="279"/>
      <c r="AS198" s="279"/>
      <c r="AT198" s="279"/>
      <c r="AU198" s="279"/>
      <c r="AV198" s="279"/>
      <c r="AW198" s="279"/>
      <c r="AX198" s="279"/>
      <c r="AY198" s="279"/>
      <c r="AZ198" s="279"/>
      <c r="BA198" s="279"/>
      <c r="BB198" s="279"/>
      <c r="BC198" s="279"/>
      <c r="BD198" s="279"/>
      <c r="BE198" s="279"/>
      <c r="BF198" s="279"/>
      <c r="BG198" s="279"/>
      <c r="BH198" s="279"/>
      <c r="BI198" s="279"/>
      <c r="BJ198" s="279"/>
      <c r="BK198" s="279"/>
      <c r="BL198" s="279"/>
    </row>
    <row r="199" spans="1:64" ht="15.75">
      <c r="A199" s="350"/>
      <c r="B199" s="615" t="s">
        <v>802</v>
      </c>
      <c r="C199" s="613"/>
      <c r="D199" s="613"/>
      <c r="E199" s="613"/>
      <c r="F199" s="613"/>
      <c r="G199" s="613"/>
      <c r="H199" s="613"/>
      <c r="I199" s="613"/>
      <c r="J199" s="283"/>
      <c r="K199" s="283"/>
      <c r="L199" s="320"/>
      <c r="M199" s="296"/>
      <c r="N199" s="295"/>
      <c r="O199" s="296"/>
      <c r="P199" s="342"/>
      <c r="Q199" s="319"/>
      <c r="R199" s="295"/>
      <c r="S199" s="295"/>
      <c r="T199" s="295"/>
      <c r="U199" s="279"/>
      <c r="V199" s="279"/>
      <c r="W199" s="279"/>
      <c r="X199" s="279"/>
      <c r="Y199" s="279"/>
      <c r="Z199" s="279"/>
      <c r="AA199" s="279"/>
      <c r="AB199" s="279"/>
      <c r="AC199" s="279"/>
      <c r="AD199" s="279"/>
      <c r="AE199" s="279"/>
      <c r="AF199" s="279"/>
      <c r="AG199" s="279"/>
      <c r="AH199" s="279"/>
      <c r="AI199" s="279"/>
      <c r="AJ199" s="279"/>
      <c r="AK199" s="279"/>
      <c r="AL199" s="279"/>
      <c r="AM199" s="279"/>
      <c r="AN199" s="279"/>
      <c r="AO199" s="279"/>
      <c r="AP199" s="279"/>
      <c r="AQ199" s="279"/>
      <c r="AR199" s="279"/>
      <c r="AS199" s="279"/>
      <c r="AT199" s="279"/>
      <c r="AU199" s="279"/>
      <c r="AV199" s="279"/>
      <c r="AW199" s="279"/>
      <c r="AX199" s="279"/>
      <c r="AY199" s="279"/>
      <c r="AZ199" s="279"/>
      <c r="BA199" s="279"/>
      <c r="BB199" s="279"/>
      <c r="BC199" s="279"/>
      <c r="BD199" s="279"/>
      <c r="BE199" s="279"/>
      <c r="BF199" s="279"/>
      <c r="BG199" s="279"/>
      <c r="BH199" s="279"/>
      <c r="BI199" s="279"/>
      <c r="BJ199" s="279"/>
      <c r="BK199" s="279"/>
      <c r="BL199" s="279"/>
    </row>
    <row r="200" spans="1:64" ht="16.5" thickBot="1">
      <c r="A200" s="350"/>
      <c r="B200" s="615" t="s">
        <v>803</v>
      </c>
      <c r="C200" s="613"/>
      <c r="D200" s="617">
        <v>0</v>
      </c>
      <c r="E200" s="616"/>
      <c r="F200" s="616"/>
      <c r="G200" s="616"/>
      <c r="H200" s="616"/>
      <c r="I200" s="617">
        <v>0</v>
      </c>
      <c r="J200" s="283"/>
      <c r="K200" s="283"/>
      <c r="L200" s="320"/>
      <c r="M200" s="296"/>
      <c r="N200" s="295"/>
      <c r="O200" s="296"/>
      <c r="P200" s="342"/>
      <c r="Q200" s="319"/>
      <c r="R200" s="295"/>
      <c r="S200" s="295"/>
      <c r="T200" s="295"/>
      <c r="U200" s="279"/>
      <c r="V200" s="279"/>
      <c r="W200" s="279"/>
      <c r="X200" s="279"/>
      <c r="Y200" s="279"/>
      <c r="Z200" s="279"/>
      <c r="AA200" s="279"/>
      <c r="AB200" s="279"/>
      <c r="AC200" s="279"/>
      <c r="AD200" s="279"/>
      <c r="AE200" s="279"/>
      <c r="AF200" s="279"/>
      <c r="AG200" s="279"/>
      <c r="AH200" s="279"/>
      <c r="AI200" s="279"/>
      <c r="AJ200" s="279"/>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row>
    <row r="201" spans="1:64" ht="15.75" thickBot="1">
      <c r="A201" s="350">
        <v>31</v>
      </c>
      <c r="B201" s="370" t="s">
        <v>37</v>
      </c>
      <c r="C201" s="370"/>
      <c r="D201" s="371">
        <f>D192-D195-D200</f>
        <v>6468397.713782548</v>
      </c>
      <c r="E201" s="300"/>
      <c r="F201" s="300"/>
      <c r="G201" s="300"/>
      <c r="H201" s="300"/>
      <c r="I201" s="371">
        <f>I192-I195-I200</f>
        <v>140499.3872534142</v>
      </c>
      <c r="J201" s="283"/>
      <c r="K201" s="283"/>
      <c r="L201" s="320"/>
      <c r="M201" s="296"/>
      <c r="N201" s="295"/>
      <c r="O201" s="321"/>
      <c r="P201" s="324"/>
      <c r="Q201" s="321"/>
      <c r="R201" s="295"/>
      <c r="S201" s="295"/>
      <c r="T201" s="295"/>
      <c r="U201" s="279"/>
      <c r="V201" s="279"/>
      <c r="W201" s="279"/>
      <c r="X201" s="279"/>
      <c r="Y201" s="279"/>
      <c r="Z201" s="279"/>
      <c r="AA201" s="279"/>
      <c r="AB201" s="279"/>
      <c r="AC201" s="279"/>
      <c r="AD201" s="279"/>
      <c r="AE201" s="279"/>
      <c r="AF201" s="279"/>
      <c r="AG201" s="279"/>
      <c r="AH201" s="279"/>
      <c r="AI201" s="279"/>
      <c r="AJ201" s="279"/>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row>
    <row r="202" spans="1:64" ht="15.75" thickTop="1">
      <c r="A202" s="350"/>
      <c r="B202" s="370" t="s">
        <v>38</v>
      </c>
      <c r="C202" s="370"/>
      <c r="D202" s="300"/>
      <c r="E202" s="300"/>
      <c r="F202" s="300"/>
      <c r="G202" s="300"/>
      <c r="H202" s="300"/>
      <c r="I202" s="300"/>
      <c r="J202" s="283"/>
      <c r="K202" s="283"/>
      <c r="L202" s="320"/>
      <c r="M202" s="296"/>
      <c r="N202" s="295"/>
      <c r="O202" s="321"/>
      <c r="P202" s="324"/>
      <c r="Q202" s="321"/>
      <c r="R202" s="295"/>
      <c r="S202" s="295"/>
      <c r="T202" s="295"/>
      <c r="U202" s="279"/>
      <c r="V202" s="279"/>
      <c r="W202" s="279"/>
      <c r="X202" s="279"/>
      <c r="Y202" s="279"/>
      <c r="Z202" s="279"/>
      <c r="AA202" s="279"/>
      <c r="AB202" s="279"/>
      <c r="AC202" s="279"/>
      <c r="AD202" s="279"/>
      <c r="AE202" s="279"/>
      <c r="AF202" s="279"/>
      <c r="AG202" s="279"/>
      <c r="AH202" s="279"/>
      <c r="AI202" s="279"/>
      <c r="AJ202" s="279"/>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row>
    <row r="203" spans="1:64" ht="15">
      <c r="A203" s="350"/>
      <c r="B203" s="370"/>
      <c r="C203" s="370"/>
      <c r="D203" s="300"/>
      <c r="E203" s="300"/>
      <c r="F203" s="300"/>
      <c r="G203" s="300"/>
      <c r="H203" s="300"/>
      <c r="I203" s="300"/>
      <c r="J203" s="283"/>
      <c r="K203" s="283"/>
      <c r="L203" s="320"/>
      <c r="M203" s="296"/>
      <c r="N203" s="295"/>
      <c r="O203" s="321"/>
      <c r="P203" s="324"/>
      <c r="Q203" s="321"/>
      <c r="R203" s="295"/>
      <c r="S203" s="295"/>
      <c r="T203" s="295"/>
      <c r="U203" s="279"/>
      <c r="V203" s="279"/>
      <c r="W203" s="279"/>
      <c r="X203" s="279"/>
      <c r="Y203" s="279"/>
      <c r="Z203" s="279"/>
      <c r="AA203" s="279"/>
      <c r="AB203" s="279"/>
      <c r="AC203" s="279"/>
      <c r="AD203" s="279"/>
      <c r="AE203" s="279"/>
      <c r="AF203" s="279"/>
      <c r="AG203" s="279"/>
      <c r="AH203" s="279"/>
      <c r="AI203" s="279"/>
      <c r="AJ203" s="279"/>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row>
    <row r="204" spans="1:64" ht="15">
      <c r="A204"/>
      <c r="B204"/>
      <c r="C204"/>
      <c r="D204"/>
      <c r="E204"/>
      <c r="F204"/>
      <c r="G204"/>
      <c r="H204"/>
      <c r="I204"/>
      <c r="J204"/>
      <c r="K204"/>
      <c r="L204"/>
      <c r="M204" s="296"/>
      <c r="N204" s="295"/>
      <c r="O204" s="321"/>
      <c r="P204" s="324"/>
      <c r="Q204" s="321"/>
      <c r="R204" s="295"/>
      <c r="S204" s="295"/>
      <c r="T204" s="295"/>
      <c r="U204" s="279"/>
      <c r="V204" s="279"/>
      <c r="W204" s="279"/>
      <c r="X204" s="279"/>
      <c r="Y204" s="279"/>
      <c r="Z204" s="279"/>
      <c r="AA204" s="279"/>
      <c r="AB204" s="279"/>
      <c r="AC204" s="279"/>
      <c r="AD204" s="279"/>
      <c r="AE204" s="279"/>
      <c r="AF204" s="279"/>
      <c r="AG204" s="279"/>
      <c r="AH204" s="279"/>
      <c r="AI204" s="279"/>
      <c r="AJ204" s="279"/>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row>
    <row r="205" spans="1:64" s="638" customFormat="1" ht="15">
      <c r="A205" s="645"/>
      <c r="B205" s="653"/>
      <c r="C205" s="653"/>
      <c r="D205" s="653"/>
      <c r="E205" s="653"/>
      <c r="F205" s="653"/>
      <c r="G205" s="653"/>
      <c r="H205" s="653" t="str">
        <f>H1</f>
        <v>Attachment O-EIA Non-Levelized Generic</v>
      </c>
      <c r="I205" s="653"/>
      <c r="J205" s="644"/>
      <c r="K205" s="644"/>
      <c r="L205" s="655"/>
      <c r="M205" s="650"/>
      <c r="N205" s="649"/>
      <c r="O205" s="650"/>
      <c r="P205" s="650"/>
      <c r="Q205" s="650"/>
      <c r="R205" s="649"/>
      <c r="S205" s="649"/>
      <c r="T205" s="649"/>
      <c r="U205" s="640"/>
      <c r="V205" s="640"/>
      <c r="W205" s="640"/>
      <c r="X205" s="640"/>
      <c r="Y205" s="640"/>
      <c r="Z205" s="640"/>
      <c r="AA205" s="640"/>
      <c r="AB205" s="640"/>
      <c r="AC205" s="640"/>
      <c r="AD205" s="640"/>
      <c r="AE205" s="640"/>
      <c r="AF205" s="640"/>
      <c r="AG205" s="640"/>
      <c r="AH205" s="640"/>
      <c r="AI205" s="640"/>
      <c r="AJ205" s="640"/>
      <c r="AK205" s="640"/>
      <c r="AL205" s="640"/>
      <c r="AM205" s="640"/>
      <c r="AN205" s="640"/>
      <c r="AO205" s="640"/>
      <c r="AP205" s="640"/>
      <c r="AQ205" s="640"/>
      <c r="AR205" s="640"/>
      <c r="AS205" s="640"/>
      <c r="AT205" s="640"/>
      <c r="AU205" s="640"/>
      <c r="AV205" s="640"/>
      <c r="AW205" s="640"/>
      <c r="AX205" s="640"/>
      <c r="AY205" s="640"/>
      <c r="AZ205" s="640"/>
      <c r="BA205" s="640"/>
      <c r="BB205" s="640"/>
      <c r="BC205" s="640"/>
      <c r="BD205" s="640"/>
      <c r="BE205" s="640"/>
      <c r="BF205" s="640"/>
      <c r="BG205" s="640"/>
      <c r="BH205" s="640"/>
      <c r="BI205" s="640"/>
      <c r="BJ205" s="640"/>
      <c r="BK205" s="640"/>
      <c r="BL205" s="640"/>
    </row>
    <row r="206" spans="1:64" s="638" customFormat="1" ht="15">
      <c r="A206" s="645"/>
      <c r="B206" s="653"/>
      <c r="C206" s="653"/>
      <c r="D206" s="653"/>
      <c r="E206" s="653"/>
      <c r="F206" s="653"/>
      <c r="G206" s="653"/>
      <c r="H206" s="653"/>
      <c r="I206" s="653"/>
      <c r="J206" s="738" t="s">
        <v>39</v>
      </c>
      <c r="K206" s="738"/>
      <c r="L206" s="655"/>
      <c r="M206" s="650"/>
      <c r="N206" s="649"/>
      <c r="O206" s="650"/>
      <c r="P206" s="650"/>
      <c r="Q206" s="650"/>
      <c r="R206" s="649"/>
      <c r="S206" s="649"/>
      <c r="T206" s="649"/>
      <c r="U206" s="640"/>
      <c r="V206" s="640"/>
      <c r="W206" s="640"/>
      <c r="X206" s="640"/>
      <c r="Y206" s="640"/>
      <c r="Z206" s="640"/>
      <c r="AA206" s="640"/>
      <c r="AB206" s="640"/>
      <c r="AC206" s="640"/>
      <c r="AD206" s="640"/>
      <c r="AE206" s="640"/>
      <c r="AF206" s="640"/>
      <c r="AG206" s="640"/>
      <c r="AH206" s="640"/>
      <c r="AI206" s="640"/>
      <c r="AJ206" s="640"/>
      <c r="AK206" s="640"/>
      <c r="AL206" s="640"/>
      <c r="AM206" s="640"/>
      <c r="AN206" s="640"/>
      <c r="AO206" s="640"/>
      <c r="AP206" s="640"/>
      <c r="AQ206" s="640"/>
      <c r="AR206" s="640"/>
      <c r="AS206" s="640"/>
      <c r="AT206" s="640"/>
      <c r="AU206" s="640"/>
      <c r="AV206" s="640"/>
      <c r="AW206" s="640"/>
      <c r="AX206" s="640"/>
      <c r="AY206" s="640"/>
      <c r="AZ206" s="640"/>
      <c r="BA206" s="640"/>
      <c r="BB206" s="640"/>
      <c r="BC206" s="640"/>
      <c r="BD206" s="640"/>
      <c r="BE206" s="640"/>
      <c r="BF206" s="640"/>
      <c r="BG206" s="640"/>
      <c r="BH206" s="640"/>
      <c r="BI206" s="640"/>
      <c r="BJ206" s="640"/>
      <c r="BK206" s="640"/>
      <c r="BL206" s="640"/>
    </row>
    <row r="207" spans="1:64" s="638" customFormat="1" ht="15">
      <c r="A207" s="645"/>
      <c r="B207" s="653"/>
      <c r="C207" s="653"/>
      <c r="D207" s="653"/>
      <c r="E207" s="653"/>
      <c r="F207" s="653"/>
      <c r="G207" s="653"/>
      <c r="H207" s="653"/>
      <c r="I207" s="653"/>
      <c r="J207" s="644"/>
      <c r="K207" s="644"/>
      <c r="L207" s="655"/>
      <c r="M207" s="650"/>
      <c r="N207" s="649"/>
      <c r="O207" s="650"/>
      <c r="P207" s="650"/>
      <c r="Q207" s="650"/>
      <c r="R207" s="649"/>
      <c r="S207" s="649"/>
      <c r="T207" s="649"/>
      <c r="U207" s="640"/>
      <c r="V207" s="640"/>
      <c r="W207" s="640"/>
      <c r="X207" s="640"/>
      <c r="Y207" s="640"/>
      <c r="Z207" s="640"/>
      <c r="AA207" s="640"/>
      <c r="AB207" s="640"/>
      <c r="AC207" s="640"/>
      <c r="AD207" s="640"/>
      <c r="AE207" s="640"/>
      <c r="AF207" s="640"/>
      <c r="AG207" s="640"/>
      <c r="AH207" s="640"/>
      <c r="AI207" s="640"/>
      <c r="AJ207" s="640"/>
      <c r="AK207" s="640"/>
      <c r="AL207" s="640"/>
      <c r="AM207" s="640"/>
      <c r="AN207" s="640"/>
      <c r="AO207" s="640"/>
      <c r="AP207" s="640"/>
      <c r="AQ207" s="640"/>
      <c r="AR207" s="640"/>
      <c r="AS207" s="640"/>
      <c r="AT207" s="640"/>
      <c r="AU207" s="640"/>
      <c r="AV207" s="640"/>
      <c r="AW207" s="640"/>
      <c r="AX207" s="640"/>
      <c r="AY207" s="640"/>
      <c r="AZ207" s="640"/>
      <c r="BA207" s="640"/>
      <c r="BB207" s="640"/>
      <c r="BC207" s="640"/>
      <c r="BD207" s="640"/>
      <c r="BE207" s="640"/>
      <c r="BF207" s="640"/>
      <c r="BG207" s="640"/>
      <c r="BH207" s="640"/>
      <c r="BI207" s="640"/>
      <c r="BJ207" s="640"/>
      <c r="BK207" s="640"/>
      <c r="BL207" s="640"/>
    </row>
    <row r="208" spans="1:64" ht="15">
      <c r="A208" s="284"/>
      <c r="B208" s="276" t="str">
        <f>B4</f>
        <v xml:space="preserve">Formula Rate - Non-Levelized </v>
      </c>
      <c r="C208" s="300"/>
      <c r="D208" s="300" t="str">
        <f>D4</f>
        <v xml:space="preserve">   Rate Formula Template</v>
      </c>
      <c r="E208" s="300"/>
      <c r="F208" s="300"/>
      <c r="G208" s="300"/>
      <c r="H208" s="300"/>
      <c r="I208" s="300" t="str">
        <f>I4</f>
        <v>For the 12 months ended 12/31/14</v>
      </c>
      <c r="J208" s="283"/>
      <c r="K208" s="283"/>
      <c r="L208" s="320"/>
      <c r="M208" s="296"/>
      <c r="N208" s="295"/>
      <c r="O208" s="296"/>
      <c r="P208" s="296"/>
      <c r="Q208" s="296"/>
      <c r="R208" s="295"/>
      <c r="S208" s="295"/>
      <c r="T208" s="295"/>
      <c r="U208" s="279"/>
      <c r="V208" s="279"/>
      <c r="W208" s="279"/>
      <c r="X208" s="279"/>
      <c r="Y208" s="279"/>
      <c r="Z208" s="279"/>
      <c r="AA208" s="279"/>
      <c r="AB208" s="279"/>
      <c r="AC208" s="279"/>
      <c r="AD208" s="279"/>
      <c r="AE208" s="279"/>
      <c r="AF208" s="279"/>
      <c r="AG208" s="279"/>
      <c r="AH208" s="279"/>
      <c r="AI208" s="279"/>
      <c r="AJ208" s="279"/>
      <c r="AK208" s="279"/>
      <c r="AL208" s="279"/>
      <c r="AM208" s="279"/>
      <c r="AN208" s="279"/>
      <c r="AO208" s="279"/>
      <c r="AP208" s="279"/>
      <c r="AQ208" s="279"/>
      <c r="AR208" s="279"/>
      <c r="AS208" s="279"/>
      <c r="AT208" s="279"/>
      <c r="AU208" s="279"/>
      <c r="AV208" s="279"/>
      <c r="AW208" s="279"/>
      <c r="AX208" s="279"/>
      <c r="AY208" s="279"/>
      <c r="AZ208" s="279"/>
      <c r="BA208" s="279"/>
      <c r="BB208" s="279"/>
      <c r="BC208" s="279"/>
      <c r="BD208" s="279"/>
      <c r="BE208" s="279"/>
      <c r="BF208" s="279"/>
      <c r="BG208" s="279"/>
      <c r="BH208" s="279"/>
      <c r="BI208" s="279"/>
      <c r="BJ208" s="279"/>
      <c r="BK208" s="279"/>
      <c r="BL208" s="279"/>
    </row>
    <row r="209" spans="1:64" ht="15">
      <c r="A209" s="284"/>
      <c r="B209" s="276"/>
      <c r="C209" s="300"/>
      <c r="D209" s="300" t="str">
        <f>D5</f>
        <v>Utilizing EIA 412 Form Data</v>
      </c>
      <c r="E209" s="300"/>
      <c r="F209" s="300"/>
      <c r="G209" s="300"/>
      <c r="H209" s="300"/>
      <c r="I209" s="300"/>
      <c r="J209" s="283"/>
      <c r="K209" s="283"/>
      <c r="L209" s="320"/>
      <c r="M209" s="319"/>
      <c r="N209" s="295"/>
      <c r="O209" s="296"/>
      <c r="P209" s="296"/>
      <c r="Q209" s="296"/>
      <c r="R209" s="295"/>
      <c r="S209" s="295"/>
      <c r="T209" s="295"/>
      <c r="U209" s="279"/>
      <c r="V209" s="279"/>
      <c r="W209" s="279"/>
      <c r="X209" s="279"/>
      <c r="Y209" s="279"/>
      <c r="Z209" s="279"/>
      <c r="AA209" s="279"/>
      <c r="AB209" s="279"/>
      <c r="AC209" s="279"/>
      <c r="AD209" s="279"/>
      <c r="AE209" s="279"/>
      <c r="AF209" s="279"/>
      <c r="AG209" s="279"/>
      <c r="AH209" s="279"/>
      <c r="AI209" s="279"/>
      <c r="AJ209" s="279"/>
      <c r="AK209" s="279"/>
      <c r="AL209" s="279"/>
      <c r="AM209" s="279"/>
      <c r="AN209" s="279"/>
      <c r="AO209" s="279"/>
      <c r="AP209" s="279"/>
      <c r="AQ209" s="279"/>
      <c r="AR209" s="279"/>
      <c r="AS209" s="279"/>
      <c r="AT209" s="279"/>
      <c r="AU209" s="279"/>
      <c r="AV209" s="279"/>
      <c r="AW209" s="279"/>
      <c r="AX209" s="279"/>
      <c r="AY209" s="279"/>
      <c r="AZ209" s="279"/>
      <c r="BA209" s="279"/>
      <c r="BB209" s="279"/>
      <c r="BC209" s="279"/>
      <c r="BD209" s="279"/>
      <c r="BE209" s="279"/>
      <c r="BF209" s="279"/>
      <c r="BG209" s="279"/>
      <c r="BH209" s="279"/>
      <c r="BI209" s="279"/>
      <c r="BJ209" s="279"/>
      <c r="BK209" s="279"/>
      <c r="BL209" s="279"/>
    </row>
    <row r="210" spans="1:64" ht="15">
      <c r="A210" s="284"/>
      <c r="B210" s="300"/>
      <c r="C210" s="300"/>
      <c r="D210" s="300"/>
      <c r="E210" s="300"/>
      <c r="F210" s="300"/>
      <c r="G210" s="300"/>
      <c r="H210" s="300"/>
      <c r="I210" s="300"/>
      <c r="J210" s="283"/>
      <c r="K210" s="283"/>
      <c r="L210" s="320"/>
      <c r="M210" s="319"/>
      <c r="N210" s="295"/>
      <c r="O210" s="296"/>
      <c r="P210" s="296"/>
      <c r="Q210" s="296"/>
      <c r="R210" s="295"/>
      <c r="S210" s="295"/>
      <c r="T210" s="295"/>
      <c r="U210" s="279"/>
      <c r="V210" s="279"/>
      <c r="W210" s="279"/>
      <c r="X210" s="279"/>
      <c r="Y210" s="279"/>
      <c r="Z210" s="279"/>
      <c r="AA210" s="279"/>
      <c r="AB210" s="279"/>
      <c r="AC210" s="279"/>
      <c r="AD210" s="279"/>
      <c r="AE210" s="279"/>
      <c r="AF210" s="279"/>
      <c r="AG210" s="279"/>
      <c r="AH210" s="279"/>
      <c r="AI210" s="279"/>
      <c r="AJ210" s="279"/>
      <c r="AK210" s="279"/>
      <c r="AL210" s="279"/>
      <c r="AM210" s="279"/>
      <c r="AN210" s="279"/>
      <c r="AO210" s="279"/>
      <c r="AP210" s="279"/>
      <c r="AQ210" s="279"/>
      <c r="AR210" s="279"/>
      <c r="AS210" s="279"/>
      <c r="AT210" s="279"/>
      <c r="AU210" s="279"/>
      <c r="AV210" s="279"/>
      <c r="AW210" s="279"/>
      <c r="AX210" s="279"/>
      <c r="AY210" s="279"/>
      <c r="AZ210" s="279"/>
      <c r="BA210" s="279"/>
      <c r="BB210" s="279"/>
      <c r="BC210" s="279"/>
      <c r="BD210" s="279"/>
      <c r="BE210" s="279"/>
      <c r="BF210" s="279"/>
      <c r="BG210" s="279"/>
      <c r="BH210" s="279"/>
      <c r="BI210" s="279"/>
      <c r="BJ210" s="279"/>
      <c r="BK210" s="279"/>
      <c r="BL210" s="279"/>
    </row>
    <row r="211" spans="1:64" ht="15">
      <c r="A211" s="284"/>
      <c r="C211" s="300"/>
      <c r="D211" s="300" t="str">
        <f>D7</f>
        <v>Elk River</v>
      </c>
      <c r="E211" s="300"/>
      <c r="F211" s="300"/>
      <c r="G211" s="300"/>
      <c r="H211" s="300"/>
      <c r="I211" s="300"/>
      <c r="J211" s="283"/>
      <c r="K211" s="283"/>
      <c r="L211" s="320"/>
      <c r="M211" s="319"/>
      <c r="N211" s="295"/>
      <c r="O211" s="321"/>
      <c r="P211" s="324"/>
      <c r="Q211" s="321"/>
      <c r="R211" s="295"/>
      <c r="S211" s="295"/>
      <c r="T211" s="295"/>
      <c r="U211" s="279"/>
      <c r="V211" s="279"/>
      <c r="W211" s="279"/>
      <c r="X211" s="279"/>
      <c r="Y211" s="279"/>
      <c r="Z211" s="279"/>
      <c r="AA211" s="279"/>
      <c r="AB211" s="279"/>
      <c r="AC211" s="279"/>
      <c r="AD211" s="279"/>
      <c r="AE211" s="279"/>
      <c r="AF211" s="279"/>
      <c r="AG211" s="279"/>
      <c r="AH211" s="279"/>
      <c r="AI211" s="279"/>
      <c r="AJ211" s="279"/>
      <c r="AK211" s="279"/>
      <c r="AL211" s="279"/>
      <c r="AM211" s="279"/>
      <c r="AN211" s="279"/>
      <c r="AO211" s="279"/>
      <c r="AP211" s="279"/>
      <c r="AQ211" s="279"/>
      <c r="AR211" s="279"/>
      <c r="AS211" s="279"/>
      <c r="AT211" s="279"/>
      <c r="AU211" s="279"/>
      <c r="AV211" s="279"/>
      <c r="AW211" s="279"/>
      <c r="AX211" s="279"/>
      <c r="AY211" s="279"/>
      <c r="AZ211" s="279"/>
      <c r="BA211" s="279"/>
      <c r="BB211" s="279"/>
      <c r="BC211" s="279"/>
      <c r="BD211" s="279"/>
      <c r="BE211" s="279"/>
      <c r="BF211" s="279"/>
      <c r="BG211" s="279"/>
      <c r="BH211" s="279"/>
      <c r="BI211" s="279"/>
      <c r="BJ211" s="279"/>
      <c r="BK211" s="279"/>
      <c r="BL211" s="279"/>
    </row>
    <row r="212" spans="1:64" ht="15">
      <c r="A212" s="284" t="s">
        <v>671</v>
      </c>
      <c r="C212" s="276" t="s">
        <v>669</v>
      </c>
      <c r="D212" s="276"/>
      <c r="E212" s="276"/>
      <c r="F212" s="276"/>
      <c r="G212" s="276"/>
      <c r="H212" s="276"/>
      <c r="I212" s="276"/>
      <c r="J212" s="276"/>
      <c r="K212" s="276"/>
      <c r="L212" s="318"/>
      <c r="M212" s="319"/>
      <c r="N212" s="295"/>
      <c r="O212" s="321"/>
      <c r="P212" s="321"/>
      <c r="Q212" s="319"/>
      <c r="R212" s="295"/>
      <c r="S212" s="295"/>
      <c r="T212" s="295"/>
      <c r="U212" s="279"/>
      <c r="V212" s="279"/>
      <c r="W212" s="279"/>
      <c r="X212" s="279"/>
      <c r="Y212" s="279"/>
      <c r="Z212" s="279"/>
      <c r="AA212" s="279"/>
      <c r="AB212" s="279"/>
      <c r="AC212" s="279"/>
      <c r="AD212" s="279"/>
      <c r="AE212" s="279"/>
      <c r="AF212" s="279"/>
      <c r="AG212" s="279"/>
      <c r="AH212" s="279"/>
      <c r="AI212" s="279"/>
      <c r="AJ212" s="279"/>
      <c r="AK212" s="279"/>
      <c r="AL212" s="279"/>
      <c r="AM212" s="279"/>
      <c r="AN212" s="279"/>
      <c r="AO212" s="279"/>
      <c r="AP212" s="279"/>
      <c r="AQ212" s="279"/>
      <c r="AR212" s="279"/>
      <c r="AS212" s="279"/>
      <c r="AT212" s="279"/>
      <c r="AU212" s="279"/>
      <c r="AV212" s="279"/>
      <c r="AW212" s="279"/>
      <c r="AX212" s="279"/>
      <c r="AY212" s="279"/>
      <c r="AZ212" s="279"/>
      <c r="BA212" s="279"/>
      <c r="BB212" s="279"/>
      <c r="BC212" s="279"/>
      <c r="BD212" s="279"/>
      <c r="BE212" s="279"/>
      <c r="BF212" s="279"/>
      <c r="BG212" s="279"/>
      <c r="BH212" s="279"/>
      <c r="BI212" s="279"/>
      <c r="BJ212" s="279"/>
      <c r="BK212" s="279"/>
      <c r="BL212" s="279"/>
    </row>
    <row r="213" spans="1:64" ht="16.5" thickBot="1">
      <c r="A213" s="288" t="s">
        <v>673</v>
      </c>
      <c r="B213" s="300"/>
      <c r="C213" s="330" t="s">
        <v>40</v>
      </c>
      <c r="E213" s="277"/>
      <c r="F213" s="277"/>
      <c r="G213" s="277"/>
      <c r="H213" s="277"/>
      <c r="I213" s="277"/>
      <c r="J213" s="283"/>
      <c r="K213" s="283"/>
      <c r="L213" s="320"/>
      <c r="M213" s="319"/>
      <c r="N213" s="295"/>
      <c r="O213" s="321"/>
      <c r="P213" s="321"/>
      <c r="Q213" s="319"/>
      <c r="R213" s="295"/>
      <c r="S213" s="295"/>
      <c r="T213" s="295"/>
      <c r="U213" s="279"/>
      <c r="V213" s="279"/>
      <c r="W213" s="279"/>
      <c r="X213" s="279"/>
      <c r="Y213" s="279"/>
      <c r="Z213" s="279"/>
      <c r="AA213" s="279"/>
      <c r="AB213" s="279"/>
      <c r="AC213" s="279"/>
      <c r="AD213" s="279"/>
      <c r="AE213" s="279"/>
      <c r="AF213" s="279"/>
      <c r="AG213" s="279"/>
      <c r="AH213" s="279"/>
      <c r="AI213" s="279"/>
      <c r="AJ213" s="279"/>
      <c r="AK213" s="279"/>
      <c r="AL213" s="279"/>
      <c r="AM213" s="279"/>
      <c r="AN213" s="279"/>
      <c r="AO213" s="279"/>
      <c r="AP213" s="279"/>
      <c r="AQ213" s="279"/>
      <c r="AR213" s="279"/>
      <c r="AS213" s="279"/>
      <c r="AT213" s="279"/>
      <c r="AU213" s="279"/>
      <c r="AV213" s="279"/>
      <c r="AW213" s="279"/>
      <c r="AX213" s="279"/>
      <c r="AY213" s="279"/>
      <c r="AZ213" s="279"/>
      <c r="BA213" s="279"/>
      <c r="BB213" s="279"/>
      <c r="BC213" s="279"/>
      <c r="BD213" s="279"/>
      <c r="BE213" s="279"/>
      <c r="BF213" s="279"/>
      <c r="BG213" s="279"/>
      <c r="BH213" s="279"/>
      <c r="BI213" s="279"/>
      <c r="BJ213" s="279"/>
      <c r="BK213" s="279"/>
      <c r="BL213" s="279"/>
    </row>
    <row r="214" spans="1:64" ht="15">
      <c r="A214" s="284"/>
      <c r="B214" s="276" t="s">
        <v>41</v>
      </c>
      <c r="C214" s="277"/>
      <c r="D214" s="277"/>
      <c r="E214" s="277"/>
      <c r="F214" s="277"/>
      <c r="G214" s="277"/>
      <c r="H214" s="277"/>
      <c r="I214" s="277"/>
      <c r="J214" s="283"/>
      <c r="K214" s="283"/>
      <c r="L214" s="320"/>
      <c r="M214" s="319"/>
      <c r="N214" s="295"/>
      <c r="O214" s="321"/>
      <c r="P214" s="321"/>
      <c r="Q214" s="319"/>
      <c r="R214" s="295"/>
      <c r="S214" s="295"/>
      <c r="T214" s="295"/>
      <c r="U214" s="279"/>
      <c r="V214" s="279"/>
      <c r="W214" s="279"/>
      <c r="X214" s="279"/>
      <c r="Y214" s="279"/>
      <c r="Z214" s="279"/>
      <c r="AA214" s="279"/>
      <c r="AB214" s="279"/>
      <c r="AC214" s="279"/>
      <c r="AD214" s="279"/>
      <c r="AE214" s="279"/>
      <c r="AF214" s="279"/>
      <c r="AG214" s="279"/>
      <c r="AH214" s="279"/>
      <c r="AI214" s="279"/>
      <c r="AJ214" s="279"/>
      <c r="AK214" s="279"/>
      <c r="AL214" s="279"/>
      <c r="AM214" s="279"/>
      <c r="AN214" s="279"/>
      <c r="AO214" s="279"/>
      <c r="AP214" s="279"/>
      <c r="AQ214" s="279"/>
      <c r="AR214" s="279"/>
      <c r="AS214" s="279"/>
      <c r="AT214" s="279"/>
      <c r="AU214" s="279"/>
      <c r="AV214" s="279"/>
      <c r="AW214" s="279"/>
      <c r="AX214" s="279"/>
      <c r="AY214" s="279"/>
      <c r="AZ214" s="279"/>
      <c r="BA214" s="279"/>
      <c r="BB214" s="279"/>
      <c r="BC214" s="279"/>
      <c r="BD214" s="279"/>
      <c r="BE214" s="279"/>
      <c r="BF214" s="279"/>
      <c r="BG214" s="279"/>
      <c r="BH214" s="279"/>
      <c r="BI214" s="279"/>
      <c r="BJ214" s="279"/>
      <c r="BK214" s="279"/>
      <c r="BL214" s="279"/>
    </row>
    <row r="215" spans="1:64" ht="15.75">
      <c r="A215" s="284">
        <v>1</v>
      </c>
      <c r="B215" s="277" t="s">
        <v>42</v>
      </c>
      <c r="C215" s="277"/>
      <c r="D215" s="283"/>
      <c r="E215" s="283"/>
      <c r="F215" s="283"/>
      <c r="G215" s="283"/>
      <c r="H215" s="283"/>
      <c r="I215" s="283">
        <f>D84</f>
        <v>710988</v>
      </c>
      <c r="J215" s="283"/>
      <c r="K215" s="283"/>
      <c r="L215" s="320"/>
      <c r="M215" s="373"/>
      <c r="N215" s="295"/>
      <c r="O215" s="296"/>
      <c r="P215" s="321"/>
      <c r="Q215" s="319"/>
      <c r="R215" s="295"/>
      <c r="S215" s="295"/>
      <c r="T215" s="295"/>
      <c r="U215" s="279"/>
      <c r="V215" s="279"/>
      <c r="W215" s="279"/>
      <c r="X215" s="279"/>
      <c r="Y215" s="279"/>
      <c r="Z215" s="279"/>
      <c r="AA215" s="279"/>
      <c r="AB215" s="279"/>
      <c r="AC215" s="279"/>
      <c r="AD215" s="279"/>
      <c r="AE215" s="279"/>
      <c r="AF215" s="279"/>
      <c r="AG215" s="279"/>
      <c r="AH215" s="279"/>
      <c r="AI215" s="279"/>
      <c r="AJ215" s="279"/>
      <c r="AK215" s="279"/>
      <c r="AL215" s="279"/>
      <c r="AM215" s="279"/>
      <c r="AN215" s="279"/>
      <c r="AO215" s="279"/>
      <c r="AP215" s="279"/>
      <c r="AQ215" s="279"/>
      <c r="AR215" s="279"/>
      <c r="AS215" s="279"/>
      <c r="AT215" s="279"/>
      <c r="AU215" s="279"/>
      <c r="AV215" s="279"/>
      <c r="AW215" s="279"/>
      <c r="AX215" s="279"/>
      <c r="AY215" s="279"/>
      <c r="AZ215" s="279"/>
      <c r="BA215" s="279"/>
      <c r="BB215" s="279"/>
      <c r="BC215" s="279"/>
      <c r="BD215" s="279"/>
      <c r="BE215" s="279"/>
      <c r="BF215" s="279"/>
      <c r="BG215" s="279"/>
      <c r="BH215" s="279"/>
      <c r="BI215" s="279"/>
      <c r="BJ215" s="279"/>
      <c r="BK215" s="279"/>
      <c r="BL215" s="279"/>
    </row>
    <row r="216" spans="1:64" ht="15">
      <c r="A216" s="284">
        <v>2</v>
      </c>
      <c r="B216" s="277" t="s">
        <v>43</v>
      </c>
      <c r="C216" s="300"/>
      <c r="D216" s="300"/>
      <c r="E216" s="300"/>
      <c r="F216" s="300"/>
      <c r="G216" s="300"/>
      <c r="H216" s="300"/>
      <c r="I216" s="335">
        <v>0</v>
      </c>
      <c r="J216" s="283"/>
      <c r="K216" s="283"/>
      <c r="L216" s="320"/>
      <c r="M216" s="319"/>
      <c r="N216" s="295"/>
      <c r="O216" s="296"/>
      <c r="P216" s="321"/>
      <c r="Q216" s="319"/>
      <c r="R216" s="295"/>
      <c r="S216" s="295"/>
      <c r="T216" s="295"/>
      <c r="U216" s="279"/>
      <c r="V216" s="279"/>
      <c r="W216" s="279"/>
      <c r="X216" s="279"/>
      <c r="Y216" s="279"/>
      <c r="Z216" s="279"/>
      <c r="AA216" s="279"/>
      <c r="AB216" s="279"/>
      <c r="AC216" s="279"/>
      <c r="AD216" s="279"/>
      <c r="AE216" s="279"/>
      <c r="AF216" s="279"/>
      <c r="AG216" s="279"/>
      <c r="AH216" s="279"/>
      <c r="AI216" s="279"/>
      <c r="AJ216" s="279"/>
      <c r="AK216" s="279"/>
      <c r="AL216" s="279"/>
      <c r="AM216" s="279"/>
      <c r="AN216" s="279"/>
      <c r="AO216" s="279"/>
      <c r="AP216" s="279"/>
      <c r="AQ216" s="279"/>
      <c r="AR216" s="279"/>
      <c r="AS216" s="279"/>
      <c r="AT216" s="279"/>
      <c r="AU216" s="279"/>
      <c r="AV216" s="279"/>
      <c r="AW216" s="279"/>
      <c r="AX216" s="279"/>
      <c r="AY216" s="279"/>
      <c r="AZ216" s="279"/>
      <c r="BA216" s="279"/>
      <c r="BB216" s="279"/>
      <c r="BC216" s="279"/>
      <c r="BD216" s="279"/>
      <c r="BE216" s="279"/>
      <c r="BF216" s="279"/>
      <c r="BG216" s="279"/>
      <c r="BH216" s="279"/>
      <c r="BI216" s="279"/>
      <c r="BJ216" s="279"/>
      <c r="BK216" s="279"/>
      <c r="BL216" s="279"/>
    </row>
    <row r="217" spans="1:64" ht="15.75" thickBot="1">
      <c r="A217" s="284">
        <v>3</v>
      </c>
      <c r="B217" s="374" t="s">
        <v>44</v>
      </c>
      <c r="C217" s="374"/>
      <c r="D217" s="298"/>
      <c r="E217" s="283"/>
      <c r="F217" s="283"/>
      <c r="G217" s="375"/>
      <c r="H217" s="283"/>
      <c r="I217" s="333">
        <v>0</v>
      </c>
      <c r="J217" s="283"/>
      <c r="K217" s="283"/>
      <c r="L217" s="320"/>
      <c r="M217" s="319"/>
      <c r="N217" s="295"/>
      <c r="O217" s="296"/>
      <c r="P217" s="321"/>
      <c r="Q217" s="319"/>
      <c r="R217" s="295"/>
      <c r="S217" s="295"/>
      <c r="T217" s="295"/>
      <c r="U217" s="279"/>
      <c r="V217" s="279"/>
      <c r="W217" s="279"/>
      <c r="X217" s="279"/>
      <c r="Y217" s="279"/>
      <c r="Z217" s="279"/>
      <c r="AA217" s="279"/>
      <c r="AB217" s="279"/>
      <c r="AC217" s="279"/>
      <c r="AD217" s="279"/>
      <c r="AE217" s="279"/>
      <c r="AF217" s="279"/>
      <c r="AG217" s="279"/>
      <c r="AH217" s="279"/>
      <c r="AI217" s="279"/>
      <c r="AJ217" s="279"/>
      <c r="AK217" s="279"/>
      <c r="AL217" s="279"/>
      <c r="AM217" s="279"/>
      <c r="AN217" s="279"/>
      <c r="AO217" s="279"/>
      <c r="AP217" s="279"/>
      <c r="AQ217" s="279"/>
      <c r="AR217" s="279"/>
      <c r="AS217" s="279"/>
      <c r="AT217" s="279"/>
      <c r="AU217" s="279"/>
      <c r="AV217" s="279"/>
      <c r="AW217" s="279"/>
      <c r="AX217" s="279"/>
      <c r="AY217" s="279"/>
      <c r="AZ217" s="279"/>
      <c r="BA217" s="279"/>
      <c r="BB217" s="279"/>
      <c r="BC217" s="279"/>
      <c r="BD217" s="279"/>
      <c r="BE217" s="279"/>
      <c r="BF217" s="279"/>
      <c r="BG217" s="279"/>
      <c r="BH217" s="279"/>
      <c r="BI217" s="279"/>
      <c r="BJ217" s="279"/>
      <c r="BK217" s="279"/>
      <c r="BL217" s="279"/>
    </row>
    <row r="218" spans="1:64" ht="15">
      <c r="A218" s="284">
        <v>4</v>
      </c>
      <c r="B218" s="277" t="s">
        <v>45</v>
      </c>
      <c r="C218" s="277"/>
      <c r="D218" s="283"/>
      <c r="E218" s="283"/>
      <c r="F218" s="283"/>
      <c r="G218" s="375"/>
      <c r="H218" s="283"/>
      <c r="I218" s="283">
        <f>I215-I216-I217</f>
        <v>710988</v>
      </c>
      <c r="J218" s="283"/>
      <c r="K218" s="283"/>
      <c r="L218" s="320"/>
      <c r="M218" s="319"/>
      <c r="N218" s="295"/>
      <c r="O218" s="296"/>
      <c r="P218" s="321"/>
      <c r="Q218" s="319"/>
      <c r="R218" s="295"/>
      <c r="S218" s="295"/>
      <c r="T218" s="295"/>
      <c r="U218" s="279"/>
      <c r="V218" s="279"/>
      <c r="W218" s="279"/>
      <c r="X218" s="279"/>
      <c r="Y218" s="279"/>
      <c r="Z218" s="279"/>
      <c r="AA218" s="279"/>
      <c r="AB218" s="279"/>
      <c r="AC218" s="279"/>
      <c r="AD218" s="279"/>
      <c r="AE218" s="279"/>
      <c r="AF218" s="279"/>
      <c r="AG218" s="279"/>
      <c r="AH218" s="279"/>
      <c r="AI218" s="279"/>
      <c r="AJ218" s="279"/>
      <c r="AK218" s="279"/>
      <c r="AL218" s="279"/>
      <c r="AM218" s="279"/>
      <c r="AN218" s="279"/>
      <c r="AO218" s="279"/>
      <c r="AP218" s="279"/>
      <c r="AQ218" s="279"/>
      <c r="AR218" s="279"/>
      <c r="AS218" s="279"/>
      <c r="AT218" s="279"/>
      <c r="AU218" s="279"/>
      <c r="AV218" s="279"/>
      <c r="AW218" s="279"/>
      <c r="AX218" s="279"/>
      <c r="AY218" s="279"/>
      <c r="AZ218" s="279"/>
      <c r="BA218" s="279"/>
      <c r="BB218" s="279"/>
      <c r="BC218" s="279"/>
      <c r="BD218" s="279"/>
      <c r="BE218" s="279"/>
      <c r="BF218" s="279"/>
      <c r="BG218" s="279"/>
      <c r="BH218" s="279"/>
      <c r="BI218" s="279"/>
      <c r="BJ218" s="279"/>
      <c r="BK218" s="279"/>
      <c r="BL218" s="279"/>
    </row>
    <row r="219" spans="1:64" ht="15">
      <c r="A219" s="284"/>
      <c r="B219" s="300"/>
      <c r="C219" s="277"/>
      <c r="D219" s="283"/>
      <c r="E219" s="283"/>
      <c r="F219" s="283"/>
      <c r="G219" s="375"/>
      <c r="H219" s="283"/>
      <c r="J219" s="283"/>
      <c r="K219" s="283"/>
      <c r="L219" s="320"/>
      <c r="M219" s="319"/>
      <c r="N219" s="295"/>
      <c r="O219" s="296"/>
      <c r="P219" s="321"/>
      <c r="Q219" s="319"/>
      <c r="R219" s="295"/>
      <c r="S219" s="295"/>
      <c r="T219" s="295"/>
      <c r="U219" s="279"/>
      <c r="V219" s="279"/>
      <c r="W219" s="279"/>
      <c r="X219" s="279"/>
      <c r="Y219" s="279"/>
      <c r="Z219" s="279"/>
      <c r="AA219" s="279"/>
      <c r="AB219" s="279"/>
      <c r="AC219" s="279"/>
      <c r="AD219" s="279"/>
      <c r="AE219" s="279"/>
      <c r="AF219" s="279"/>
      <c r="AG219" s="279"/>
      <c r="AH219" s="279"/>
      <c r="AI219" s="279"/>
      <c r="AJ219" s="279"/>
      <c r="AK219" s="279"/>
      <c r="AL219" s="279"/>
      <c r="AM219" s="279"/>
      <c r="AN219" s="279"/>
      <c r="AO219" s="279"/>
      <c r="AP219" s="279"/>
      <c r="AQ219" s="279"/>
      <c r="AR219" s="279"/>
      <c r="AS219" s="279"/>
      <c r="AT219" s="279"/>
      <c r="AU219" s="279"/>
      <c r="AV219" s="279"/>
      <c r="AW219" s="279"/>
      <c r="AX219" s="279"/>
      <c r="AY219" s="279"/>
      <c r="AZ219" s="279"/>
      <c r="BA219" s="279"/>
      <c r="BB219" s="279"/>
      <c r="BC219" s="279"/>
      <c r="BD219" s="279"/>
      <c r="BE219" s="279"/>
      <c r="BF219" s="279"/>
      <c r="BG219" s="279"/>
      <c r="BH219" s="279"/>
      <c r="BI219" s="279"/>
      <c r="BJ219" s="279"/>
      <c r="BK219" s="279"/>
      <c r="BL219" s="279"/>
    </row>
    <row r="220" spans="1:64" ht="15">
      <c r="A220" s="284">
        <v>5</v>
      </c>
      <c r="B220" s="277" t="s">
        <v>46</v>
      </c>
      <c r="C220" s="286"/>
      <c r="D220" s="376"/>
      <c r="E220" s="376"/>
      <c r="F220" s="376"/>
      <c r="G220" s="323"/>
      <c r="H220" s="283" t="s">
        <v>47</v>
      </c>
      <c r="I220" s="338">
        <f>IF(I215&gt;0,I218/I215,0)</f>
        <v>1</v>
      </c>
      <c r="J220" s="283"/>
      <c r="K220" s="283"/>
      <c r="L220" s="320"/>
      <c r="M220" s="319"/>
      <c r="N220" s="295"/>
      <c r="O220" s="296"/>
      <c r="P220" s="321"/>
      <c r="Q220" s="319"/>
      <c r="R220" s="295"/>
      <c r="S220" s="295"/>
      <c r="T220" s="295"/>
      <c r="U220" s="279"/>
      <c r="V220" s="279"/>
      <c r="W220" s="279"/>
      <c r="X220" s="279"/>
      <c r="Y220" s="279"/>
      <c r="Z220" s="279"/>
      <c r="AA220" s="279"/>
      <c r="AB220" s="279"/>
      <c r="AC220" s="279"/>
      <c r="AD220" s="279"/>
      <c r="AE220" s="279"/>
      <c r="AF220" s="279"/>
      <c r="AG220" s="279"/>
      <c r="AH220" s="279"/>
      <c r="AI220" s="279"/>
      <c r="AJ220" s="279"/>
      <c r="AK220" s="279"/>
      <c r="AL220" s="279"/>
      <c r="AM220" s="279"/>
      <c r="AN220" s="279"/>
      <c r="AO220" s="279"/>
      <c r="AP220" s="279"/>
      <c r="AQ220" s="279"/>
      <c r="AR220" s="279"/>
      <c r="AS220" s="279"/>
      <c r="AT220" s="279"/>
      <c r="AU220" s="279"/>
      <c r="AV220" s="279"/>
      <c r="AW220" s="279"/>
      <c r="AX220" s="279"/>
      <c r="AY220" s="279"/>
      <c r="AZ220" s="279"/>
      <c r="BA220" s="279"/>
      <c r="BB220" s="279"/>
      <c r="BC220" s="279"/>
      <c r="BD220" s="279"/>
      <c r="BE220" s="279"/>
      <c r="BF220" s="279"/>
      <c r="BG220" s="279"/>
      <c r="BH220" s="279"/>
      <c r="BI220" s="279"/>
      <c r="BJ220" s="279"/>
      <c r="BK220" s="279"/>
      <c r="BL220" s="279"/>
    </row>
    <row r="221" spans="1:64" ht="15">
      <c r="B221" s="275" t="s">
        <v>669</v>
      </c>
      <c r="J221" s="283"/>
      <c r="K221" s="283"/>
      <c r="L221" s="320"/>
      <c r="M221" s="319"/>
      <c r="N221" s="295"/>
      <c r="O221" s="296"/>
      <c r="P221" s="321"/>
      <c r="Q221" s="319"/>
      <c r="R221" s="295"/>
      <c r="S221" s="295"/>
      <c r="T221" s="295"/>
      <c r="U221" s="279"/>
      <c r="V221" s="279"/>
      <c r="W221" s="279"/>
      <c r="X221" s="279"/>
      <c r="Y221" s="279"/>
      <c r="Z221" s="279"/>
      <c r="AA221" s="279"/>
      <c r="AB221" s="279"/>
      <c r="AC221" s="279"/>
      <c r="AD221" s="279"/>
      <c r="AE221" s="279"/>
      <c r="AF221" s="279"/>
      <c r="AG221" s="279"/>
      <c r="AH221" s="279"/>
      <c r="AI221" s="279"/>
      <c r="AJ221" s="279"/>
      <c r="AK221" s="279"/>
      <c r="AL221" s="279"/>
      <c r="AM221" s="279"/>
      <c r="AN221" s="279"/>
      <c r="AO221" s="279"/>
      <c r="AP221" s="279"/>
      <c r="AQ221" s="279"/>
      <c r="AR221" s="279"/>
      <c r="AS221" s="279"/>
      <c r="AT221" s="279"/>
      <c r="AU221" s="279"/>
      <c r="AV221" s="279"/>
      <c r="AW221" s="279"/>
      <c r="AX221" s="279"/>
      <c r="AY221" s="279"/>
      <c r="AZ221" s="279"/>
      <c r="BA221" s="279"/>
      <c r="BB221" s="279"/>
      <c r="BC221" s="279"/>
      <c r="BD221" s="279"/>
      <c r="BE221" s="279"/>
      <c r="BF221" s="279"/>
      <c r="BG221" s="279"/>
      <c r="BH221" s="279"/>
      <c r="BI221" s="279"/>
      <c r="BJ221" s="279"/>
      <c r="BK221" s="279"/>
      <c r="BL221" s="279"/>
    </row>
    <row r="222" spans="1:64" ht="15">
      <c r="B222" s="276" t="s">
        <v>48</v>
      </c>
      <c r="J222" s="283"/>
      <c r="K222" s="283"/>
      <c r="L222" s="320"/>
      <c r="M222" s="319"/>
      <c r="N222" s="295"/>
      <c r="O222" s="296"/>
      <c r="P222" s="321"/>
      <c r="Q222" s="319"/>
      <c r="R222" s="295"/>
      <c r="S222" s="295"/>
      <c r="T222" s="295"/>
      <c r="U222" s="279"/>
      <c r="V222" s="279"/>
      <c r="W222" s="279"/>
      <c r="X222" s="279"/>
      <c r="Y222" s="279"/>
      <c r="Z222" s="279"/>
      <c r="AA222" s="279"/>
      <c r="AB222" s="279"/>
      <c r="AC222" s="279"/>
      <c r="AD222" s="279"/>
      <c r="AE222" s="279"/>
      <c r="AF222" s="279"/>
      <c r="AG222" s="279"/>
      <c r="AH222" s="279"/>
      <c r="AI222" s="279"/>
      <c r="AJ222" s="279"/>
      <c r="AK222" s="279"/>
      <c r="AL222" s="279"/>
      <c r="AM222" s="279"/>
      <c r="AN222" s="279"/>
      <c r="AO222" s="279"/>
      <c r="AP222" s="279"/>
      <c r="AQ222" s="279"/>
      <c r="AR222" s="279"/>
      <c r="AS222" s="279"/>
      <c r="AT222" s="279"/>
      <c r="AU222" s="279"/>
      <c r="AV222" s="279"/>
      <c r="AW222" s="279"/>
      <c r="AX222" s="279"/>
      <c r="AY222" s="279"/>
      <c r="AZ222" s="279"/>
      <c r="BA222" s="279"/>
      <c r="BB222" s="279"/>
      <c r="BC222" s="279"/>
      <c r="BD222" s="279"/>
      <c r="BE222" s="279"/>
      <c r="BF222" s="279"/>
      <c r="BG222" s="279"/>
      <c r="BH222" s="279"/>
      <c r="BI222" s="279"/>
      <c r="BJ222" s="279"/>
      <c r="BK222" s="279"/>
      <c r="BL222" s="279"/>
    </row>
    <row r="223" spans="1:64" ht="15">
      <c r="A223" s="284">
        <v>6</v>
      </c>
      <c r="B223" s="300" t="s">
        <v>49</v>
      </c>
      <c r="C223" s="300"/>
      <c r="D223" s="277"/>
      <c r="E223" s="277"/>
      <c r="F223" s="277"/>
      <c r="G223" s="281"/>
      <c r="H223" s="277"/>
      <c r="I223" s="283">
        <f>D149</f>
        <v>16639.47795</v>
      </c>
      <c r="J223" s="283"/>
      <c r="K223" s="283"/>
      <c r="L223" s="320"/>
      <c r="M223" s="377"/>
      <c r="N223" s="295"/>
      <c r="O223" s="296"/>
      <c r="P223" s="321"/>
      <c r="Q223" s="319"/>
      <c r="R223" s="295"/>
      <c r="S223" s="295"/>
      <c r="T223" s="295"/>
      <c r="U223" s="279"/>
      <c r="V223" s="279"/>
      <c r="W223" s="279"/>
      <c r="X223" s="279"/>
      <c r="Y223" s="279"/>
      <c r="Z223" s="279"/>
      <c r="AA223" s="279"/>
      <c r="AB223" s="279"/>
      <c r="AC223" s="279"/>
      <c r="AD223" s="279"/>
      <c r="AE223" s="279"/>
      <c r="AF223" s="279"/>
      <c r="AG223" s="279"/>
      <c r="AH223" s="279"/>
      <c r="AI223" s="279"/>
      <c r="AJ223" s="279"/>
      <c r="AK223" s="279"/>
      <c r="AL223" s="279"/>
      <c r="AM223" s="279"/>
      <c r="AN223" s="279"/>
      <c r="AO223" s="279"/>
      <c r="AP223" s="279"/>
      <c r="AQ223" s="279"/>
      <c r="AR223" s="279"/>
      <c r="AS223" s="279"/>
      <c r="AT223" s="279"/>
      <c r="AU223" s="279"/>
      <c r="AV223" s="279"/>
      <c r="AW223" s="279"/>
      <c r="AX223" s="279"/>
      <c r="AY223" s="279"/>
      <c r="AZ223" s="279"/>
      <c r="BA223" s="279"/>
      <c r="BB223" s="279"/>
      <c r="BC223" s="279"/>
      <c r="BD223" s="279"/>
      <c r="BE223" s="279"/>
      <c r="BF223" s="279"/>
      <c r="BG223" s="279"/>
      <c r="BH223" s="279"/>
      <c r="BI223" s="279"/>
      <c r="BJ223" s="279"/>
      <c r="BK223" s="279"/>
      <c r="BL223" s="279"/>
    </row>
    <row r="224" spans="1:64" ht="15.75" thickBot="1">
      <c r="A224" s="284">
        <v>7</v>
      </c>
      <c r="B224" s="374" t="s">
        <v>50</v>
      </c>
      <c r="C224" s="374"/>
      <c r="D224" s="298"/>
      <c r="E224" s="298"/>
      <c r="F224" s="283"/>
      <c r="G224" s="283"/>
      <c r="H224" s="283"/>
      <c r="I224" s="333">
        <v>0</v>
      </c>
      <c r="J224" s="283"/>
      <c r="K224" s="283"/>
      <c r="L224" s="320"/>
      <c r="M224"/>
      <c r="N224"/>
      <c r="O224"/>
      <c r="P224"/>
      <c r="Q224"/>
      <c r="R224"/>
      <c r="S224" s="295"/>
      <c r="T224" s="295"/>
      <c r="U224" s="279"/>
      <c r="V224" s="279"/>
      <c r="W224" s="279"/>
      <c r="X224" s="279"/>
      <c r="Y224" s="279"/>
      <c r="Z224" s="279"/>
      <c r="AA224" s="279"/>
      <c r="AB224" s="279"/>
      <c r="AC224" s="279"/>
      <c r="AD224" s="279"/>
      <c r="AE224" s="279"/>
      <c r="AF224" s="279"/>
      <c r="AG224" s="279"/>
      <c r="AH224" s="279"/>
      <c r="AI224" s="279"/>
      <c r="AJ224" s="279"/>
      <c r="AK224" s="279"/>
      <c r="AL224" s="279"/>
      <c r="AM224" s="279"/>
      <c r="AN224" s="279"/>
      <c r="AO224" s="279"/>
      <c r="AP224" s="279"/>
      <c r="AQ224" s="279"/>
      <c r="AR224" s="279"/>
      <c r="AS224" s="279"/>
      <c r="AT224" s="279"/>
      <c r="AU224" s="279"/>
      <c r="AV224" s="279"/>
      <c r="AW224" s="279"/>
      <c r="AX224" s="279"/>
      <c r="AY224" s="279"/>
      <c r="AZ224" s="279"/>
      <c r="BA224" s="279"/>
      <c r="BB224" s="279"/>
      <c r="BC224" s="279"/>
      <c r="BD224" s="279"/>
      <c r="BE224" s="279"/>
      <c r="BF224" s="279"/>
      <c r="BG224" s="279"/>
      <c r="BH224" s="279"/>
      <c r="BI224" s="279"/>
      <c r="BJ224" s="279"/>
      <c r="BK224" s="279"/>
      <c r="BL224" s="279"/>
    </row>
    <row r="225" spans="1:64" ht="15">
      <c r="A225" s="284">
        <v>8</v>
      </c>
      <c r="B225" s="277" t="s">
        <v>51</v>
      </c>
      <c r="C225" s="286"/>
      <c r="D225" s="376"/>
      <c r="E225" s="376"/>
      <c r="F225" s="376"/>
      <c r="G225" s="323"/>
      <c r="H225" s="376"/>
      <c r="I225" s="283">
        <f>+I223-I224</f>
        <v>16639.47795</v>
      </c>
      <c r="J225" s="283"/>
      <c r="K225" s="283"/>
      <c r="L225" s="320"/>
      <c r="M225"/>
      <c r="N225"/>
      <c r="O225"/>
      <c r="P225"/>
      <c r="Q225"/>
      <c r="R225"/>
      <c r="S225" s="295"/>
      <c r="T225" s="295"/>
      <c r="U225" s="279"/>
      <c r="V225" s="279"/>
      <c r="W225" s="279"/>
      <c r="X225" s="279"/>
      <c r="Y225" s="279"/>
      <c r="Z225" s="279"/>
      <c r="AA225" s="279"/>
      <c r="AB225" s="279"/>
      <c r="AC225" s="279"/>
      <c r="AD225" s="279"/>
      <c r="AE225" s="279"/>
      <c r="AF225" s="279"/>
      <c r="AG225" s="279"/>
      <c r="AH225" s="279"/>
      <c r="AI225" s="279"/>
      <c r="AJ225" s="279"/>
      <c r="AK225" s="279"/>
      <c r="AL225" s="279"/>
      <c r="AM225" s="279"/>
      <c r="AN225" s="279"/>
      <c r="AO225" s="279"/>
      <c r="AP225" s="279"/>
      <c r="AQ225" s="279"/>
      <c r="AR225" s="279"/>
      <c r="AS225" s="279"/>
      <c r="AT225" s="279"/>
      <c r="AU225" s="279"/>
      <c r="AV225" s="279"/>
      <c r="AW225" s="279"/>
      <c r="AX225" s="279"/>
      <c r="AY225" s="279"/>
      <c r="AZ225" s="279"/>
      <c r="BA225" s="279"/>
      <c r="BB225" s="279"/>
      <c r="BC225" s="279"/>
      <c r="BD225" s="279"/>
      <c r="BE225" s="279"/>
      <c r="BF225" s="279"/>
      <c r="BG225" s="279"/>
      <c r="BH225" s="279"/>
      <c r="BI225" s="279"/>
      <c r="BJ225" s="279"/>
      <c r="BK225" s="279"/>
      <c r="BL225" s="279"/>
    </row>
    <row r="226" spans="1:64" ht="15">
      <c r="A226" s="284"/>
      <c r="B226" s="277"/>
      <c r="C226" s="277"/>
      <c r="D226" s="283"/>
      <c r="E226" s="283"/>
      <c r="F226" s="283"/>
      <c r="G226" s="283"/>
      <c r="H226" s="300"/>
      <c r="J226" s="283"/>
      <c r="K226" s="283"/>
      <c r="L226" s="320"/>
      <c r="M226"/>
      <c r="N226"/>
      <c r="O226"/>
      <c r="P226"/>
      <c r="Q226"/>
      <c r="R226"/>
      <c r="S226" s="295"/>
      <c r="T226" s="295"/>
      <c r="U226" s="279"/>
      <c r="V226" s="279"/>
      <c r="W226" s="279"/>
      <c r="X226" s="279"/>
      <c r="Y226" s="279"/>
      <c r="Z226" s="279"/>
      <c r="AA226" s="279"/>
      <c r="AB226" s="279"/>
      <c r="AC226" s="279"/>
      <c r="AD226" s="279"/>
      <c r="AE226" s="279"/>
      <c r="AF226" s="279"/>
      <c r="AG226" s="279"/>
      <c r="AH226" s="279"/>
      <c r="AI226" s="279"/>
      <c r="AJ226" s="279"/>
      <c r="AK226" s="279"/>
      <c r="AL226" s="279"/>
      <c r="AM226" s="279"/>
      <c r="AN226" s="279"/>
      <c r="AO226" s="279"/>
      <c r="AP226" s="279"/>
      <c r="AQ226" s="279"/>
      <c r="AR226" s="279"/>
      <c r="AS226" s="279"/>
      <c r="AT226" s="279"/>
      <c r="AU226" s="279"/>
      <c r="AV226" s="279"/>
      <c r="AW226" s="279"/>
      <c r="AX226" s="279"/>
      <c r="AY226" s="279"/>
      <c r="AZ226" s="279"/>
      <c r="BA226" s="279"/>
      <c r="BB226" s="279"/>
      <c r="BC226" s="279"/>
      <c r="BD226" s="279"/>
      <c r="BE226" s="279"/>
      <c r="BF226" s="279"/>
      <c r="BG226" s="279"/>
      <c r="BH226" s="279"/>
      <c r="BI226" s="279"/>
      <c r="BJ226" s="279"/>
      <c r="BK226" s="279"/>
      <c r="BL226" s="279"/>
    </row>
    <row r="227" spans="1:64" ht="15">
      <c r="A227" s="284">
        <v>9</v>
      </c>
      <c r="B227" s="277" t="s">
        <v>52</v>
      </c>
      <c r="C227" s="277"/>
      <c r="D227" s="283"/>
      <c r="E227" s="283"/>
      <c r="F227" s="283"/>
      <c r="G227" s="283"/>
      <c r="H227" s="283"/>
      <c r="I227" s="332">
        <f>IF(I223&gt;0,I225/I223,0)</f>
        <v>1</v>
      </c>
      <c r="J227" s="283"/>
      <c r="K227" s="283"/>
      <c r="L227" s="320"/>
      <c r="M227"/>
      <c r="N227"/>
      <c r="O227"/>
      <c r="P227"/>
      <c r="Q227"/>
      <c r="R227"/>
      <c r="S227" s="295"/>
      <c r="T227" s="295"/>
      <c r="U227" s="279"/>
      <c r="V227" s="279"/>
      <c r="W227" s="279"/>
      <c r="X227" s="279"/>
      <c r="Y227" s="279"/>
      <c r="Z227" s="279"/>
      <c r="AA227" s="279"/>
      <c r="AB227" s="279"/>
      <c r="AC227" s="279"/>
      <c r="AD227" s="279"/>
      <c r="AE227" s="279"/>
      <c r="AF227" s="279"/>
      <c r="AG227" s="279"/>
      <c r="AH227" s="279"/>
      <c r="AI227" s="279"/>
      <c r="AJ227" s="279"/>
      <c r="AK227" s="279"/>
      <c r="AL227" s="279"/>
      <c r="AM227" s="279"/>
      <c r="AN227" s="279"/>
      <c r="AO227" s="279"/>
      <c r="AP227" s="279"/>
      <c r="AQ227" s="279"/>
      <c r="AR227" s="279"/>
      <c r="AS227" s="279"/>
      <c r="AT227" s="279"/>
      <c r="AU227" s="279"/>
      <c r="AV227" s="279"/>
      <c r="AW227" s="279"/>
      <c r="AX227" s="279"/>
      <c r="AY227" s="279"/>
      <c r="AZ227" s="279"/>
      <c r="BA227" s="279"/>
      <c r="BB227" s="279"/>
      <c r="BC227" s="279"/>
      <c r="BD227" s="279"/>
      <c r="BE227" s="279"/>
      <c r="BF227" s="279"/>
      <c r="BG227" s="279"/>
      <c r="BH227" s="279"/>
      <c r="BI227" s="279"/>
      <c r="BJ227" s="279"/>
      <c r="BK227" s="279"/>
      <c r="BL227" s="279"/>
    </row>
    <row r="228" spans="1:64" ht="15">
      <c r="A228" s="284">
        <v>10</v>
      </c>
      <c r="B228" s="277" t="s">
        <v>53</v>
      </c>
      <c r="C228" s="277"/>
      <c r="D228" s="283"/>
      <c r="E228" s="283"/>
      <c r="F228" s="283"/>
      <c r="G228" s="283"/>
      <c r="H228" s="277" t="s">
        <v>680</v>
      </c>
      <c r="I228" s="378">
        <f>I220</f>
        <v>1</v>
      </c>
      <c r="J228" s="283"/>
      <c r="K228" s="283"/>
      <c r="L228" s="320"/>
      <c r="M228"/>
      <c r="N228"/>
      <c r="O228"/>
      <c r="P228"/>
      <c r="Q228"/>
      <c r="R228"/>
      <c r="S228" s="295"/>
      <c r="T228" s="295"/>
      <c r="U228" s="279"/>
      <c r="V228" s="279"/>
      <c r="W228" s="279"/>
      <c r="X228" s="279"/>
      <c r="Y228" s="279"/>
      <c r="Z228" s="279"/>
      <c r="AA228" s="279"/>
      <c r="AB228" s="279"/>
      <c r="AC228" s="279"/>
      <c r="AD228" s="279"/>
      <c r="AE228" s="279"/>
      <c r="AF228" s="279"/>
      <c r="AG228" s="279"/>
      <c r="AH228" s="279"/>
      <c r="AI228" s="279"/>
      <c r="AJ228" s="279"/>
      <c r="AK228" s="279"/>
      <c r="AL228" s="279"/>
      <c r="AM228" s="279"/>
      <c r="AN228" s="279"/>
      <c r="AO228" s="279"/>
      <c r="AP228" s="279"/>
      <c r="AQ228" s="279"/>
      <c r="AR228" s="279"/>
      <c r="AS228" s="279"/>
      <c r="AT228" s="279"/>
      <c r="AU228" s="279"/>
      <c r="AV228" s="279"/>
      <c r="AW228" s="279"/>
      <c r="AX228" s="279"/>
      <c r="AY228" s="279"/>
      <c r="AZ228" s="279"/>
      <c r="BA228" s="279"/>
      <c r="BB228" s="279"/>
      <c r="BC228" s="279"/>
      <c r="BD228" s="279"/>
      <c r="BE228" s="279"/>
      <c r="BF228" s="279"/>
      <c r="BG228" s="279"/>
      <c r="BH228" s="279"/>
      <c r="BI228" s="279"/>
      <c r="BJ228" s="279"/>
      <c r="BK228" s="279"/>
      <c r="BL228" s="279"/>
    </row>
    <row r="229" spans="1:64" ht="15">
      <c r="A229" s="284">
        <v>11</v>
      </c>
      <c r="B229" s="277" t="s">
        <v>54</v>
      </c>
      <c r="C229" s="277"/>
      <c r="D229" s="277"/>
      <c r="E229" s="277"/>
      <c r="F229" s="277"/>
      <c r="G229" s="277"/>
      <c r="H229" s="277" t="s">
        <v>55</v>
      </c>
      <c r="I229" s="379">
        <f>+I228*I227</f>
        <v>1</v>
      </c>
      <c r="J229" s="283"/>
      <c r="K229" s="283"/>
      <c r="L229" s="320"/>
      <c r="M229"/>
      <c r="N229"/>
      <c r="O229"/>
      <c r="P229"/>
      <c r="Q229"/>
      <c r="R229"/>
      <c r="S229" s="295"/>
      <c r="T229" s="295"/>
      <c r="U229" s="279"/>
      <c r="V229" s="279"/>
      <c r="W229" s="279"/>
      <c r="X229" s="279"/>
      <c r="Y229" s="279"/>
      <c r="Z229" s="279"/>
      <c r="AA229" s="279"/>
      <c r="AB229" s="279"/>
      <c r="AC229" s="279"/>
      <c r="AD229" s="279"/>
      <c r="AE229" s="279"/>
      <c r="AF229" s="279"/>
      <c r="AG229" s="279"/>
      <c r="AH229" s="279"/>
      <c r="AI229" s="279"/>
      <c r="AJ229" s="279"/>
      <c r="AK229" s="279"/>
      <c r="AL229" s="279"/>
      <c r="AM229" s="279"/>
      <c r="AN229" s="279"/>
      <c r="AO229" s="279"/>
      <c r="AP229" s="279"/>
      <c r="AQ229" s="279"/>
      <c r="AR229" s="279"/>
      <c r="AS229" s="279"/>
      <c r="AT229" s="279"/>
      <c r="AU229" s="279"/>
      <c r="AV229" s="279"/>
      <c r="AW229" s="279"/>
      <c r="AX229" s="279"/>
      <c r="AY229" s="279"/>
      <c r="AZ229" s="279"/>
      <c r="BA229" s="279"/>
      <c r="BB229" s="279"/>
      <c r="BC229" s="279"/>
      <c r="BD229" s="279"/>
      <c r="BE229" s="279"/>
      <c r="BF229" s="279"/>
      <c r="BG229" s="279"/>
      <c r="BH229" s="279"/>
      <c r="BI229" s="279"/>
      <c r="BJ229" s="279"/>
      <c r="BK229" s="279"/>
      <c r="BL229" s="279"/>
    </row>
    <row r="230" spans="1:64" s="638" customFormat="1" ht="15">
      <c r="A230" s="645"/>
      <c r="B230" s="642"/>
      <c r="C230" s="642"/>
      <c r="D230" s="642"/>
      <c r="E230" s="642"/>
      <c r="F230" s="642"/>
      <c r="G230" s="642"/>
      <c r="H230" s="642"/>
      <c r="I230" s="658"/>
      <c r="J230" s="644"/>
      <c r="K230" s="644"/>
      <c r="L230" s="655"/>
      <c r="M230"/>
      <c r="N230"/>
      <c r="O230"/>
      <c r="P230"/>
      <c r="Q230"/>
      <c r="R230"/>
      <c r="S230" s="649"/>
      <c r="T230" s="649"/>
      <c r="U230" s="640"/>
      <c r="V230" s="640"/>
      <c r="W230" s="640"/>
      <c r="X230" s="640"/>
      <c r="Y230" s="640"/>
      <c r="Z230" s="640"/>
      <c r="AA230" s="640"/>
      <c r="AB230" s="640"/>
      <c r="AC230" s="640"/>
      <c r="AD230" s="640"/>
      <c r="AE230" s="640"/>
      <c r="AF230" s="640"/>
      <c r="AG230" s="640"/>
      <c r="AH230" s="640"/>
      <c r="AI230" s="640"/>
      <c r="AJ230" s="640"/>
      <c r="AK230" s="640"/>
      <c r="AL230" s="640"/>
      <c r="AM230" s="640"/>
      <c r="AN230" s="640"/>
      <c r="AO230" s="640"/>
      <c r="AP230" s="640"/>
      <c r="AQ230" s="640"/>
      <c r="AR230" s="640"/>
      <c r="AS230" s="640"/>
      <c r="AT230" s="640"/>
      <c r="AU230" s="640"/>
      <c r="AV230" s="640"/>
      <c r="AW230" s="640"/>
      <c r="AX230" s="640"/>
      <c r="AY230" s="640"/>
      <c r="AZ230" s="640"/>
      <c r="BA230" s="640"/>
      <c r="BB230" s="640"/>
      <c r="BC230" s="640"/>
      <c r="BD230" s="640"/>
      <c r="BE230" s="640"/>
      <c r="BF230" s="640"/>
      <c r="BG230" s="640"/>
      <c r="BH230" s="640"/>
      <c r="BI230" s="640"/>
      <c r="BJ230" s="640"/>
      <c r="BK230" s="640"/>
      <c r="BL230" s="640"/>
    </row>
    <row r="231" spans="1:64" ht="15.75" thickBot="1">
      <c r="A231" s="284" t="s">
        <v>669</v>
      </c>
      <c r="B231" s="276" t="s">
        <v>56</v>
      </c>
      <c r="C231" s="298"/>
      <c r="D231" s="381" t="s">
        <v>57</v>
      </c>
      <c r="E231" s="381" t="s">
        <v>680</v>
      </c>
      <c r="F231" s="283"/>
      <c r="G231" s="381" t="s">
        <v>58</v>
      </c>
      <c r="H231" s="283"/>
      <c r="I231" s="283"/>
      <c r="J231" s="283"/>
      <c r="K231" s="283"/>
      <c r="L231" s="320"/>
      <c r="M231"/>
      <c r="N231"/>
      <c r="O231"/>
      <c r="P231"/>
      <c r="Q231"/>
      <c r="R231"/>
      <c r="S231" s="295"/>
      <c r="T231" s="295"/>
      <c r="U231" s="279"/>
      <c r="V231" s="279"/>
      <c r="W231" s="279"/>
      <c r="X231" s="279"/>
      <c r="Y231" s="279"/>
      <c r="Z231" s="279"/>
      <c r="AA231" s="279"/>
      <c r="AB231" s="279"/>
      <c r="AC231" s="279"/>
      <c r="AD231" s="279"/>
      <c r="AE231" s="279"/>
      <c r="AF231" s="279"/>
      <c r="AG231" s="279"/>
      <c r="AH231" s="279"/>
      <c r="AI231" s="279"/>
      <c r="AJ231" s="279"/>
      <c r="AK231" s="279"/>
      <c r="AL231" s="279"/>
      <c r="AM231" s="279"/>
      <c r="AN231" s="279"/>
      <c r="AO231" s="279"/>
      <c r="AP231" s="279"/>
      <c r="AQ231" s="279"/>
      <c r="AR231" s="279"/>
      <c r="AS231" s="279"/>
      <c r="AT231" s="279"/>
      <c r="AU231" s="279"/>
      <c r="AV231" s="279"/>
      <c r="AW231" s="279"/>
      <c r="AX231" s="279"/>
      <c r="AY231" s="279"/>
      <c r="AZ231" s="279"/>
      <c r="BA231" s="279"/>
      <c r="BB231" s="279"/>
      <c r="BC231" s="279"/>
      <c r="BD231" s="279"/>
      <c r="BE231" s="279"/>
      <c r="BF231" s="279"/>
      <c r="BG231" s="279"/>
      <c r="BH231" s="279"/>
      <c r="BI231" s="279"/>
      <c r="BJ231" s="279"/>
      <c r="BK231" s="279"/>
      <c r="BL231" s="279"/>
    </row>
    <row r="232" spans="1:64" ht="15">
      <c r="A232" s="284">
        <v>12</v>
      </c>
      <c r="B232" s="276" t="s">
        <v>728</v>
      </c>
      <c r="C232" s="283"/>
      <c r="D232" s="335">
        <f>'ERS2_Wages &amp; Salary Allocator'!F6</f>
        <v>51274.825400000002</v>
      </c>
      <c r="E232" s="382">
        <v>0</v>
      </c>
      <c r="F232" s="382"/>
      <c r="G232" s="283">
        <f>D232*E232</f>
        <v>0</v>
      </c>
      <c r="H232" s="283"/>
      <c r="I232" s="283"/>
      <c r="J232" s="283"/>
      <c r="K232" s="283"/>
      <c r="L232" s="320"/>
      <c r="M232"/>
      <c r="N232"/>
      <c r="O232"/>
      <c r="P232"/>
      <c r="Q232"/>
      <c r="R232"/>
      <c r="S232" s="295"/>
      <c r="T232" s="295"/>
      <c r="U232" s="279"/>
      <c r="V232" s="279"/>
      <c r="W232" s="279"/>
      <c r="X232" s="279"/>
      <c r="Y232" s="279"/>
      <c r="Z232" s="279"/>
      <c r="AA232" s="279"/>
      <c r="AB232" s="279"/>
      <c r="AC232" s="279"/>
      <c r="AD232" s="279"/>
      <c r="AE232" s="279"/>
      <c r="AF232" s="279"/>
      <c r="AG232" s="279"/>
      <c r="AH232" s="279"/>
      <c r="AI232" s="279"/>
      <c r="AJ232" s="279"/>
      <c r="AK232" s="279"/>
      <c r="AL232" s="279"/>
      <c r="AM232" s="279"/>
      <c r="AN232" s="279"/>
      <c r="AO232" s="279"/>
      <c r="AP232" s="279"/>
      <c r="AQ232" s="279"/>
      <c r="AR232" s="279"/>
      <c r="AS232" s="279"/>
      <c r="AT232" s="279"/>
      <c r="AU232" s="279"/>
      <c r="AV232" s="279"/>
      <c r="AW232" s="279"/>
      <c r="AX232" s="279"/>
      <c r="AY232" s="279"/>
      <c r="AZ232" s="279"/>
      <c r="BA232" s="279"/>
      <c r="BB232" s="279"/>
      <c r="BC232" s="279"/>
      <c r="BD232" s="279"/>
      <c r="BE232" s="279"/>
      <c r="BF232" s="279"/>
      <c r="BG232" s="279"/>
      <c r="BH232" s="279"/>
      <c r="BI232" s="279"/>
      <c r="BJ232" s="279"/>
      <c r="BK232" s="279"/>
      <c r="BL232" s="279"/>
    </row>
    <row r="233" spans="1:64" ht="15">
      <c r="A233" s="284">
        <v>13</v>
      </c>
      <c r="B233" s="276" t="s">
        <v>731</v>
      </c>
      <c r="C233" s="283"/>
      <c r="D233" s="335">
        <f>'ERS2_Wages &amp; Salary Allocator'!F7</f>
        <v>14798.897950000002</v>
      </c>
      <c r="E233" s="382">
        <f>+I220</f>
        <v>1</v>
      </c>
      <c r="F233" s="382"/>
      <c r="G233" s="283">
        <f>D233*E233</f>
        <v>14798.897950000002</v>
      </c>
      <c r="H233" s="283"/>
      <c r="I233" s="283"/>
      <c r="J233" s="283"/>
      <c r="K233" s="283"/>
      <c r="L233" s="278"/>
      <c r="M233"/>
      <c r="N233"/>
      <c r="O233"/>
      <c r="P233"/>
      <c r="Q233"/>
      <c r="R233"/>
      <c r="S233" s="295"/>
      <c r="T233" s="295"/>
      <c r="U233" s="279"/>
      <c r="V233" s="279"/>
      <c r="W233" s="279"/>
      <c r="X233" s="279"/>
      <c r="Y233" s="279"/>
      <c r="Z233" s="279"/>
      <c r="AA233" s="279"/>
      <c r="AB233" s="279"/>
      <c r="AC233" s="279"/>
      <c r="AD233" s="279"/>
      <c r="AE233" s="279"/>
      <c r="AF233" s="279"/>
      <c r="AG233" s="279"/>
      <c r="AH233" s="279"/>
      <c r="AI233" s="279"/>
      <c r="AJ233" s="279"/>
      <c r="AK233" s="279"/>
      <c r="AL233" s="279"/>
      <c r="AM233" s="279"/>
      <c r="AN233" s="279"/>
      <c r="AO233" s="279"/>
      <c r="AP233" s="279"/>
      <c r="AQ233" s="279"/>
      <c r="AR233" s="279"/>
      <c r="AS233" s="279"/>
      <c r="AT233" s="279"/>
      <c r="AU233" s="279"/>
      <c r="AV233" s="279"/>
      <c r="AW233" s="279"/>
      <c r="AX233" s="279"/>
      <c r="AY233" s="279"/>
      <c r="AZ233" s="279"/>
      <c r="BA233" s="279"/>
      <c r="BB233" s="279"/>
      <c r="BC233" s="279"/>
      <c r="BD233" s="279"/>
      <c r="BE233" s="279"/>
      <c r="BF233" s="279"/>
      <c r="BG233" s="279"/>
      <c r="BH233" s="279"/>
      <c r="BI233" s="279"/>
      <c r="BJ233" s="279"/>
      <c r="BK233" s="279"/>
      <c r="BL233" s="279"/>
    </row>
    <row r="234" spans="1:64" ht="15">
      <c r="A234" s="284">
        <v>14</v>
      </c>
      <c r="B234" s="276" t="s">
        <v>733</v>
      </c>
      <c r="C234" s="283"/>
      <c r="D234" s="335">
        <f>'ERS2_Wages &amp; Salary Allocator'!F8</f>
        <v>1006017.06235</v>
      </c>
      <c r="E234" s="382">
        <v>0</v>
      </c>
      <c r="F234" s="382"/>
      <c r="G234" s="283">
        <f>D234*E234</f>
        <v>0</v>
      </c>
      <c r="H234" s="283"/>
      <c r="I234" s="383" t="s">
        <v>59</v>
      </c>
      <c r="J234" s="283"/>
      <c r="K234" s="283"/>
      <c r="L234" s="320"/>
      <c r="M234" s="380"/>
      <c r="N234" s="302"/>
      <c r="O234" s="321"/>
      <c r="P234" s="319"/>
      <c r="Q234" s="295"/>
      <c r="R234" s="295"/>
      <c r="S234" s="295"/>
      <c r="T234" s="295"/>
      <c r="U234" s="279"/>
      <c r="V234" s="279"/>
      <c r="W234" s="279"/>
      <c r="X234" s="279"/>
      <c r="Y234" s="279"/>
      <c r="Z234" s="279"/>
      <c r="AA234" s="279"/>
      <c r="AB234" s="279"/>
      <c r="AC234" s="279"/>
      <c r="AD234" s="279"/>
      <c r="AE234" s="279"/>
      <c r="AF234" s="279"/>
      <c r="AG234" s="279"/>
      <c r="AH234" s="279"/>
      <c r="AI234" s="279"/>
      <c r="AJ234" s="279"/>
      <c r="AK234" s="279"/>
      <c r="AL234" s="279"/>
      <c r="AM234" s="279"/>
      <c r="AN234" s="279"/>
      <c r="AO234" s="279"/>
      <c r="AP234" s="279"/>
      <c r="AQ234" s="279"/>
      <c r="AR234" s="279"/>
      <c r="AS234" s="279"/>
      <c r="AT234" s="279"/>
      <c r="AU234" s="279"/>
      <c r="AV234" s="279"/>
      <c r="AW234" s="279"/>
      <c r="AX234" s="279"/>
      <c r="AY234" s="279"/>
      <c r="AZ234" s="279"/>
      <c r="BA234" s="279"/>
      <c r="BB234" s="279"/>
      <c r="BC234" s="279"/>
      <c r="BD234" s="279"/>
      <c r="BE234" s="279"/>
      <c r="BF234" s="279"/>
      <c r="BG234" s="279"/>
      <c r="BH234" s="279"/>
      <c r="BI234" s="279"/>
      <c r="BJ234" s="279"/>
      <c r="BK234" s="279"/>
      <c r="BL234" s="279"/>
    </row>
    <row r="235" spans="1:64" ht="15.75" thickBot="1">
      <c r="A235" s="284">
        <v>15</v>
      </c>
      <c r="B235" s="276" t="s">
        <v>60</v>
      </c>
      <c r="C235" s="283"/>
      <c r="D235" s="333">
        <f>'ERS2_Wages &amp; Salary Allocator'!F9</f>
        <v>199232.66020000004</v>
      </c>
      <c r="E235" s="382">
        <v>0</v>
      </c>
      <c r="F235" s="382"/>
      <c r="G235" s="298">
        <f>D235*E235</f>
        <v>0</v>
      </c>
      <c r="H235" s="283"/>
      <c r="I235" s="288" t="s">
        <v>61</v>
      </c>
      <c r="J235" s="283"/>
      <c r="K235" s="283"/>
      <c r="L235" s="320"/>
      <c r="M235" s="319"/>
      <c r="N235" s="295"/>
      <c r="O235" s="321"/>
      <c r="P235" s="321"/>
      <c r="Q235" s="319"/>
      <c r="R235" s="295"/>
      <c r="S235" s="295"/>
      <c r="T235" s="295"/>
      <c r="U235" s="279"/>
      <c r="V235" s="279"/>
      <c r="W235" s="279"/>
      <c r="X235" s="279"/>
      <c r="Y235" s="279"/>
      <c r="Z235" s="279"/>
      <c r="AA235" s="279"/>
      <c r="AB235" s="279"/>
      <c r="AC235" s="279"/>
      <c r="AD235" s="279"/>
      <c r="AE235" s="279"/>
      <c r="AF235" s="279"/>
      <c r="AG235" s="279"/>
      <c r="AH235" s="279"/>
      <c r="AI235" s="279"/>
      <c r="AJ235" s="279"/>
      <c r="AK235" s="279"/>
      <c r="AL235" s="279"/>
      <c r="AM235" s="279"/>
      <c r="AN235" s="279"/>
      <c r="AO235" s="279"/>
      <c r="AP235" s="279"/>
      <c r="AQ235" s="279"/>
      <c r="AR235" s="279"/>
      <c r="AS235" s="279"/>
      <c r="AT235" s="279"/>
      <c r="AU235" s="279"/>
      <c r="AV235" s="279"/>
      <c r="AW235" s="279"/>
      <c r="AX235" s="279"/>
      <c r="AY235" s="279"/>
      <c r="AZ235" s="279"/>
      <c r="BA235" s="279"/>
      <c r="BB235" s="279"/>
      <c r="BC235" s="279"/>
      <c r="BD235" s="279"/>
      <c r="BE235" s="279"/>
      <c r="BF235" s="279"/>
      <c r="BG235" s="279"/>
      <c r="BH235" s="279"/>
      <c r="BI235" s="279"/>
      <c r="BJ235" s="279"/>
      <c r="BK235" s="279"/>
      <c r="BL235" s="279"/>
    </row>
    <row r="236" spans="1:64" ht="15">
      <c r="A236" s="284">
        <v>16</v>
      </c>
      <c r="B236" s="276" t="s">
        <v>62</v>
      </c>
      <c r="C236" s="283"/>
      <c r="D236" s="283">
        <f>SUM(D232:D235)</f>
        <v>1271323.4459000002</v>
      </c>
      <c r="E236" s="283"/>
      <c r="F236" s="283"/>
      <c r="G236" s="283">
        <f>SUM(G232:G235)</f>
        <v>14798.897950000002</v>
      </c>
      <c r="H236" s="281" t="s">
        <v>63</v>
      </c>
      <c r="I236" s="332">
        <f>IF(G236&gt;0,G233/D236,0)</f>
        <v>1.1640545132496561E-2</v>
      </c>
      <c r="J236" s="283" t="s">
        <v>64</v>
      </c>
      <c r="K236" s="283" t="s">
        <v>736</v>
      </c>
      <c r="L236" s="320"/>
      <c r="M236" s="319"/>
      <c r="N236" s="295"/>
      <c r="O236" s="321"/>
      <c r="P236" s="321"/>
      <c r="Q236" s="319"/>
      <c r="R236" s="295"/>
      <c r="S236" s="295"/>
      <c r="T236" s="295"/>
      <c r="U236" s="279"/>
      <c r="V236" s="279"/>
      <c r="W236" s="279"/>
      <c r="X236" s="279"/>
      <c r="Y236" s="279"/>
      <c r="Z236" s="279"/>
      <c r="AA236" s="279"/>
      <c r="AB236" s="279"/>
      <c r="AC236" s="279"/>
      <c r="AD236" s="279"/>
      <c r="AE236" s="279"/>
      <c r="AF236" s="279"/>
      <c r="AG236" s="279"/>
      <c r="AH236" s="279"/>
      <c r="AI236" s="279"/>
      <c r="AJ236" s="279"/>
      <c r="AK236" s="279"/>
      <c r="AL236" s="279"/>
      <c r="AM236" s="279"/>
      <c r="AN236" s="279"/>
      <c r="AO236" s="279"/>
      <c r="AP236" s="279"/>
      <c r="AQ236" s="279"/>
      <c r="AR236" s="279"/>
      <c r="AS236" s="279"/>
      <c r="AT236" s="279"/>
      <c r="AU236" s="279"/>
      <c r="AV236" s="279"/>
      <c r="AW236" s="279"/>
      <c r="AX236" s="279"/>
      <c r="AY236" s="279"/>
      <c r="AZ236" s="279"/>
      <c r="BA236" s="279"/>
      <c r="BB236" s="279"/>
      <c r="BC236" s="279"/>
      <c r="BD236" s="279"/>
      <c r="BE236" s="279"/>
      <c r="BF236" s="279"/>
      <c r="BG236" s="279"/>
      <c r="BH236" s="279"/>
      <c r="BI236" s="279"/>
      <c r="BJ236" s="279"/>
      <c r="BK236" s="279"/>
      <c r="BL236" s="279"/>
    </row>
    <row r="237" spans="1:64" s="638" customFormat="1" ht="15">
      <c r="A237" s="645"/>
      <c r="B237" s="641"/>
      <c r="C237" s="644"/>
      <c r="D237" s="644"/>
      <c r="E237" s="644"/>
      <c r="F237" s="644"/>
      <c r="G237" s="644"/>
      <c r="H237" s="643"/>
      <c r="I237" s="657"/>
      <c r="J237" s="644"/>
      <c r="K237" s="644"/>
      <c r="L237" s="655"/>
      <c r="M237" s="654"/>
      <c r="N237" s="649"/>
      <c r="O237" s="656"/>
      <c r="P237" s="656"/>
      <c r="Q237" s="654"/>
      <c r="R237" s="649"/>
      <c r="S237" s="649"/>
      <c r="T237" s="649"/>
      <c r="U237" s="640"/>
      <c r="V237" s="640"/>
      <c r="W237" s="640"/>
      <c r="X237" s="640"/>
      <c r="Y237" s="640"/>
      <c r="Z237" s="640"/>
      <c r="AA237" s="640"/>
      <c r="AB237" s="640"/>
      <c r="AC237" s="640"/>
      <c r="AD237" s="640"/>
      <c r="AE237" s="640"/>
      <c r="AF237" s="640"/>
      <c r="AG237" s="640"/>
      <c r="AH237" s="640"/>
      <c r="AI237" s="640"/>
      <c r="AJ237" s="640"/>
      <c r="AK237" s="640"/>
      <c r="AL237" s="640"/>
      <c r="AM237" s="640"/>
      <c r="AN237" s="640"/>
      <c r="AO237" s="640"/>
      <c r="AP237" s="640"/>
      <c r="AQ237" s="640"/>
      <c r="AR237" s="640"/>
      <c r="AS237" s="640"/>
      <c r="AT237" s="640"/>
      <c r="AU237" s="640"/>
      <c r="AV237" s="640"/>
      <c r="AW237" s="640"/>
      <c r="AX237" s="640"/>
      <c r="AY237" s="640"/>
      <c r="AZ237" s="640"/>
      <c r="BA237" s="640"/>
      <c r="BB237" s="640"/>
      <c r="BC237" s="640"/>
      <c r="BD237" s="640"/>
      <c r="BE237" s="640"/>
      <c r="BF237" s="640"/>
      <c r="BG237" s="640"/>
      <c r="BH237" s="640"/>
      <c r="BI237" s="640"/>
      <c r="BJ237" s="640"/>
      <c r="BK237" s="640"/>
      <c r="BL237" s="640"/>
    </row>
    <row r="238" spans="1:64" ht="15.75">
      <c r="A238" s="284"/>
      <c r="B238" s="276" t="s">
        <v>65</v>
      </c>
      <c r="C238" s="283"/>
      <c r="D238" s="325" t="s">
        <v>57</v>
      </c>
      <c r="E238" s="283"/>
      <c r="F238" s="283"/>
      <c r="G238" s="375" t="s">
        <v>66</v>
      </c>
      <c r="H238" s="361" t="s">
        <v>669</v>
      </c>
      <c r="I238" s="334" t="s">
        <v>67</v>
      </c>
      <c r="J238" s="283"/>
      <c r="K238" s="283"/>
      <c r="L238" s="320" t="s">
        <v>669</v>
      </c>
      <c r="M238" s="319"/>
      <c r="N238" s="295"/>
      <c r="O238" s="321"/>
      <c r="P238" s="321"/>
      <c r="Q238" s="319"/>
      <c r="R238" s="295"/>
      <c r="S238" s="295"/>
      <c r="T238" s="295"/>
      <c r="U238" s="279"/>
      <c r="V238" s="279"/>
      <c r="W238" s="279"/>
      <c r="X238" s="279"/>
      <c r="Y238" s="279"/>
      <c r="Z238" s="279"/>
      <c r="AA238" s="279"/>
      <c r="AB238" s="279"/>
      <c r="AC238" s="279"/>
      <c r="AD238" s="279"/>
      <c r="AE238" s="279"/>
      <c r="AF238" s="279"/>
      <c r="AG238" s="279"/>
      <c r="AH238" s="279"/>
      <c r="AI238" s="279"/>
      <c r="AJ238" s="279"/>
      <c r="AK238" s="279"/>
      <c r="AL238" s="279"/>
      <c r="AM238" s="279"/>
      <c r="AN238" s="279"/>
      <c r="AO238" s="279"/>
      <c r="AP238" s="279"/>
      <c r="AQ238" s="279"/>
      <c r="AR238" s="279"/>
      <c r="AS238" s="279"/>
      <c r="AT238" s="279"/>
      <c r="AU238" s="279"/>
      <c r="AV238" s="279"/>
      <c r="AW238" s="279"/>
      <c r="AX238" s="279"/>
      <c r="AY238" s="279"/>
      <c r="AZ238" s="279"/>
      <c r="BA238" s="279"/>
      <c r="BB238" s="279"/>
      <c r="BC238" s="279"/>
      <c r="BD238" s="279"/>
      <c r="BE238" s="279"/>
      <c r="BF238" s="279"/>
      <c r="BG238" s="279"/>
      <c r="BH238" s="279"/>
      <c r="BI238" s="279"/>
      <c r="BJ238" s="279"/>
      <c r="BK238" s="279"/>
      <c r="BL238" s="279"/>
    </row>
    <row r="239" spans="1:64" s="638" customFormat="1" ht="15">
      <c r="A239" s="284">
        <v>17</v>
      </c>
      <c r="B239" s="276" t="s">
        <v>68</v>
      </c>
      <c r="C239" s="283"/>
      <c r="D239" s="335">
        <f>D88</f>
        <v>46660766</v>
      </c>
      <c r="E239" s="644"/>
      <c r="F239" s="644"/>
      <c r="G239" s="284" t="s">
        <v>69</v>
      </c>
      <c r="H239" s="361"/>
      <c r="I239" s="284" t="s">
        <v>70</v>
      </c>
      <c r="J239" s="283"/>
      <c r="K239" s="281" t="s">
        <v>738</v>
      </c>
      <c r="L239" s="655"/>
      <c r="M239" s="654"/>
      <c r="N239" s="649"/>
      <c r="O239" s="656"/>
      <c r="P239" s="656"/>
      <c r="Q239" s="654"/>
      <c r="R239" s="649"/>
      <c r="S239" s="649"/>
      <c r="T239" s="649"/>
      <c r="U239" s="640"/>
      <c r="V239" s="640"/>
      <c r="W239" s="640"/>
      <c r="X239" s="640"/>
      <c r="Y239" s="640"/>
      <c r="Z239" s="640"/>
      <c r="AA239" s="640"/>
      <c r="AB239" s="640"/>
      <c r="AC239" s="640"/>
      <c r="AD239" s="640"/>
      <c r="AE239" s="640"/>
      <c r="AF239" s="640"/>
      <c r="AG239" s="640"/>
      <c r="AH239" s="640"/>
      <c r="AI239" s="640"/>
      <c r="AJ239" s="640"/>
      <c r="AK239" s="640"/>
      <c r="AL239" s="640"/>
      <c r="AM239" s="640"/>
      <c r="AN239" s="640"/>
      <c r="AO239" s="640"/>
      <c r="AP239" s="640"/>
      <c r="AQ239" s="640"/>
      <c r="AR239" s="640"/>
      <c r="AS239" s="640"/>
      <c r="AT239" s="640"/>
      <c r="AU239" s="640"/>
      <c r="AV239" s="640"/>
      <c r="AW239" s="640"/>
      <c r="AX239" s="640"/>
      <c r="AY239" s="640"/>
      <c r="AZ239" s="640"/>
      <c r="BA239" s="640"/>
      <c r="BB239" s="640"/>
      <c r="BC239" s="640"/>
      <c r="BD239" s="640"/>
      <c r="BE239" s="640"/>
      <c r="BF239" s="640"/>
      <c r="BG239" s="640"/>
      <c r="BH239" s="640"/>
      <c r="BI239" s="640"/>
      <c r="BJ239" s="640"/>
      <c r="BK239" s="640"/>
      <c r="BL239" s="640"/>
    </row>
    <row r="240" spans="1:64" ht="15">
      <c r="A240" s="284">
        <v>18</v>
      </c>
      <c r="B240" s="276" t="s">
        <v>71</v>
      </c>
      <c r="C240" s="283"/>
      <c r="D240" s="335">
        <v>0</v>
      </c>
      <c r="E240" s="283"/>
      <c r="F240" s="300"/>
      <c r="G240" s="293">
        <f>IF(D242&gt;0,D239/D242,0)</f>
        <v>1</v>
      </c>
      <c r="H240" s="375" t="s">
        <v>72</v>
      </c>
      <c r="I240" s="293">
        <f>I236</f>
        <v>1.1640545132496561E-2</v>
      </c>
      <c r="J240" s="361" t="s">
        <v>63</v>
      </c>
      <c r="K240" s="293">
        <f>I240*G240</f>
        <v>1.1640545132496561E-2</v>
      </c>
      <c r="L240" s="320"/>
      <c r="M240" s="319"/>
      <c r="N240" s="295"/>
      <c r="O240" s="321"/>
      <c r="P240" s="321"/>
      <c r="Q240" s="319"/>
      <c r="R240" s="295"/>
      <c r="S240" s="295"/>
      <c r="T240" s="295"/>
      <c r="U240" s="279"/>
      <c r="V240" s="279"/>
      <c r="W240" s="279"/>
      <c r="X240" s="279"/>
      <c r="Y240" s="279"/>
      <c r="Z240" s="279"/>
      <c r="AA240" s="279"/>
      <c r="AB240" s="279"/>
      <c r="AC240" s="279"/>
      <c r="AD240" s="279"/>
      <c r="AE240" s="279"/>
      <c r="AF240" s="279"/>
      <c r="AG240" s="279"/>
      <c r="AH240" s="279"/>
      <c r="AI240" s="279"/>
      <c r="AJ240" s="279"/>
      <c r="AK240" s="279"/>
      <c r="AL240" s="279"/>
      <c r="AM240" s="279"/>
      <c r="AN240" s="279"/>
      <c r="AO240" s="279"/>
      <c r="AP240" s="279"/>
      <c r="AQ240" s="279"/>
      <c r="AR240" s="279"/>
      <c r="AS240" s="279"/>
      <c r="AT240" s="279"/>
      <c r="AU240" s="279"/>
      <c r="AV240" s="279"/>
      <c r="AW240" s="279"/>
      <c r="AX240" s="279"/>
      <c r="AY240" s="279"/>
      <c r="AZ240" s="279"/>
      <c r="BA240" s="279"/>
      <c r="BB240" s="279"/>
      <c r="BC240" s="279"/>
      <c r="BD240" s="279"/>
      <c r="BE240" s="279"/>
      <c r="BF240" s="279"/>
      <c r="BG240" s="279"/>
      <c r="BH240" s="279"/>
      <c r="BI240" s="279"/>
      <c r="BJ240" s="279"/>
      <c r="BK240" s="279"/>
      <c r="BL240" s="279"/>
    </row>
    <row r="241" spans="1:64" ht="15.75" thickBot="1">
      <c r="A241" s="284">
        <v>19</v>
      </c>
      <c r="B241" s="384" t="s">
        <v>73</v>
      </c>
      <c r="C241" s="298"/>
      <c r="D241" s="333">
        <v>0</v>
      </c>
      <c r="E241" s="283"/>
      <c r="F241" s="300"/>
      <c r="L241" s="320"/>
      <c r="M241" s="319"/>
      <c r="N241" s="295"/>
      <c r="O241" s="321"/>
      <c r="P241" s="321"/>
      <c r="Q241" s="319"/>
      <c r="R241" s="295"/>
      <c r="S241" s="295"/>
      <c r="T241" s="295"/>
      <c r="U241" s="279"/>
      <c r="V241" s="279"/>
      <c r="W241" s="279"/>
      <c r="X241" s="279"/>
      <c r="Y241" s="279"/>
      <c r="Z241" s="279"/>
      <c r="AA241" s="279"/>
      <c r="AB241" s="279"/>
      <c r="AC241" s="279"/>
      <c r="AD241" s="279"/>
      <c r="AE241" s="279"/>
      <c r="AF241" s="279"/>
      <c r="AG241" s="279"/>
      <c r="AH241" s="279"/>
      <c r="AI241" s="279"/>
      <c r="AJ241" s="279"/>
      <c r="AK241" s="279"/>
      <c r="AL241" s="279"/>
      <c r="AM241" s="279"/>
      <c r="AN241" s="279"/>
      <c r="AO241" s="279"/>
      <c r="AP241" s="279"/>
      <c r="AQ241" s="279"/>
      <c r="AR241" s="279"/>
      <c r="AS241" s="279"/>
      <c r="AT241" s="279"/>
      <c r="AU241" s="279"/>
      <c r="AV241" s="279"/>
      <c r="AW241" s="279"/>
      <c r="AX241" s="279"/>
      <c r="AY241" s="279"/>
      <c r="AZ241" s="279"/>
      <c r="BA241" s="279"/>
      <c r="BB241" s="279"/>
      <c r="BC241" s="279"/>
      <c r="BD241" s="279"/>
      <c r="BE241" s="279"/>
      <c r="BF241" s="279"/>
      <c r="BG241" s="279"/>
      <c r="BH241" s="279"/>
      <c r="BI241" s="279"/>
      <c r="BJ241" s="279"/>
      <c r="BK241" s="279"/>
      <c r="BL241" s="279"/>
    </row>
    <row r="242" spans="1:64" ht="15">
      <c r="A242" s="284">
        <v>20</v>
      </c>
      <c r="B242" s="276" t="s">
        <v>74</v>
      </c>
      <c r="C242" s="283"/>
      <c r="D242" s="283">
        <f>D239+D240+D241</f>
        <v>46660766</v>
      </c>
      <c r="E242" s="283"/>
      <c r="F242" s="283"/>
      <c r="G242" s="283" t="s">
        <v>669</v>
      </c>
      <c r="H242" s="283"/>
      <c r="I242" s="283"/>
      <c r="J242" s="283"/>
      <c r="K242" s="283"/>
      <c r="L242" s="320"/>
      <c r="M242" s="319"/>
      <c r="N242" s="295"/>
      <c r="O242" s="321"/>
      <c r="P242" s="321"/>
      <c r="Q242" s="319"/>
      <c r="R242" s="295"/>
      <c r="S242" s="295"/>
      <c r="T242" s="295"/>
      <c r="U242" s="279"/>
      <c r="V242" s="279"/>
      <c r="W242" s="279"/>
      <c r="X242" s="279"/>
      <c r="Y242" s="279"/>
      <c r="Z242" s="279"/>
      <c r="AA242" s="279"/>
      <c r="AB242" s="279"/>
      <c r="AC242" s="279"/>
      <c r="AD242" s="279"/>
      <c r="AE242" s="279"/>
      <c r="AF242" s="279"/>
      <c r="AG242" s="279"/>
      <c r="AH242" s="279"/>
      <c r="AI242" s="279"/>
      <c r="AJ242" s="279"/>
      <c r="AK242" s="279"/>
      <c r="AL242" s="279"/>
      <c r="AM242" s="279"/>
      <c r="AN242" s="279"/>
      <c r="AO242" s="279"/>
      <c r="AP242" s="279"/>
      <c r="AQ242" s="279"/>
      <c r="AR242" s="279"/>
      <c r="AS242" s="279"/>
      <c r="AT242" s="279"/>
      <c r="AU242" s="279"/>
      <c r="AV242" s="279"/>
      <c r="AW242" s="279"/>
      <c r="AX242" s="279"/>
      <c r="AY242" s="279"/>
      <c r="AZ242" s="279"/>
      <c r="BA242" s="279"/>
      <c r="BB242" s="279"/>
      <c r="BC242" s="279"/>
      <c r="BD242" s="279"/>
      <c r="BE242" s="279"/>
      <c r="BF242" s="279"/>
      <c r="BG242" s="279"/>
      <c r="BH242" s="279"/>
      <c r="BI242" s="279"/>
      <c r="BJ242" s="279"/>
      <c r="BK242" s="279"/>
      <c r="BL242" s="279"/>
    </row>
    <row r="243" spans="1:64" ht="15">
      <c r="E243" s="283"/>
      <c r="F243" s="283"/>
      <c r="G243" s="283"/>
      <c r="H243" s="283"/>
      <c r="I243" s="283"/>
      <c r="J243" s="283"/>
      <c r="K243" s="283"/>
      <c r="L243" s="320"/>
      <c r="M243" s="319"/>
      <c r="N243" s="295"/>
      <c r="O243" s="321"/>
      <c r="P243" s="321"/>
      <c r="Q243" s="319"/>
      <c r="R243" s="295"/>
      <c r="S243" s="295"/>
      <c r="T243" s="295"/>
      <c r="U243" s="279"/>
      <c r="V243" s="279"/>
      <c r="W243" s="279"/>
      <c r="X243" s="279"/>
      <c r="Y243" s="279"/>
      <c r="Z243" s="279"/>
      <c r="AA243" s="279"/>
      <c r="AB243" s="279"/>
      <c r="AC243" s="279"/>
      <c r="AD243" s="279"/>
      <c r="AE243" s="279"/>
      <c r="AF243" s="279"/>
      <c r="AG243" s="279"/>
      <c r="AH243" s="279"/>
      <c r="AI243" s="279"/>
      <c r="AJ243" s="279"/>
      <c r="AK243" s="279"/>
      <c r="AL243" s="279"/>
      <c r="AM243" s="279"/>
      <c r="AN243" s="279"/>
      <c r="AO243" s="279"/>
      <c r="AP243" s="279"/>
      <c r="AQ243" s="279"/>
      <c r="AR243" s="279"/>
      <c r="AS243" s="279"/>
      <c r="AT243" s="279"/>
      <c r="AU243" s="279"/>
      <c r="AV243" s="279"/>
      <c r="AW243" s="279"/>
      <c r="AX243" s="279"/>
      <c r="AY243" s="279"/>
      <c r="AZ243" s="279"/>
      <c r="BA243" s="279"/>
      <c r="BB243" s="279"/>
      <c r="BC243" s="279"/>
      <c r="BD243" s="279"/>
      <c r="BE243" s="279"/>
      <c r="BF243" s="279"/>
      <c r="BG243" s="279"/>
      <c r="BH243" s="279"/>
      <c r="BI243" s="279"/>
      <c r="BJ243" s="279"/>
      <c r="BK243" s="279"/>
      <c r="BL243" s="279"/>
    </row>
    <row r="244" spans="1:64" ht="15.75" thickBot="1">
      <c r="A244" s="284"/>
      <c r="B244" s="276" t="s">
        <v>75</v>
      </c>
      <c r="C244" s="283"/>
      <c r="D244" s="381" t="s">
        <v>57</v>
      </c>
      <c r="E244" s="283"/>
      <c r="F244" s="283"/>
      <c r="G244" s="283"/>
      <c r="H244" s="283"/>
      <c r="J244" s="283"/>
      <c r="K244" s="283"/>
      <c r="L244" s="320"/>
      <c r="M244" s="319"/>
      <c r="N244" s="295"/>
      <c r="O244" s="321"/>
      <c r="P244" s="321"/>
      <c r="Q244" s="319"/>
      <c r="R244" s="295"/>
      <c r="S244" s="295"/>
      <c r="T244" s="295"/>
      <c r="U244" s="279"/>
      <c r="V244" s="279"/>
      <c r="W244" s="279"/>
      <c r="X244" s="279"/>
      <c r="Y244" s="279"/>
      <c r="Z244" s="279"/>
      <c r="AA244" s="279"/>
      <c r="AB244" s="279"/>
      <c r="AC244" s="279"/>
      <c r="AD244" s="279"/>
      <c r="AE244" s="279"/>
      <c r="AF244" s="279"/>
      <c r="AG244" s="279"/>
      <c r="AH244" s="279"/>
      <c r="AI244" s="279"/>
      <c r="AJ244" s="279"/>
      <c r="AK244" s="279"/>
      <c r="AL244" s="279"/>
      <c r="AM244" s="279"/>
      <c r="AN244" s="279"/>
      <c r="AO244" s="279"/>
      <c r="AP244" s="279"/>
      <c r="AQ244" s="279"/>
      <c r="AR244" s="279"/>
      <c r="AS244" s="279"/>
      <c r="AT244" s="279"/>
      <c r="AU244" s="279"/>
      <c r="AV244" s="279"/>
      <c r="AW244" s="279"/>
      <c r="AX244" s="279"/>
      <c r="AY244" s="279"/>
      <c r="AZ244" s="279"/>
      <c r="BA244" s="279"/>
      <c r="BB244" s="279"/>
      <c r="BC244" s="279"/>
      <c r="BD244" s="279"/>
      <c r="BE244" s="279"/>
      <c r="BF244" s="279"/>
      <c r="BG244" s="279"/>
      <c r="BH244" s="279"/>
      <c r="BI244" s="279"/>
      <c r="BJ244" s="279"/>
      <c r="BK244" s="279"/>
      <c r="BL244" s="279"/>
    </row>
    <row r="245" spans="1:64" ht="15">
      <c r="A245" s="284">
        <v>21</v>
      </c>
      <c r="B245" s="283" t="s">
        <v>76</v>
      </c>
      <c r="C245" s="346" t="s">
        <v>77</v>
      </c>
      <c r="D245" s="385">
        <f>'EIA 412 INCOME STATEMENT'!C23</f>
        <v>175123</v>
      </c>
      <c r="E245" s="283"/>
      <c r="F245" s="283"/>
      <c r="G245" s="283"/>
      <c r="H245" s="283"/>
      <c r="I245" s="283"/>
      <c r="J245" s="283"/>
      <c r="K245" s="283"/>
      <c r="L245" s="320"/>
      <c r="M245" s="319"/>
      <c r="N245" s="295"/>
      <c r="O245" s="321"/>
      <c r="P245" s="321"/>
      <c r="Q245" s="319"/>
      <c r="R245" s="295"/>
      <c r="S245" s="295"/>
      <c r="T245" s="295"/>
      <c r="U245" s="279"/>
      <c r="V245" s="279"/>
      <c r="W245" s="279"/>
      <c r="X245" s="279"/>
      <c r="Y245" s="279"/>
      <c r="Z245" s="279"/>
      <c r="AA245" s="279"/>
      <c r="AB245" s="279"/>
      <c r="AC245" s="279"/>
      <c r="AD245" s="279"/>
      <c r="AE245" s="279"/>
      <c r="AF245" s="279"/>
      <c r="AG245" s="279"/>
      <c r="AH245" s="279"/>
      <c r="AI245" s="279"/>
      <c r="AJ245" s="279"/>
      <c r="AK245" s="279"/>
      <c r="AL245" s="279"/>
      <c r="AM245" s="279"/>
      <c r="AN245" s="279"/>
      <c r="AO245" s="279"/>
      <c r="AP245" s="279"/>
      <c r="AQ245" s="279"/>
      <c r="AR245" s="279"/>
      <c r="AS245" s="279"/>
      <c r="AT245" s="279"/>
      <c r="AU245" s="279"/>
      <c r="AV245" s="279"/>
      <c r="AW245" s="279"/>
      <c r="AX245" s="279"/>
      <c r="AY245" s="279"/>
      <c r="AZ245" s="279"/>
      <c r="BA245" s="279"/>
      <c r="BB245" s="279"/>
      <c r="BC245" s="279"/>
      <c r="BD245" s="279"/>
      <c r="BE245" s="279"/>
      <c r="BF245" s="279"/>
      <c r="BG245" s="279"/>
      <c r="BH245" s="279"/>
      <c r="BI245" s="279"/>
      <c r="BJ245" s="279"/>
      <c r="BK245" s="279"/>
      <c r="BL245" s="279"/>
    </row>
    <row r="246" spans="1:64" ht="15">
      <c r="A246" s="284"/>
      <c r="B246" s="276"/>
      <c r="C246" s="283"/>
      <c r="D246" s="283"/>
      <c r="E246" s="283"/>
      <c r="F246" s="283"/>
      <c r="G246" s="375" t="s">
        <v>78</v>
      </c>
      <c r="H246" s="283"/>
      <c r="I246" s="283"/>
      <c r="J246" s="283"/>
      <c r="K246" s="283"/>
      <c r="L246" s="320"/>
      <c r="M246" s="319"/>
      <c r="N246" s="295"/>
      <c r="O246" s="321"/>
      <c r="P246" s="321"/>
      <c r="Q246" s="319"/>
      <c r="R246" s="295"/>
      <c r="S246" s="295"/>
      <c r="T246" s="295"/>
      <c r="U246" s="279"/>
      <c r="V246" s="279"/>
      <c r="W246" s="279"/>
      <c r="X246" s="279"/>
      <c r="Y246" s="279"/>
      <c r="Z246" s="279"/>
      <c r="AA246" s="279"/>
      <c r="AB246" s="279"/>
      <c r="AC246" s="279"/>
      <c r="AD246" s="279"/>
      <c r="AE246" s="279"/>
      <c r="AF246" s="279"/>
      <c r="AG246" s="279"/>
      <c r="AH246" s="279"/>
      <c r="AI246" s="279"/>
      <c r="AJ246" s="279"/>
      <c r="AK246" s="279"/>
      <c r="AL246" s="279"/>
      <c r="AM246" s="279"/>
      <c r="AN246" s="279"/>
      <c r="AO246" s="279"/>
      <c r="AP246" s="279"/>
      <c r="AQ246" s="279"/>
      <c r="AR246" s="279"/>
      <c r="AS246" s="279"/>
      <c r="AT246" s="279"/>
      <c r="AU246" s="279"/>
      <c r="AV246" s="279"/>
      <c r="AW246" s="279"/>
      <c r="AX246" s="279"/>
      <c r="AY246" s="279"/>
      <c r="AZ246" s="279"/>
      <c r="BA246" s="279"/>
      <c r="BB246" s="279"/>
      <c r="BC246" s="279"/>
      <c r="BD246" s="279"/>
      <c r="BE246" s="279"/>
      <c r="BF246" s="279"/>
      <c r="BG246" s="279"/>
      <c r="BH246" s="279"/>
      <c r="BI246" s="279"/>
      <c r="BJ246" s="279"/>
      <c r="BK246" s="279"/>
      <c r="BL246" s="279"/>
    </row>
    <row r="247" spans="1:64" ht="15.75" thickBot="1">
      <c r="A247" s="284"/>
      <c r="B247" s="276"/>
      <c r="D247" s="289" t="s">
        <v>57</v>
      </c>
      <c r="E247" s="289" t="s">
        <v>79</v>
      </c>
      <c r="F247" s="283"/>
      <c r="G247" s="289" t="s">
        <v>80</v>
      </c>
      <c r="H247" s="283"/>
      <c r="I247" s="289" t="s">
        <v>81</v>
      </c>
      <c r="J247" s="283"/>
      <c r="K247" s="283"/>
      <c r="L247" s="320"/>
      <c r="M247" s="319"/>
      <c r="N247" s="295"/>
      <c r="O247" s="321"/>
      <c r="P247" s="321"/>
      <c r="Q247" s="319"/>
      <c r="R247" s="295"/>
      <c r="S247" s="295"/>
      <c r="T247" s="295"/>
      <c r="U247" s="279"/>
      <c r="V247" s="279"/>
      <c r="W247" s="279"/>
      <c r="X247" s="279"/>
      <c r="Y247" s="279"/>
      <c r="Z247" s="279"/>
      <c r="AA247" s="279"/>
      <c r="AB247" s="279"/>
      <c r="AC247" s="279"/>
      <c r="AD247" s="279"/>
      <c r="AE247" s="279"/>
      <c r="AF247" s="279"/>
      <c r="AG247" s="279"/>
      <c r="AH247" s="279"/>
      <c r="AI247" s="279"/>
      <c r="AJ247" s="279"/>
      <c r="AK247" s="279"/>
      <c r="AL247" s="279"/>
      <c r="AM247" s="279"/>
      <c r="AN247" s="279"/>
      <c r="AO247" s="279"/>
      <c r="AP247" s="279"/>
      <c r="AQ247" s="279"/>
      <c r="AR247" s="279"/>
      <c r="AS247" s="279"/>
      <c r="AT247" s="279"/>
      <c r="AU247" s="279"/>
      <c r="AV247" s="279"/>
      <c r="AW247" s="279"/>
      <c r="AX247" s="279"/>
      <c r="AY247" s="279"/>
      <c r="AZ247" s="279"/>
      <c r="BA247" s="279"/>
      <c r="BB247" s="279"/>
      <c r="BC247" s="279"/>
      <c r="BD247" s="279"/>
      <c r="BE247" s="279"/>
      <c r="BF247" s="279"/>
      <c r="BG247" s="279"/>
      <c r="BH247" s="279"/>
      <c r="BI247" s="279"/>
      <c r="BJ247" s="279"/>
      <c r="BK247" s="279"/>
      <c r="BL247" s="279"/>
    </row>
    <row r="248" spans="1:64" ht="15">
      <c r="A248" s="284">
        <v>22</v>
      </c>
      <c r="B248" s="276" t="s">
        <v>82</v>
      </c>
      <c r="C248" s="278" t="s">
        <v>83</v>
      </c>
      <c r="D248" s="335">
        <f>'EIA 412 BALANCE SHEET'!F32</f>
        <v>4405556</v>
      </c>
      <c r="E248" s="386">
        <f>D248/D250</f>
        <v>0.11787564118730981</v>
      </c>
      <c r="F248" s="387"/>
      <c r="G248" s="388">
        <f>IF(D248&gt;0,D245/D248,0)</f>
        <v>3.9750487793141207E-2</v>
      </c>
      <c r="I248" s="387">
        <f>G248*E248</f>
        <v>4.6856142361248517E-3</v>
      </c>
      <c r="J248" s="389" t="s">
        <v>84</v>
      </c>
      <c r="L248" s="320"/>
      <c r="M248" s="319"/>
      <c r="N248" s="295"/>
      <c r="O248" s="321"/>
      <c r="P248" s="321"/>
      <c r="Q248" s="319"/>
      <c r="R248" s="295"/>
      <c r="S248" s="295"/>
      <c r="T248" s="295"/>
      <c r="U248" s="279"/>
      <c r="V248" s="279"/>
      <c r="W248" s="279"/>
      <c r="X248" s="279"/>
      <c r="Y248" s="279"/>
      <c r="Z248" s="279"/>
      <c r="AA248" s="279"/>
      <c r="AB248" s="279"/>
      <c r="AC248" s="279"/>
      <c r="AD248" s="279"/>
      <c r="AE248" s="279"/>
      <c r="AF248" s="279"/>
      <c r="AG248" s="279"/>
      <c r="AH248" s="279"/>
      <c r="AI248" s="279"/>
      <c r="AJ248" s="279"/>
      <c r="AK248" s="279"/>
      <c r="AL248" s="279"/>
      <c r="AM248" s="279"/>
      <c r="AN248" s="279"/>
      <c r="AO248" s="279"/>
      <c r="AP248" s="279"/>
      <c r="AQ248" s="279"/>
      <c r="AR248" s="279"/>
      <c r="AS248" s="279"/>
      <c r="AT248" s="279"/>
      <c r="AU248" s="279"/>
      <c r="AV248" s="279"/>
      <c r="AW248" s="279"/>
      <c r="AX248" s="279"/>
      <c r="AY248" s="279"/>
      <c r="AZ248" s="279"/>
      <c r="BA248" s="279"/>
      <c r="BB248" s="279"/>
      <c r="BC248" s="279"/>
      <c r="BD248" s="279"/>
      <c r="BE248" s="279"/>
      <c r="BF248" s="279"/>
      <c r="BG248" s="279"/>
      <c r="BH248" s="279"/>
      <c r="BI248" s="279"/>
      <c r="BJ248" s="279"/>
      <c r="BK248" s="279"/>
      <c r="BL248" s="279"/>
    </row>
    <row r="249" spans="1:64" ht="15.75" thickBot="1">
      <c r="A249" s="284">
        <v>23</v>
      </c>
      <c r="B249" s="276" t="s">
        <v>85</v>
      </c>
      <c r="C249" s="278" t="s">
        <v>86</v>
      </c>
      <c r="D249" s="333">
        <f>'EIA 412 BALANCE SHEET'!F15</f>
        <v>32969053</v>
      </c>
      <c r="E249" s="386">
        <f>D249/D250</f>
        <v>0.88212435881269013</v>
      </c>
      <c r="F249" s="387"/>
      <c r="G249" s="390">
        <f>I252</f>
        <v>0.12379999999999999</v>
      </c>
      <c r="I249" s="391">
        <f>G249*E249</f>
        <v>0.10920699562101104</v>
      </c>
      <c r="J249" s="283"/>
      <c r="L249" s="320"/>
      <c r="M249" s="319"/>
      <c r="N249" s="295"/>
      <c r="O249" s="321"/>
      <c r="P249" s="321"/>
      <c r="Q249" s="319"/>
      <c r="R249" s="295"/>
      <c r="S249" s="295"/>
      <c r="T249" s="295"/>
      <c r="U249" s="279"/>
      <c r="V249" s="279"/>
      <c r="W249" s="279"/>
      <c r="X249" s="279"/>
      <c r="Y249" s="279"/>
      <c r="Z249" s="279"/>
      <c r="AA249" s="279"/>
      <c r="AB249" s="279"/>
      <c r="AC249" s="279"/>
      <c r="AD249" s="279"/>
      <c r="AE249" s="279"/>
      <c r="AF249" s="279"/>
      <c r="AG249" s="279"/>
      <c r="AH249" s="279"/>
      <c r="AI249" s="279"/>
      <c r="AJ249" s="279"/>
      <c r="AK249" s="279"/>
      <c r="AL249" s="279"/>
      <c r="AM249" s="279"/>
      <c r="AN249" s="279"/>
      <c r="AO249" s="279"/>
      <c r="AP249" s="279"/>
      <c r="AQ249" s="279"/>
      <c r="AR249" s="279"/>
      <c r="AS249" s="279"/>
      <c r="AT249" s="279"/>
      <c r="AU249" s="279"/>
      <c r="AV249" s="279"/>
      <c r="AW249" s="279"/>
      <c r="AX249" s="279"/>
      <c r="AY249" s="279"/>
      <c r="AZ249" s="279"/>
      <c r="BA249" s="279"/>
      <c r="BB249" s="279"/>
      <c r="BC249" s="279"/>
      <c r="BD249" s="279"/>
      <c r="BE249" s="279"/>
      <c r="BF249" s="279"/>
      <c r="BG249" s="279"/>
      <c r="BH249" s="279"/>
      <c r="BI249" s="279"/>
      <c r="BJ249" s="279"/>
      <c r="BK249" s="279"/>
      <c r="BL249" s="279"/>
    </row>
    <row r="250" spans="1:64" ht="15">
      <c r="A250" s="284">
        <v>24</v>
      </c>
      <c r="B250" s="276" t="s">
        <v>87</v>
      </c>
      <c r="C250" s="346"/>
      <c r="D250" s="283">
        <f>SUM(D248:D249)</f>
        <v>37374609</v>
      </c>
      <c r="E250" s="386">
        <f>SUM(E248:E249)</f>
        <v>1</v>
      </c>
      <c r="F250" s="387"/>
      <c r="G250" s="387"/>
      <c r="I250" s="387">
        <f>SUM(I248:I249)</f>
        <v>0.11389260985713588</v>
      </c>
      <c r="J250" s="389" t="s">
        <v>88</v>
      </c>
      <c r="L250" s="320"/>
      <c r="M250" s="319"/>
      <c r="N250" s="295"/>
      <c r="O250" s="321"/>
      <c r="P250" s="321"/>
      <c r="Q250" s="319"/>
      <c r="R250" s="295"/>
      <c r="S250" s="295"/>
      <c r="T250" s="295"/>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79"/>
      <c r="AY250" s="279"/>
      <c r="AZ250" s="279"/>
      <c r="BA250" s="279"/>
      <c r="BB250" s="279"/>
      <c r="BC250" s="279"/>
      <c r="BD250" s="279"/>
      <c r="BE250" s="279"/>
      <c r="BF250" s="279"/>
      <c r="BG250" s="279"/>
      <c r="BH250" s="279"/>
      <c r="BI250" s="279"/>
      <c r="BJ250" s="279"/>
      <c r="BK250" s="279"/>
      <c r="BL250" s="279"/>
    </row>
    <row r="251" spans="1:64" ht="15">
      <c r="A251" s="284" t="s">
        <v>669</v>
      </c>
      <c r="B251" s="276"/>
      <c r="D251" s="283"/>
      <c r="E251" s="283" t="s">
        <v>669</v>
      </c>
      <c r="F251" s="283"/>
      <c r="G251" s="283"/>
      <c r="H251" s="283"/>
      <c r="I251" s="387"/>
      <c r="L251" s="320"/>
      <c r="M251" s="319"/>
      <c r="N251" s="295"/>
      <c r="O251" s="321"/>
      <c r="P251" s="321"/>
      <c r="Q251" s="319"/>
      <c r="R251" s="295"/>
      <c r="S251" s="295"/>
      <c r="T251" s="295"/>
      <c r="U251" s="279"/>
      <c r="V251" s="279"/>
      <c r="W251" s="279"/>
      <c r="X251" s="279"/>
      <c r="Y251" s="279"/>
      <c r="Z251" s="279"/>
      <c r="AA251" s="279"/>
      <c r="AB251" s="279"/>
      <c r="AC251" s="279"/>
      <c r="AD251" s="279"/>
      <c r="AE251" s="279"/>
      <c r="AF251" s="279"/>
      <c r="AG251" s="279"/>
      <c r="AH251" s="279"/>
      <c r="AI251" s="279"/>
      <c r="AJ251" s="279"/>
      <c r="AK251" s="279"/>
      <c r="AL251" s="279"/>
      <c r="AM251" s="279"/>
      <c r="AN251" s="279"/>
      <c r="AO251" s="279"/>
      <c r="AP251" s="279"/>
      <c r="AQ251" s="279"/>
      <c r="AR251" s="279"/>
      <c r="AS251" s="279"/>
      <c r="AT251" s="279"/>
      <c r="AU251" s="279"/>
      <c r="AV251" s="279"/>
      <c r="AW251" s="279"/>
      <c r="AX251" s="279"/>
      <c r="AY251" s="279"/>
      <c r="AZ251" s="279"/>
      <c r="BA251" s="279"/>
      <c r="BB251" s="279"/>
      <c r="BC251" s="279"/>
      <c r="BD251" s="279"/>
      <c r="BE251" s="279"/>
      <c r="BF251" s="279"/>
      <c r="BG251" s="279"/>
      <c r="BH251" s="279"/>
      <c r="BI251" s="279"/>
      <c r="BJ251" s="279"/>
      <c r="BK251" s="279"/>
      <c r="BL251" s="279"/>
    </row>
    <row r="252" spans="1:64" ht="15">
      <c r="A252" s="284">
        <v>25</v>
      </c>
      <c r="D252" s="275" t="s">
        <v>89</v>
      </c>
      <c r="E252" s="283"/>
      <c r="F252" s="283"/>
      <c r="G252" s="283"/>
      <c r="H252" s="283"/>
      <c r="I252" s="392">
        <v>0.12379999999999999</v>
      </c>
      <c r="L252" s="320"/>
      <c r="M252" s="319"/>
      <c r="N252" s="295"/>
      <c r="O252" s="321"/>
      <c r="P252" s="321"/>
      <c r="Q252" s="319"/>
      <c r="R252" s="295"/>
      <c r="S252" s="295"/>
      <c r="T252" s="295"/>
      <c r="U252" s="279"/>
      <c r="V252" s="279"/>
      <c r="W252" s="279"/>
      <c r="X252" s="279"/>
      <c r="Y252" s="279"/>
      <c r="Z252" s="279"/>
      <c r="AA252" s="279"/>
      <c r="AB252" s="279"/>
      <c r="AC252" s="279"/>
      <c r="AD252" s="279"/>
      <c r="AE252" s="279"/>
      <c r="AF252" s="279"/>
      <c r="AG252" s="279"/>
      <c r="AH252" s="279"/>
      <c r="AI252" s="279"/>
      <c r="AJ252" s="279"/>
      <c r="AK252" s="279"/>
      <c r="AL252" s="279"/>
      <c r="AM252" s="279"/>
      <c r="AN252" s="279"/>
      <c r="AO252" s="279"/>
      <c r="AP252" s="279"/>
      <c r="AQ252" s="279"/>
      <c r="AR252" s="279"/>
      <c r="AS252" s="279"/>
      <c r="AT252" s="279"/>
      <c r="AU252" s="279"/>
      <c r="AV252" s="279"/>
      <c r="AW252" s="279"/>
      <c r="AX252" s="279"/>
      <c r="AY252" s="279"/>
      <c r="AZ252" s="279"/>
      <c r="BA252" s="279"/>
      <c r="BB252" s="279"/>
      <c r="BC252" s="279"/>
      <c r="BD252" s="279"/>
      <c r="BE252" s="279"/>
      <c r="BF252" s="279"/>
      <c r="BG252" s="279"/>
      <c r="BH252" s="279"/>
      <c r="BI252" s="279"/>
      <c r="BJ252" s="279"/>
      <c r="BK252" s="279"/>
      <c r="BL252" s="279"/>
    </row>
    <row r="253" spans="1:64" ht="15">
      <c r="A253" s="284">
        <v>26</v>
      </c>
      <c r="B253" s="300"/>
      <c r="D253" s="300"/>
      <c r="E253" s="300"/>
      <c r="F253" s="300"/>
      <c r="G253" s="300" t="s">
        <v>90</v>
      </c>
      <c r="H253" s="300"/>
      <c r="I253" s="382">
        <f>IF(G248&gt;0,I250/G248,0)</f>
        <v>2.8651877292632273</v>
      </c>
      <c r="J253" s="300"/>
      <c r="K253" s="283"/>
      <c r="L253" s="320"/>
      <c r="M253" s="319"/>
      <c r="N253" s="295"/>
      <c r="O253" s="321"/>
      <c r="P253" s="321"/>
      <c r="Q253" s="319"/>
      <c r="R253" s="295"/>
      <c r="S253" s="295"/>
      <c r="T253" s="295"/>
      <c r="U253" s="279"/>
      <c r="V253" s="279"/>
      <c r="W253" s="279"/>
      <c r="X253" s="279"/>
      <c r="Y253" s="279"/>
      <c r="Z253" s="279"/>
      <c r="AA253" s="279"/>
      <c r="AB253" s="279"/>
      <c r="AC253" s="279"/>
      <c r="AD253" s="279"/>
      <c r="AE253" s="279"/>
      <c r="AF253" s="279"/>
      <c r="AG253" s="279"/>
      <c r="AH253" s="279"/>
      <c r="AI253" s="279"/>
      <c r="AJ253" s="279"/>
      <c r="AK253" s="279"/>
      <c r="AL253" s="279"/>
      <c r="AM253" s="279"/>
      <c r="AN253" s="279"/>
      <c r="AO253" s="279"/>
      <c r="AP253" s="279"/>
      <c r="AQ253" s="279"/>
      <c r="AR253" s="279"/>
      <c r="AS253" s="279"/>
      <c r="AT253" s="279"/>
      <c r="AU253" s="279"/>
      <c r="AV253" s="279"/>
      <c r="AW253" s="279"/>
      <c r="AX253" s="279"/>
      <c r="AY253" s="279"/>
      <c r="AZ253" s="279"/>
      <c r="BA253" s="279"/>
      <c r="BB253" s="279"/>
      <c r="BC253" s="279"/>
      <c r="BD253" s="279"/>
      <c r="BE253" s="279"/>
      <c r="BF253" s="279"/>
      <c r="BG253" s="279"/>
      <c r="BH253" s="279"/>
      <c r="BI253" s="279"/>
      <c r="BJ253" s="279"/>
      <c r="BK253" s="279"/>
      <c r="BL253" s="279"/>
    </row>
    <row r="254" spans="1:64" ht="15">
      <c r="A254" s="284"/>
      <c r="B254" s="276" t="s">
        <v>91</v>
      </c>
      <c r="C254" s="277"/>
      <c r="D254" s="277"/>
      <c r="E254" s="277"/>
      <c r="F254" s="277"/>
      <c r="G254" s="277"/>
      <c r="H254" s="277"/>
      <c r="I254" s="277"/>
      <c r="J254" s="277"/>
      <c r="K254" s="277"/>
      <c r="L254" s="283"/>
      <c r="M254" s="319"/>
      <c r="N254" s="295"/>
      <c r="O254" s="321"/>
      <c r="P254" s="321"/>
      <c r="Q254" s="319"/>
      <c r="R254" s="295"/>
      <c r="S254" s="295"/>
      <c r="T254" s="295"/>
      <c r="U254" s="279"/>
      <c r="V254" s="279"/>
      <c r="W254" s="279"/>
      <c r="X254" s="279"/>
      <c r="Y254" s="279"/>
      <c r="Z254" s="279"/>
      <c r="AA254" s="279"/>
      <c r="AB254" s="279"/>
      <c r="AC254" s="279"/>
      <c r="AD254" s="279"/>
      <c r="AE254" s="279"/>
      <c r="AF254" s="279"/>
      <c r="AG254" s="279"/>
      <c r="AH254" s="279"/>
      <c r="AI254" s="279"/>
      <c r="AJ254" s="279"/>
      <c r="AK254" s="279"/>
      <c r="AL254" s="279"/>
      <c r="AM254" s="279"/>
      <c r="AN254" s="279"/>
      <c r="AO254" s="279"/>
      <c r="AP254" s="279"/>
      <c r="AQ254" s="279"/>
      <c r="AR254" s="279"/>
      <c r="AS254" s="279"/>
      <c r="AT254" s="279"/>
      <c r="AU254" s="279"/>
      <c r="AV254" s="279"/>
      <c r="AW254" s="279"/>
      <c r="AX254" s="279"/>
      <c r="AY254" s="279"/>
      <c r="AZ254" s="279"/>
      <c r="BA254" s="279"/>
      <c r="BB254" s="279"/>
      <c r="BC254" s="279"/>
      <c r="BD254" s="279"/>
      <c r="BE254" s="279"/>
      <c r="BF254" s="279"/>
      <c r="BG254" s="279"/>
      <c r="BH254" s="279"/>
      <c r="BI254" s="279"/>
      <c r="BJ254" s="279"/>
      <c r="BK254" s="279"/>
      <c r="BL254" s="279"/>
    </row>
    <row r="255" spans="1:64" ht="15.75" thickBot="1">
      <c r="A255" s="284"/>
      <c r="B255" s="276"/>
      <c r="C255" s="276"/>
      <c r="D255" s="276"/>
      <c r="E255" s="276"/>
      <c r="F255" s="276"/>
      <c r="G255" s="276"/>
      <c r="H255" s="276"/>
      <c r="I255" s="289" t="s">
        <v>570</v>
      </c>
      <c r="J255" s="276"/>
      <c r="K255" s="276"/>
      <c r="L255" s="276"/>
      <c r="M255" s="319"/>
      <c r="N255" s="295"/>
      <c r="O255" s="321"/>
      <c r="P255" s="321"/>
      <c r="Q255" s="319"/>
      <c r="R255" s="295"/>
      <c r="S255" s="295"/>
      <c r="T255" s="295"/>
      <c r="U255" s="279"/>
      <c r="V255" s="279"/>
      <c r="W255" s="279"/>
      <c r="X255" s="279"/>
      <c r="Y255" s="279"/>
      <c r="Z255" s="279"/>
      <c r="AA255" s="279"/>
      <c r="AB255" s="279"/>
      <c r="AC255" s="279"/>
      <c r="AD255" s="279"/>
      <c r="AE255" s="279"/>
      <c r="AF255" s="279"/>
      <c r="AG255" s="279"/>
      <c r="AH255" s="279"/>
      <c r="AI255" s="279"/>
      <c r="AJ255" s="279"/>
      <c r="AK255" s="279"/>
      <c r="AL255" s="279"/>
      <c r="AM255" s="279"/>
      <c r="AN255" s="279"/>
      <c r="AO255" s="279"/>
      <c r="AP255" s="279"/>
      <c r="AQ255" s="279"/>
      <c r="AR255" s="279"/>
      <c r="AS255" s="279"/>
      <c r="AT255" s="279"/>
      <c r="AU255" s="279"/>
      <c r="AV255" s="279"/>
      <c r="AW255" s="279"/>
      <c r="AX255" s="279"/>
      <c r="AY255" s="279"/>
      <c r="AZ255" s="279"/>
      <c r="BA255" s="279"/>
      <c r="BB255" s="279"/>
      <c r="BC255" s="279"/>
      <c r="BD255" s="279"/>
      <c r="BE255" s="279"/>
      <c r="BF255" s="279"/>
      <c r="BG255" s="279"/>
      <c r="BH255" s="279"/>
      <c r="BI255" s="279"/>
      <c r="BJ255" s="279"/>
      <c r="BK255" s="279"/>
      <c r="BL255" s="279"/>
    </row>
    <row r="256" spans="1:64" ht="15">
      <c r="A256" s="284"/>
      <c r="B256" s="276" t="s">
        <v>92</v>
      </c>
      <c r="C256" s="277"/>
      <c r="D256" s="277"/>
      <c r="E256" s="277"/>
      <c r="F256" s="277"/>
      <c r="G256" s="301" t="s">
        <v>669</v>
      </c>
      <c r="H256" s="395"/>
      <c r="I256" s="396"/>
      <c r="J256" s="276"/>
      <c r="K256" s="276"/>
      <c r="L256" s="276"/>
      <c r="M256" s="319"/>
      <c r="N256" s="295"/>
      <c r="O256" s="321"/>
      <c r="P256" s="321"/>
      <c r="Q256" s="319"/>
      <c r="R256" s="295"/>
      <c r="S256" s="295"/>
      <c r="T256" s="295"/>
      <c r="U256" s="279"/>
      <c r="V256" s="279"/>
      <c r="W256" s="279"/>
      <c r="X256" s="279"/>
      <c r="Y256" s="279"/>
      <c r="Z256" s="279"/>
      <c r="AA256" s="279"/>
      <c r="AB256" s="279"/>
      <c r="AC256" s="279"/>
      <c r="AD256" s="279"/>
      <c r="AE256" s="279"/>
      <c r="AF256" s="279"/>
      <c r="AG256" s="279"/>
      <c r="AH256" s="279"/>
      <c r="AI256" s="279"/>
      <c r="AJ256" s="279"/>
      <c r="AK256" s="279"/>
      <c r="AL256" s="279"/>
      <c r="AM256" s="279"/>
      <c r="AN256" s="279"/>
      <c r="AO256" s="279"/>
      <c r="AP256" s="279"/>
      <c r="AQ256" s="279"/>
      <c r="AR256" s="279"/>
      <c r="AS256" s="279"/>
      <c r="AT256" s="279"/>
      <c r="AU256" s="279"/>
      <c r="AV256" s="279"/>
      <c r="AW256" s="279"/>
      <c r="AX256" s="279"/>
      <c r="AY256" s="279"/>
      <c r="AZ256" s="279"/>
      <c r="BA256" s="279"/>
      <c r="BB256" s="279"/>
      <c r="BC256" s="279"/>
      <c r="BD256" s="279"/>
      <c r="BE256" s="279"/>
      <c r="BF256" s="279"/>
      <c r="BG256" s="279"/>
      <c r="BH256" s="279"/>
      <c r="BI256" s="279"/>
      <c r="BJ256" s="279"/>
      <c r="BK256" s="279"/>
      <c r="BL256" s="279"/>
    </row>
    <row r="257" spans="1:64" ht="15">
      <c r="A257" s="284">
        <v>27</v>
      </c>
      <c r="B257" s="653" t="s">
        <v>93</v>
      </c>
      <c r="C257" s="277"/>
      <c r="D257" s="277"/>
      <c r="E257" s="277" t="s">
        <v>94</v>
      </c>
      <c r="F257" s="277"/>
      <c r="G257" s="300"/>
      <c r="H257" s="395"/>
      <c r="I257" s="397">
        <v>0</v>
      </c>
      <c r="J257" s="276"/>
      <c r="K257" s="276"/>
      <c r="L257" s="276"/>
      <c r="M257" s="319"/>
      <c r="N257" s="295"/>
      <c r="O257" s="321"/>
      <c r="P257" s="321"/>
      <c r="Q257" s="319"/>
      <c r="R257" s="295"/>
      <c r="S257" s="295"/>
      <c r="T257" s="295"/>
      <c r="U257" s="279"/>
      <c r="V257" s="279"/>
      <c r="W257" s="279"/>
      <c r="X257" s="279"/>
      <c r="Y257" s="279"/>
      <c r="Z257" s="279"/>
      <c r="AA257" s="279"/>
      <c r="AB257" s="279"/>
      <c r="AC257" s="279"/>
      <c r="AD257" s="279"/>
      <c r="AE257" s="279"/>
      <c r="AF257" s="279"/>
      <c r="AG257" s="279"/>
      <c r="AH257" s="279"/>
      <c r="AI257" s="279"/>
      <c r="AJ257" s="279"/>
      <c r="AK257" s="279"/>
      <c r="AL257" s="279"/>
      <c r="AM257" s="279"/>
      <c r="AN257" s="279"/>
      <c r="AO257" s="279"/>
      <c r="AP257" s="279"/>
      <c r="AQ257" s="279"/>
      <c r="AR257" s="279"/>
      <c r="AS257" s="279"/>
      <c r="AT257" s="279"/>
      <c r="AU257" s="279"/>
      <c r="AV257" s="279"/>
      <c r="AW257" s="279"/>
      <c r="AX257" s="279"/>
      <c r="AY257" s="279"/>
      <c r="AZ257" s="279"/>
      <c r="BA257" s="279"/>
      <c r="BB257" s="279"/>
      <c r="BC257" s="279"/>
      <c r="BD257" s="279"/>
      <c r="BE257" s="279"/>
      <c r="BF257" s="279"/>
      <c r="BG257" s="279"/>
      <c r="BH257" s="279"/>
      <c r="BI257" s="279"/>
      <c r="BJ257" s="279"/>
      <c r="BK257" s="279"/>
      <c r="BL257" s="279"/>
    </row>
    <row r="258" spans="1:64" ht="15.75" thickBot="1">
      <c r="A258" s="284">
        <v>28</v>
      </c>
      <c r="B258" s="398" t="s">
        <v>95</v>
      </c>
      <c r="C258" s="374"/>
      <c r="D258" s="398"/>
      <c r="E258" s="374"/>
      <c r="F258" s="374"/>
      <c r="G258" s="374"/>
      <c r="H258" s="277"/>
      <c r="I258" s="399">
        <v>0</v>
      </c>
      <c r="J258" s="276"/>
      <c r="K258" s="276"/>
      <c r="L258" s="276"/>
      <c r="M258" s="319"/>
      <c r="N258" s="295"/>
      <c r="O258" s="393"/>
      <c r="P258" s="321"/>
      <c r="Q258" s="319"/>
      <c r="R258" s="295"/>
      <c r="S258" s="295"/>
      <c r="T258" s="295"/>
      <c r="U258" s="279"/>
      <c r="V258" s="279"/>
      <c r="W258" s="279"/>
      <c r="X258" s="279"/>
      <c r="Y258" s="279"/>
      <c r="Z258" s="279"/>
      <c r="AA258" s="279"/>
      <c r="AB258" s="279"/>
      <c r="AC258" s="279"/>
      <c r="AD258" s="279"/>
      <c r="AE258" s="279"/>
      <c r="AF258" s="279"/>
      <c r="AG258" s="279"/>
      <c r="AH258" s="279"/>
      <c r="AI258" s="279"/>
      <c r="AJ258" s="279"/>
      <c r="AK258" s="279"/>
      <c r="AL258" s="279"/>
      <c r="AM258" s="279"/>
      <c r="AN258" s="279"/>
      <c r="AO258" s="279"/>
      <c r="AP258" s="279"/>
      <c r="AQ258" s="279"/>
      <c r="AR258" s="279"/>
      <c r="AS258" s="279"/>
      <c r="AT258" s="279"/>
      <c r="AU258" s="279"/>
      <c r="AV258" s="279"/>
      <c r="AW258" s="279"/>
      <c r="AX258" s="279"/>
      <c r="AY258" s="279"/>
      <c r="AZ258" s="279"/>
      <c r="BA258" s="279"/>
      <c r="BB258" s="279"/>
      <c r="BC258" s="279"/>
      <c r="BD258" s="279"/>
      <c r="BE258" s="279"/>
      <c r="BF258" s="279"/>
      <c r="BG258" s="279"/>
      <c r="BH258" s="279"/>
      <c r="BI258" s="279"/>
      <c r="BJ258" s="279"/>
      <c r="BK258" s="279"/>
      <c r="BL258" s="279"/>
    </row>
    <row r="259" spans="1:64" ht="15">
      <c r="A259" s="284">
        <v>29</v>
      </c>
      <c r="B259" s="300" t="s">
        <v>96</v>
      </c>
      <c r="C259" s="277"/>
      <c r="D259" s="300"/>
      <c r="E259" s="277"/>
      <c r="F259" s="277"/>
      <c r="G259" s="277"/>
      <c r="H259" s="277"/>
      <c r="I259" s="397">
        <f>+I257-I258</f>
        <v>0</v>
      </c>
      <c r="J259" s="276"/>
      <c r="K259" s="276"/>
      <c r="L259" s="276"/>
      <c r="M259" s="319"/>
      <c r="N259" s="295"/>
      <c r="O259" s="394"/>
      <c r="P259" s="321"/>
      <c r="Q259" s="319"/>
      <c r="R259" s="295"/>
      <c r="S259" s="295"/>
      <c r="T259" s="295"/>
      <c r="U259" s="279"/>
      <c r="V259" s="279"/>
      <c r="W259" s="279"/>
      <c r="X259" s="279"/>
      <c r="Y259" s="279"/>
      <c r="Z259" s="279"/>
      <c r="AA259" s="279"/>
      <c r="AB259" s="279"/>
      <c r="AC259" s="279"/>
      <c r="AD259" s="279"/>
      <c r="AE259" s="279"/>
      <c r="AF259" s="279"/>
      <c r="AG259" s="279"/>
      <c r="AH259" s="279"/>
      <c r="AI259" s="279"/>
      <c r="AJ259" s="279"/>
      <c r="AK259" s="279"/>
      <c r="AL259" s="279"/>
      <c r="AM259" s="279"/>
      <c r="AN259" s="279"/>
      <c r="AO259" s="279"/>
      <c r="AP259" s="279"/>
      <c r="AQ259" s="279"/>
      <c r="AR259" s="279"/>
      <c r="AS259" s="279"/>
      <c r="AT259" s="279"/>
      <c r="AU259" s="279"/>
      <c r="AV259" s="279"/>
      <c r="AW259" s="279"/>
      <c r="AX259" s="279"/>
      <c r="AY259" s="279"/>
      <c r="AZ259" s="279"/>
      <c r="BA259" s="279"/>
      <c r="BB259" s="279"/>
      <c r="BC259" s="279"/>
      <c r="BD259" s="279"/>
      <c r="BE259" s="279"/>
      <c r="BF259" s="279"/>
      <c r="BG259" s="279"/>
      <c r="BH259" s="279"/>
      <c r="BI259" s="279"/>
      <c r="BJ259" s="279"/>
      <c r="BK259" s="279"/>
      <c r="BL259" s="279"/>
    </row>
    <row r="260" spans="1:64" ht="15">
      <c r="A260" s="284"/>
      <c r="B260" s="300"/>
      <c r="C260" s="277"/>
      <c r="D260" s="300"/>
      <c r="E260" s="277"/>
      <c r="F260" s="277"/>
      <c r="G260" s="277"/>
      <c r="H260" s="277"/>
      <c r="I260" s="400"/>
      <c r="J260" s="276"/>
      <c r="K260" s="276"/>
      <c r="L260" s="276"/>
      <c r="M260" s="319"/>
      <c r="N260" s="295"/>
      <c r="O260" s="394"/>
      <c r="P260" s="321"/>
      <c r="Q260" s="319"/>
      <c r="R260" s="295"/>
      <c r="S260" s="295"/>
      <c r="T260" s="295"/>
      <c r="U260" s="279"/>
      <c r="V260" s="279"/>
      <c r="W260" s="279"/>
      <c r="X260" s="279"/>
      <c r="Y260" s="279"/>
      <c r="Z260" s="279"/>
      <c r="AA260" s="279"/>
      <c r="AB260" s="279"/>
      <c r="AC260" s="279"/>
      <c r="AD260" s="279"/>
      <c r="AE260" s="279"/>
      <c r="AF260" s="279"/>
      <c r="AG260" s="279"/>
      <c r="AH260" s="279"/>
      <c r="AI260" s="279"/>
      <c r="AJ260" s="279"/>
      <c r="AK260" s="279"/>
      <c r="AL260" s="279"/>
      <c r="AM260" s="279"/>
      <c r="AN260" s="279"/>
      <c r="AO260" s="279"/>
      <c r="AP260" s="279"/>
      <c r="AQ260" s="279"/>
      <c r="AR260" s="279"/>
      <c r="AS260" s="279"/>
      <c r="AT260" s="279"/>
      <c r="AU260" s="279"/>
      <c r="AV260" s="279"/>
      <c r="AW260" s="279"/>
      <c r="AX260" s="279"/>
      <c r="AY260" s="279"/>
      <c r="AZ260" s="279"/>
      <c r="BA260" s="279"/>
      <c r="BB260" s="279"/>
      <c r="BC260" s="279"/>
      <c r="BD260" s="279"/>
      <c r="BE260" s="279"/>
      <c r="BF260" s="279"/>
      <c r="BG260" s="279"/>
      <c r="BH260" s="279"/>
      <c r="BI260" s="279"/>
      <c r="BJ260" s="279"/>
      <c r="BK260" s="279"/>
      <c r="BL260" s="279"/>
    </row>
    <row r="261" spans="1:64" ht="15">
      <c r="A261" s="284">
        <v>30</v>
      </c>
      <c r="B261" s="276" t="s">
        <v>99</v>
      </c>
      <c r="C261" s="277"/>
      <c r="D261" s="300"/>
      <c r="E261" s="277"/>
      <c r="F261" s="277"/>
      <c r="G261" s="401"/>
      <c r="H261" s="277"/>
      <c r="I261" s="402">
        <f>'Att. O Data - Elk River'!G71</f>
        <v>24720</v>
      </c>
      <c r="J261" s="276"/>
      <c r="K261" s="276"/>
      <c r="L261" s="276"/>
      <c r="M261" s="294"/>
      <c r="N261" s="295"/>
      <c r="O261" s="394"/>
      <c r="P261" s="321"/>
      <c r="Q261" s="319"/>
      <c r="R261" s="295"/>
      <c r="S261" s="295"/>
      <c r="T261" s="295"/>
      <c r="U261" s="279"/>
      <c r="V261" s="279"/>
      <c r="W261" s="279"/>
      <c r="X261" s="279"/>
      <c r="Y261" s="279"/>
      <c r="Z261" s="279"/>
      <c r="AA261" s="279"/>
      <c r="AB261" s="279"/>
      <c r="AC261" s="279"/>
      <c r="AD261" s="279"/>
      <c r="AE261" s="279"/>
      <c r="AF261" s="279"/>
      <c r="AG261" s="279"/>
      <c r="AH261" s="279"/>
      <c r="AI261" s="279"/>
      <c r="AJ261" s="279"/>
      <c r="AK261" s="279"/>
      <c r="AL261" s="279"/>
      <c r="AM261" s="279"/>
      <c r="AN261" s="279"/>
      <c r="AO261" s="279"/>
      <c r="AP261" s="279"/>
      <c r="AQ261" s="279"/>
      <c r="AR261" s="279"/>
      <c r="AS261" s="279"/>
      <c r="AT261" s="279"/>
      <c r="AU261" s="279"/>
      <c r="AV261" s="279"/>
      <c r="AW261" s="279"/>
      <c r="AX261" s="279"/>
      <c r="AY261" s="279"/>
      <c r="AZ261" s="279"/>
      <c r="BA261" s="279"/>
      <c r="BB261" s="279"/>
      <c r="BC261" s="279"/>
      <c r="BD261" s="279"/>
      <c r="BE261" s="279"/>
      <c r="BF261" s="279"/>
      <c r="BG261" s="279"/>
      <c r="BH261" s="279"/>
      <c r="BI261" s="279"/>
      <c r="BJ261" s="279"/>
      <c r="BK261" s="279"/>
      <c r="BL261" s="279"/>
    </row>
    <row r="262" spans="1:64" ht="15">
      <c r="A262" s="284"/>
      <c r="C262" s="277"/>
      <c r="D262" s="277"/>
      <c r="E262" s="277"/>
      <c r="F262" s="277"/>
      <c r="G262" s="277"/>
      <c r="H262" s="277"/>
      <c r="I262" s="400"/>
      <c r="J262" s="276"/>
      <c r="K262" s="276"/>
      <c r="L262" s="276"/>
      <c r="M262" s="294"/>
      <c r="N262" s="295"/>
      <c r="O262" s="394"/>
      <c r="P262" s="321"/>
      <c r="Q262" s="319"/>
      <c r="R262" s="295"/>
      <c r="S262" s="295"/>
      <c r="T262" s="295"/>
      <c r="U262" s="279"/>
      <c r="V262" s="279"/>
      <c r="W262" s="279"/>
      <c r="X262" s="279"/>
      <c r="Y262" s="279"/>
      <c r="Z262" s="279"/>
      <c r="AA262" s="279"/>
      <c r="AB262" s="279"/>
      <c r="AC262" s="279"/>
      <c r="AD262" s="279"/>
      <c r="AE262" s="279"/>
      <c r="AF262" s="279"/>
      <c r="AG262" s="279"/>
      <c r="AH262" s="279"/>
      <c r="AI262" s="279"/>
      <c r="AJ262" s="279"/>
      <c r="AK262" s="279"/>
      <c r="AL262" s="279"/>
      <c r="AM262" s="279"/>
      <c r="AN262" s="279"/>
      <c r="AO262" s="279"/>
      <c r="AP262" s="279"/>
      <c r="AQ262" s="279"/>
      <c r="AR262" s="279"/>
      <c r="AS262" s="279"/>
      <c r="AT262" s="279"/>
      <c r="AU262" s="279"/>
      <c r="AV262" s="279"/>
      <c r="AW262" s="279"/>
      <c r="AX262" s="279"/>
      <c r="AY262" s="279"/>
      <c r="AZ262" s="279"/>
      <c r="BA262" s="279"/>
      <c r="BB262" s="279"/>
      <c r="BC262" s="279"/>
      <c r="BD262" s="279"/>
      <c r="BE262" s="279"/>
      <c r="BF262" s="279"/>
      <c r="BG262" s="279"/>
      <c r="BH262" s="279"/>
      <c r="BI262" s="279"/>
      <c r="BJ262" s="279"/>
      <c r="BK262" s="279"/>
      <c r="BL262" s="279"/>
    </row>
    <row r="263" spans="1:64" ht="15">
      <c r="B263" s="276" t="s">
        <v>794</v>
      </c>
      <c r="C263" s="277"/>
      <c r="D263" s="277"/>
      <c r="E263" s="277"/>
      <c r="F263" s="277"/>
      <c r="G263" s="277"/>
      <c r="H263" s="277"/>
      <c r="J263" s="276"/>
      <c r="K263" s="276"/>
      <c r="L263" s="276"/>
      <c r="M263" s="294"/>
      <c r="N263" s="295"/>
      <c r="O263" s="394"/>
      <c r="P263" s="321"/>
      <c r="Q263" s="319"/>
      <c r="R263" s="295"/>
      <c r="S263" s="295"/>
      <c r="T263" s="295"/>
      <c r="U263" s="279"/>
      <c r="V263" s="279"/>
      <c r="W263" s="279"/>
      <c r="X263" s="279"/>
      <c r="Y263" s="279"/>
      <c r="Z263" s="279"/>
      <c r="AA263" s="279"/>
      <c r="AB263" s="279"/>
      <c r="AC263" s="279"/>
      <c r="AD263" s="279"/>
      <c r="AE263" s="279"/>
      <c r="AF263" s="279"/>
      <c r="AG263" s="279"/>
      <c r="AH263" s="279"/>
      <c r="AI263" s="279"/>
      <c r="AJ263" s="279"/>
      <c r="AK263" s="279"/>
      <c r="AL263" s="279"/>
      <c r="AM263" s="279"/>
      <c r="AN263" s="279"/>
      <c r="AO263" s="279"/>
      <c r="AP263" s="279"/>
      <c r="AQ263" s="279"/>
      <c r="AR263" s="279"/>
      <c r="AS263" s="279"/>
      <c r="AT263" s="279"/>
      <c r="AU263" s="279"/>
      <c r="AV263" s="279"/>
      <c r="AW263" s="279"/>
      <c r="AX263" s="279"/>
      <c r="AY263" s="279"/>
      <c r="AZ263" s="279"/>
      <c r="BA263" s="279"/>
      <c r="BB263" s="279"/>
      <c r="BC263" s="279"/>
      <c r="BD263" s="279"/>
      <c r="BE263" s="279"/>
      <c r="BF263" s="279"/>
      <c r="BG263" s="279"/>
      <c r="BH263" s="279"/>
      <c r="BI263" s="279"/>
      <c r="BJ263" s="279"/>
      <c r="BK263" s="279"/>
      <c r="BL263" s="279"/>
    </row>
    <row r="264" spans="1:64" ht="15.75">
      <c r="A264" s="284">
        <v>31</v>
      </c>
      <c r="B264" s="276" t="s">
        <v>100</v>
      </c>
      <c r="C264" s="283"/>
      <c r="D264" s="283"/>
      <c r="E264" s="283"/>
      <c r="F264" s="283"/>
      <c r="G264" s="283"/>
      <c r="H264" s="283"/>
      <c r="I264" s="403">
        <f>-'TARIFF REVENUE'!AE46</f>
        <v>67591.259999999995</v>
      </c>
      <c r="J264" s="276"/>
      <c r="K264" s="276"/>
      <c r="L264" s="276"/>
      <c r="M264" s="404" t="s">
        <v>101</v>
      </c>
      <c r="N264" s="295"/>
      <c r="O264" s="394"/>
      <c r="P264" s="321"/>
      <c r="Q264" s="319"/>
      <c r="R264" s="295"/>
      <c r="S264" s="295"/>
      <c r="T264" s="295"/>
      <c r="U264" s="279"/>
      <c r="V264" s="279"/>
      <c r="W264" s="279"/>
      <c r="X264" s="279"/>
      <c r="Y264" s="279"/>
      <c r="Z264" s="279"/>
      <c r="AA264" s="279"/>
      <c r="AB264" s="279"/>
      <c r="AC264" s="279"/>
      <c r="AD264" s="279"/>
      <c r="AE264" s="279"/>
      <c r="AF264" s="279"/>
      <c r="AG264" s="279"/>
      <c r="AH264" s="279"/>
      <c r="AI264" s="279"/>
      <c r="AJ264" s="279"/>
      <c r="AK264" s="279"/>
      <c r="AL264" s="279"/>
      <c r="AM264" s="279"/>
      <c r="AN264" s="279"/>
      <c r="AO264" s="279"/>
      <c r="AP264" s="279"/>
      <c r="AQ264" s="279"/>
      <c r="AR264" s="279"/>
      <c r="AS264" s="279"/>
      <c r="AT264" s="279"/>
      <c r="AU264" s="279"/>
      <c r="AV264" s="279"/>
      <c r="AW264" s="279"/>
      <c r="AX264" s="279"/>
      <c r="AY264" s="279"/>
      <c r="AZ264" s="279"/>
      <c r="BA264" s="279"/>
      <c r="BB264" s="279"/>
      <c r="BC264" s="279"/>
      <c r="BD264" s="279"/>
      <c r="BE264" s="279"/>
      <c r="BF264" s="279"/>
      <c r="BG264" s="279"/>
      <c r="BH264" s="279"/>
      <c r="BI264" s="279"/>
      <c r="BJ264" s="279"/>
      <c r="BK264" s="279"/>
      <c r="BL264" s="279"/>
    </row>
    <row r="265" spans="1:64" ht="15.75">
      <c r="A265" s="284">
        <v>32</v>
      </c>
      <c r="B265" s="405" t="s">
        <v>102</v>
      </c>
      <c r="C265" s="406"/>
      <c r="D265" s="406"/>
      <c r="E265" s="406"/>
      <c r="F265" s="406"/>
      <c r="G265" s="277"/>
      <c r="H265" s="277"/>
      <c r="I265" s="403">
        <f>-'TARIFF REVENUE'!AE44</f>
        <v>65894.89</v>
      </c>
      <c r="J265" s="276"/>
      <c r="K265" s="276"/>
      <c r="L265" s="276"/>
      <c r="M265" s="404" t="s">
        <v>820</v>
      </c>
      <c r="N265" s="295"/>
      <c r="O265" s="394"/>
      <c r="P265" s="321"/>
      <c r="Q265" s="319"/>
      <c r="R265" s="295"/>
      <c r="S265" s="295"/>
      <c r="T265" s="295"/>
      <c r="U265" s="279"/>
      <c r="V265" s="279"/>
      <c r="W265" s="279"/>
      <c r="X265" s="279"/>
      <c r="Y265" s="279"/>
      <c r="Z265" s="279"/>
      <c r="AA265" s="279"/>
      <c r="AB265" s="279"/>
      <c r="AC265" s="279"/>
      <c r="AD265" s="279"/>
      <c r="AE265" s="279"/>
      <c r="AF265" s="279"/>
      <c r="AG265" s="279"/>
      <c r="AH265" s="279"/>
      <c r="AI265" s="279"/>
      <c r="AJ265" s="279"/>
      <c r="AK265" s="279"/>
      <c r="AL265" s="279"/>
      <c r="AM265" s="279"/>
      <c r="AN265" s="279"/>
      <c r="AO265" s="279"/>
      <c r="AP265" s="279"/>
      <c r="AQ265" s="279"/>
      <c r="AR265" s="279"/>
      <c r="AS265" s="279"/>
      <c r="AT265" s="279"/>
      <c r="AU265" s="279"/>
      <c r="AV265" s="279"/>
      <c r="AW265" s="279"/>
      <c r="AX265" s="279"/>
      <c r="AY265" s="279"/>
      <c r="AZ265" s="279"/>
      <c r="BA265" s="279"/>
      <c r="BB265" s="279"/>
      <c r="BC265" s="279"/>
      <c r="BD265" s="279"/>
      <c r="BE265" s="279"/>
      <c r="BF265" s="279"/>
      <c r="BG265" s="279"/>
      <c r="BH265" s="279"/>
      <c r="BI265" s="279"/>
      <c r="BJ265" s="279"/>
      <c r="BK265" s="279"/>
      <c r="BL265" s="279"/>
    </row>
    <row r="266" spans="1:64" ht="15">
      <c r="A266" s="284" t="s">
        <v>804</v>
      </c>
      <c r="B266" s="405" t="s">
        <v>853</v>
      </c>
      <c r="C266" s="406"/>
      <c r="D266" s="406"/>
      <c r="E266" s="406"/>
      <c r="F266" s="406"/>
      <c r="G266" s="277"/>
      <c r="H266" s="277"/>
      <c r="I266" s="403">
        <v>0</v>
      </c>
      <c r="J266" s="276"/>
      <c r="K266" s="276"/>
      <c r="L266" s="276"/>
      <c r="M266" s="393"/>
      <c r="N266" s="295"/>
      <c r="O266" s="394"/>
      <c r="P266" s="321"/>
      <c r="Q266" s="319"/>
      <c r="R266" s="295"/>
      <c r="S266" s="295"/>
      <c r="T266" s="295"/>
      <c r="U266" s="279"/>
      <c r="V266" s="279"/>
      <c r="W266" s="279"/>
      <c r="X266" s="279"/>
      <c r="Y266" s="279"/>
      <c r="Z266" s="279"/>
      <c r="AA266" s="279"/>
      <c r="AB266" s="279"/>
      <c r="AC266" s="279"/>
      <c r="AD266" s="279"/>
      <c r="AE266" s="279"/>
      <c r="AF266" s="279"/>
      <c r="AG266" s="279"/>
      <c r="AH266" s="279"/>
      <c r="AI266" s="279"/>
      <c r="AJ266" s="279"/>
      <c r="AK266" s="279"/>
      <c r="AL266" s="279"/>
      <c r="AM266" s="279"/>
      <c r="AN266" s="279"/>
      <c r="AO266" s="279"/>
      <c r="AP266" s="279"/>
      <c r="AQ266" s="279"/>
      <c r="AR266" s="279"/>
      <c r="AS266" s="279"/>
      <c r="AT266" s="279"/>
      <c r="AU266" s="279"/>
      <c r="AV266" s="279"/>
      <c r="AW266" s="279"/>
      <c r="AX266" s="279"/>
      <c r="AY266" s="279"/>
      <c r="AZ266" s="279"/>
      <c r="BA266" s="279"/>
      <c r="BB266" s="279"/>
      <c r="BC266" s="279"/>
      <c r="BD266" s="279"/>
      <c r="BE266" s="279"/>
      <c r="BF266" s="279"/>
      <c r="BG266" s="279"/>
      <c r="BH266" s="279"/>
      <c r="BI266" s="279"/>
      <c r="BJ266" s="279"/>
      <c r="BK266" s="279"/>
      <c r="BL266" s="279"/>
    </row>
    <row r="267" spans="1:64" ht="15.75" thickBot="1">
      <c r="A267" s="284" t="s">
        <v>805</v>
      </c>
      <c r="B267" s="676" t="s">
        <v>854</v>
      </c>
      <c r="C267" s="677"/>
      <c r="D267" s="406"/>
      <c r="E267" s="406"/>
      <c r="F267" s="406"/>
      <c r="G267" s="277"/>
      <c r="H267" s="277"/>
      <c r="I267" s="612">
        <v>0</v>
      </c>
      <c r="J267" s="276"/>
      <c r="K267" s="276"/>
      <c r="L267" s="276"/>
      <c r="M267" s="393"/>
      <c r="N267" s="295"/>
      <c r="O267" s="394"/>
      <c r="P267" s="321"/>
      <c r="Q267" s="319"/>
      <c r="R267" s="295"/>
      <c r="S267" s="295"/>
      <c r="T267" s="295"/>
      <c r="U267" s="279"/>
      <c r="V267" s="279"/>
      <c r="W267" s="279"/>
      <c r="X267" s="279"/>
      <c r="Y267" s="279"/>
      <c r="Z267" s="279"/>
      <c r="AA267" s="279"/>
      <c r="AB267" s="279"/>
      <c r="AC267" s="279"/>
      <c r="AD267" s="279"/>
      <c r="AE267" s="279"/>
      <c r="AF267" s="279"/>
      <c r="AG267" s="279"/>
      <c r="AH267" s="279"/>
      <c r="AI267" s="279"/>
      <c r="AJ267" s="279"/>
      <c r="AK267" s="279"/>
      <c r="AL267" s="279"/>
      <c r="AM267" s="279"/>
      <c r="AN267" s="279"/>
      <c r="AO267" s="279"/>
      <c r="AP267" s="279"/>
      <c r="AQ267" s="279"/>
      <c r="AR267" s="279"/>
      <c r="AS267" s="279"/>
      <c r="AT267" s="279"/>
      <c r="AU267" s="279"/>
      <c r="AV267" s="279"/>
      <c r="AW267" s="279"/>
      <c r="AX267" s="279"/>
      <c r="AY267" s="279"/>
      <c r="AZ267" s="279"/>
      <c r="BA267" s="279"/>
      <c r="BB267" s="279"/>
      <c r="BC267" s="279"/>
      <c r="BD267" s="279"/>
      <c r="BE267" s="279"/>
      <c r="BF267" s="279"/>
      <c r="BG267" s="279"/>
      <c r="BH267" s="279"/>
      <c r="BI267" s="279"/>
      <c r="BJ267" s="279"/>
      <c r="BK267" s="279"/>
      <c r="BL267" s="279"/>
    </row>
    <row r="268" spans="1:64" ht="15">
      <c r="A268" s="284">
        <v>33</v>
      </c>
      <c r="B268" s="409" t="s">
        <v>944</v>
      </c>
      <c r="C268" s="281"/>
      <c r="D268" s="283"/>
      <c r="E268" s="283"/>
      <c r="F268" s="283"/>
      <c r="G268" s="283"/>
      <c r="H268" s="277"/>
      <c r="I268" s="410">
        <f>I264-I265-I266-I267</f>
        <v>1696.3699999999953</v>
      </c>
      <c r="J268" s="276"/>
      <c r="K268" s="276"/>
      <c r="L268" s="276"/>
      <c r="M268" s="393"/>
      <c r="N268" s="295"/>
      <c r="O268" s="394"/>
      <c r="P268" s="321"/>
      <c r="Q268" s="319"/>
      <c r="R268" s="295"/>
      <c r="S268" s="295"/>
      <c r="T268" s="295"/>
      <c r="U268" s="279"/>
      <c r="V268" s="279"/>
      <c r="W268" s="279"/>
      <c r="X268" s="279"/>
      <c r="Y268" s="279"/>
      <c r="Z268" s="279"/>
      <c r="AA268" s="279"/>
      <c r="AB268" s="279"/>
      <c r="AC268" s="279"/>
      <c r="AD268" s="279"/>
      <c r="AE268" s="279"/>
      <c r="AF268" s="279"/>
      <c r="AG268" s="279"/>
      <c r="AH268" s="279"/>
      <c r="AI268" s="279"/>
      <c r="AJ268" s="279"/>
      <c r="AK268" s="279"/>
      <c r="AL268" s="279"/>
      <c r="AM268" s="279"/>
      <c r="AN268" s="279"/>
      <c r="AO268" s="279"/>
      <c r="AP268" s="279"/>
      <c r="AQ268" s="279"/>
      <c r="AR268" s="279"/>
      <c r="AS268" s="279"/>
      <c r="AT268" s="279"/>
      <c r="AU268" s="279"/>
      <c r="AV268" s="279"/>
      <c r="AW268" s="279"/>
      <c r="AX268" s="279"/>
      <c r="AY268" s="279"/>
      <c r="AZ268" s="279"/>
      <c r="BA268" s="279"/>
      <c r="BB268" s="279"/>
      <c r="BC268" s="279"/>
      <c r="BD268" s="279"/>
      <c r="BE268" s="279"/>
      <c r="BF268" s="279"/>
      <c r="BG268" s="279"/>
      <c r="BH268" s="279"/>
      <c r="BI268" s="279"/>
      <c r="BJ268" s="279"/>
      <c r="BK268" s="279"/>
      <c r="BL268" s="279"/>
    </row>
    <row r="269" spans="1:64" ht="15.75">
      <c r="A269" s="284"/>
      <c r="B269" s="409"/>
      <c r="C269" s="281"/>
      <c r="D269" s="283"/>
      <c r="E269" s="283"/>
      <c r="F269" s="283"/>
      <c r="G269" s="283"/>
      <c r="H269" s="277"/>
      <c r="I269" s="410"/>
      <c r="J269" s="276"/>
      <c r="K269" s="276"/>
      <c r="L269" s="276"/>
      <c r="N269" s="313"/>
      <c r="O269" s="372"/>
      <c r="P269" s="315"/>
      <c r="Q269" s="314"/>
      <c r="R269" s="295"/>
      <c r="S269" s="295"/>
      <c r="T269" s="295"/>
      <c r="U269" s="279"/>
      <c r="V269" s="279"/>
      <c r="W269" s="279"/>
      <c r="X269" s="279"/>
      <c r="Y269" s="279"/>
      <c r="Z269" s="279"/>
      <c r="AA269" s="279"/>
      <c r="AB269" s="279"/>
      <c r="AC269" s="279"/>
      <c r="AD269" s="279"/>
      <c r="AE269" s="279"/>
      <c r="AF269" s="279"/>
      <c r="AG269" s="279"/>
      <c r="AH269" s="279"/>
      <c r="AI269" s="279"/>
      <c r="AJ269" s="279"/>
      <c r="AK269" s="279"/>
      <c r="AL269" s="279"/>
      <c r="AM269" s="279"/>
      <c r="AN269" s="279"/>
      <c r="AO269" s="279"/>
      <c r="AP269" s="279"/>
      <c r="AQ269" s="279"/>
      <c r="AR269" s="279"/>
      <c r="AS269" s="279"/>
      <c r="AT269" s="279"/>
      <c r="AU269" s="279"/>
      <c r="AV269" s="279"/>
      <c r="AW269" s="279"/>
      <c r="AX269" s="279"/>
      <c r="AY269" s="279"/>
      <c r="AZ269" s="279"/>
      <c r="BA269" s="279"/>
      <c r="BB269" s="279"/>
      <c r="BC269" s="279"/>
      <c r="BD269" s="279"/>
      <c r="BE269" s="279"/>
      <c r="BF269" s="279"/>
      <c r="BG269" s="279"/>
      <c r="BH269" s="279"/>
      <c r="BI269" s="279"/>
      <c r="BJ269" s="279"/>
      <c r="BK269" s="279"/>
      <c r="BL269" s="279"/>
    </row>
    <row r="270" spans="1:64" customFormat="1"/>
    <row r="271" spans="1:64" customFormat="1"/>
    <row r="272" spans="1:64" customFormat="1" ht="15.75">
      <c r="A272" s="708"/>
      <c r="B272" s="714"/>
      <c r="C272" s="708"/>
      <c r="D272" s="706"/>
      <c r="E272" s="706"/>
      <c r="F272" s="706"/>
      <c r="G272" s="706"/>
      <c r="H272" s="713"/>
      <c r="I272" s="715"/>
      <c r="J272" s="704"/>
      <c r="K272" s="716" t="s">
        <v>826</v>
      </c>
    </row>
    <row r="273" spans="1:64" customFormat="1" ht="15.75">
      <c r="A273" s="703"/>
      <c r="B273" s="704"/>
      <c r="C273" s="704"/>
      <c r="D273" s="703"/>
      <c r="E273" s="704"/>
      <c r="F273" s="704"/>
      <c r="G273" s="704"/>
      <c r="H273" s="713"/>
      <c r="I273" s="713"/>
      <c r="J273" s="703"/>
      <c r="K273" s="717" t="s">
        <v>103</v>
      </c>
      <c r="L273" s="611"/>
      <c r="M273" s="296"/>
      <c r="N273" s="295"/>
      <c r="O273" s="296"/>
      <c r="P273" s="296"/>
      <c r="Q273" s="296"/>
      <c r="R273" s="295"/>
      <c r="S273" s="295"/>
      <c r="T273" s="295"/>
      <c r="U273" s="279"/>
      <c r="V273" s="279"/>
      <c r="W273" s="279"/>
      <c r="X273" s="279"/>
    </row>
    <row r="274" spans="1:64" customFormat="1" ht="15.75">
      <c r="A274" s="708"/>
      <c r="B274" s="714" t="s">
        <v>667</v>
      </c>
      <c r="C274" s="742" t="s">
        <v>668</v>
      </c>
      <c r="D274" s="742"/>
      <c r="E274" s="705"/>
      <c r="F274" s="705"/>
      <c r="G274" s="705"/>
      <c r="H274" s="718"/>
      <c r="I274" s="741" t="s">
        <v>857</v>
      </c>
      <c r="J274" s="741"/>
      <c r="K274" s="741"/>
      <c r="L274" s="346"/>
      <c r="M274" s="296"/>
      <c r="N274" s="295"/>
      <c r="O274" s="411"/>
      <c r="P274" s="296"/>
      <c r="Q274" s="319"/>
      <c r="R274" s="295"/>
      <c r="S274" s="295"/>
      <c r="T274" s="295"/>
      <c r="U274" s="279"/>
      <c r="V274" s="279"/>
      <c r="W274" s="279"/>
      <c r="X274" s="279"/>
    </row>
    <row r="275" spans="1:64" customFormat="1" ht="15.75">
      <c r="A275" s="708"/>
      <c r="B275" s="714"/>
      <c r="C275" s="708"/>
      <c r="D275" s="705" t="s">
        <v>806</v>
      </c>
      <c r="E275" s="705"/>
      <c r="F275" s="705"/>
      <c r="G275" s="705"/>
      <c r="H275" s="713"/>
      <c r="I275" s="719"/>
      <c r="J275" s="720"/>
      <c r="K275" s="721"/>
      <c r="L275" s="346"/>
      <c r="M275" s="296"/>
      <c r="N275" s="295"/>
      <c r="O275" s="411"/>
      <c r="P275" s="296"/>
      <c r="Q275" s="319"/>
      <c r="R275" s="295"/>
      <c r="S275" s="295"/>
      <c r="T275" s="295"/>
      <c r="U275" s="279"/>
      <c r="V275" s="279"/>
      <c r="W275" s="279"/>
      <c r="X275" s="279"/>
    </row>
    <row r="276" spans="1:64" customFormat="1" ht="15.75">
      <c r="A276" s="708"/>
      <c r="B276" s="714"/>
      <c r="C276" s="708"/>
      <c r="D276" s="705" t="str">
        <f>D7</f>
        <v>Elk River</v>
      </c>
      <c r="E276" s="705"/>
      <c r="F276" s="705"/>
      <c r="G276" s="705"/>
      <c r="H276" s="713"/>
      <c r="I276" s="719"/>
      <c r="J276" s="720"/>
      <c r="K276" s="721"/>
      <c r="L276" s="346"/>
      <c r="M276" s="296"/>
      <c r="N276" s="295"/>
      <c r="O276" s="411"/>
      <c r="P276" s="296"/>
      <c r="Q276" s="296"/>
      <c r="R276" s="295"/>
      <c r="S276" s="295"/>
      <c r="T276" s="295"/>
      <c r="U276" s="279"/>
      <c r="V276" s="279"/>
      <c r="W276" s="279"/>
      <c r="X276" s="279"/>
    </row>
    <row r="277" spans="1:64" ht="20.25">
      <c r="A277" s="708"/>
      <c r="B277" s="704" t="s">
        <v>104</v>
      </c>
      <c r="C277" s="708"/>
      <c r="D277" s="705"/>
      <c r="E277" s="705"/>
      <c r="F277" s="705"/>
      <c r="G277" s="705"/>
      <c r="H277" s="713"/>
      <c r="I277" s="705"/>
      <c r="J277" s="720"/>
      <c r="K277" s="721"/>
      <c r="L277" s="412"/>
      <c r="M277" s="296"/>
      <c r="N277" s="295"/>
      <c r="O277" s="411"/>
      <c r="P277" s="296"/>
      <c r="Q277" s="296"/>
      <c r="R277" s="295"/>
      <c r="S277" s="295"/>
      <c r="T277" s="295"/>
      <c r="U277" s="279"/>
      <c r="V277" s="279"/>
      <c r="W277" s="279"/>
      <c r="X277" s="279"/>
      <c r="Y277" s="279"/>
      <c r="Z277" s="279"/>
      <c r="AA277" s="279"/>
      <c r="AB277" s="279"/>
      <c r="AC277" s="279"/>
      <c r="AD277" s="279"/>
      <c r="AE277" s="279"/>
      <c r="AF277" s="279"/>
      <c r="AG277" s="279"/>
      <c r="AH277" s="279"/>
      <c r="AI277" s="279"/>
      <c r="AJ277" s="279"/>
      <c r="AK277" s="279"/>
      <c r="AL277" s="279"/>
      <c r="AM277" s="279"/>
      <c r="AN277" s="279"/>
      <c r="AO277" s="279"/>
      <c r="AP277" s="279"/>
      <c r="AQ277" s="279"/>
      <c r="AR277" s="279"/>
      <c r="AS277" s="279"/>
      <c r="AT277" s="279"/>
      <c r="AU277" s="279"/>
      <c r="AV277" s="279"/>
      <c r="AW277" s="279"/>
      <c r="AX277" s="279"/>
      <c r="AY277" s="279"/>
      <c r="AZ277" s="279"/>
      <c r="BA277" s="279"/>
      <c r="BB277" s="279"/>
      <c r="BC277" s="279"/>
      <c r="BD277" s="279"/>
      <c r="BE277" s="279"/>
      <c r="BF277" s="279"/>
      <c r="BG277" s="279"/>
      <c r="BH277" s="279"/>
      <c r="BI277" s="279"/>
      <c r="BJ277" s="279"/>
      <c r="BK277" s="279"/>
      <c r="BL277" s="279"/>
    </row>
    <row r="278" spans="1:64" ht="20.25">
      <c r="A278" s="708"/>
      <c r="B278" s="722" t="s">
        <v>918</v>
      </c>
      <c r="C278" s="708"/>
      <c r="D278" s="705"/>
      <c r="E278" s="705"/>
      <c r="F278" s="705"/>
      <c r="G278" s="705"/>
      <c r="H278" s="713"/>
      <c r="I278" s="705"/>
      <c r="J278" s="713"/>
      <c r="K278" s="705"/>
      <c r="L278" s="412"/>
      <c r="M278" s="296"/>
      <c r="N278" s="295"/>
      <c r="O278" s="413"/>
      <c r="P278" s="296"/>
      <c r="Q278" s="296"/>
      <c r="R278" s="295"/>
      <c r="S278" s="295"/>
      <c r="T278" s="295"/>
      <c r="U278" s="279"/>
      <c r="V278" s="279"/>
      <c r="W278" s="279"/>
      <c r="X278" s="279"/>
      <c r="Y278" s="279"/>
      <c r="Z278" s="279"/>
      <c r="AA278" s="279"/>
      <c r="AB278" s="279"/>
      <c r="AC278" s="279"/>
      <c r="AD278" s="279"/>
      <c r="AE278" s="279"/>
      <c r="AF278" s="279"/>
      <c r="AG278" s="279"/>
      <c r="AH278" s="279"/>
      <c r="AI278" s="279"/>
      <c r="AJ278" s="279"/>
      <c r="AK278" s="279"/>
      <c r="AL278" s="279"/>
      <c r="AM278" s="279"/>
      <c r="AN278" s="279"/>
      <c r="AO278" s="279"/>
      <c r="AP278" s="279"/>
      <c r="AQ278" s="279"/>
      <c r="AR278" s="279"/>
      <c r="AS278" s="279"/>
      <c r="AT278" s="279"/>
      <c r="AU278" s="279"/>
      <c r="AV278" s="279"/>
      <c r="AW278" s="279"/>
      <c r="AX278" s="279"/>
      <c r="AY278" s="279"/>
      <c r="AZ278" s="279"/>
      <c r="BA278" s="279"/>
      <c r="BB278" s="279"/>
      <c r="BC278" s="279"/>
      <c r="BD278" s="279"/>
      <c r="BE278" s="279"/>
      <c r="BF278" s="279"/>
      <c r="BG278" s="279"/>
      <c r="BH278" s="279"/>
      <c r="BI278" s="279"/>
      <c r="BJ278" s="279"/>
      <c r="BK278" s="279"/>
      <c r="BL278" s="279"/>
    </row>
    <row r="279" spans="1:64" ht="20.25">
      <c r="A279" s="703"/>
      <c r="B279" s="722" t="s">
        <v>919</v>
      </c>
      <c r="C279" s="708"/>
      <c r="D279" s="705"/>
      <c r="E279" s="705"/>
      <c r="F279" s="705"/>
      <c r="G279" s="705"/>
      <c r="H279" s="713"/>
      <c r="I279" s="705"/>
      <c r="J279" s="713"/>
      <c r="K279" s="705"/>
      <c r="L279" s="412"/>
      <c r="M279" s="296"/>
      <c r="N279" s="295"/>
      <c r="O279" s="413"/>
      <c r="P279" s="296"/>
      <c r="Q279" s="296"/>
      <c r="R279" s="295"/>
      <c r="S279" s="295"/>
      <c r="T279" s="295"/>
      <c r="U279" s="279"/>
      <c r="V279" s="279"/>
      <c r="W279" s="279"/>
      <c r="X279" s="279"/>
      <c r="Y279" s="279"/>
      <c r="Z279" s="279"/>
      <c r="AA279" s="279"/>
      <c r="AB279" s="279"/>
      <c r="AC279" s="279"/>
      <c r="AD279" s="279"/>
      <c r="AE279" s="279"/>
      <c r="AF279" s="279"/>
      <c r="AG279" s="279"/>
      <c r="AH279" s="279"/>
      <c r="AI279" s="279"/>
      <c r="AJ279" s="279"/>
      <c r="AK279" s="279"/>
      <c r="AL279" s="279"/>
      <c r="AM279" s="279"/>
      <c r="AN279" s="279"/>
      <c r="AO279" s="279"/>
      <c r="AP279" s="279"/>
      <c r="AQ279" s="279"/>
      <c r="AR279" s="279"/>
      <c r="AS279" s="279"/>
      <c r="AT279" s="279"/>
      <c r="AU279" s="279"/>
      <c r="AV279" s="279"/>
      <c r="AW279" s="279"/>
      <c r="AX279" s="279"/>
      <c r="AY279" s="279"/>
      <c r="AZ279" s="279"/>
      <c r="BA279" s="279"/>
      <c r="BB279" s="279"/>
      <c r="BC279" s="279"/>
      <c r="BD279" s="279"/>
      <c r="BE279" s="279"/>
      <c r="BF279" s="279"/>
      <c r="BG279" s="279"/>
      <c r="BH279" s="279"/>
      <c r="BI279" s="279"/>
      <c r="BJ279" s="279"/>
      <c r="BK279" s="279"/>
      <c r="BL279" s="279"/>
    </row>
    <row r="280" spans="1:64" ht="20.25">
      <c r="A280" s="708" t="s">
        <v>105</v>
      </c>
      <c r="B280" s="704" t="s">
        <v>920</v>
      </c>
      <c r="C280" s="713"/>
      <c r="D280" s="705"/>
      <c r="E280" s="705"/>
      <c r="F280" s="705"/>
      <c r="G280" s="723"/>
      <c r="H280" s="713"/>
      <c r="I280" s="705"/>
      <c r="J280" s="713"/>
      <c r="K280" s="705"/>
      <c r="L280" s="412"/>
      <c r="M280" s="296"/>
      <c r="N280" s="295"/>
      <c r="O280" s="413"/>
      <c r="P280" s="296"/>
      <c r="Q280" s="296"/>
      <c r="R280" s="295"/>
      <c r="S280" s="295"/>
      <c r="T280" s="295"/>
      <c r="U280" s="279"/>
      <c r="V280" s="279"/>
      <c r="W280" s="279"/>
      <c r="X280" s="279"/>
      <c r="Y280" s="279"/>
      <c r="Z280" s="279"/>
      <c r="AA280" s="279"/>
      <c r="AB280" s="279"/>
      <c r="AC280" s="279"/>
      <c r="AD280" s="279"/>
      <c r="AE280" s="279"/>
      <c r="AF280" s="279"/>
      <c r="AG280" s="279"/>
      <c r="AH280" s="279"/>
      <c r="AI280" s="279"/>
      <c r="AJ280" s="279"/>
      <c r="AK280" s="279"/>
      <c r="AL280" s="279"/>
      <c r="AM280" s="279"/>
      <c r="AN280" s="279"/>
      <c r="AO280" s="279"/>
      <c r="AP280" s="279"/>
      <c r="AQ280" s="279"/>
      <c r="AR280" s="279"/>
      <c r="AS280" s="279"/>
      <c r="AT280" s="279"/>
      <c r="AU280" s="279"/>
      <c r="AV280" s="279"/>
      <c r="AW280" s="279"/>
      <c r="AX280" s="279"/>
      <c r="AY280" s="279"/>
      <c r="AZ280" s="279"/>
      <c r="BA280" s="279"/>
      <c r="BB280" s="279"/>
      <c r="BC280" s="279"/>
      <c r="BD280" s="279"/>
      <c r="BE280" s="279"/>
      <c r="BF280" s="279"/>
      <c r="BG280" s="279"/>
      <c r="BH280" s="279"/>
      <c r="BI280" s="279"/>
      <c r="BJ280" s="279"/>
      <c r="BK280" s="279"/>
      <c r="BL280" s="279"/>
    </row>
    <row r="281" spans="1:64" ht="21" thickBot="1">
      <c r="A281" s="724" t="s">
        <v>106</v>
      </c>
      <c r="B281" s="703"/>
      <c r="C281" s="713"/>
      <c r="D281" s="705"/>
      <c r="E281" s="705"/>
      <c r="F281" s="705"/>
      <c r="G281" s="705"/>
      <c r="H281" s="713"/>
      <c r="I281" s="705"/>
      <c r="J281" s="713"/>
      <c r="K281" s="705"/>
      <c r="L281" s="412"/>
      <c r="M281" s="296"/>
      <c r="N281" s="295"/>
      <c r="O281" s="413"/>
      <c r="P281" s="296"/>
      <c r="Q281" s="296"/>
      <c r="R281" s="295"/>
      <c r="S281" s="295"/>
      <c r="T281" s="295"/>
      <c r="U281" s="279"/>
      <c r="V281" s="279"/>
      <c r="W281" s="279"/>
      <c r="X281" s="279"/>
      <c r="Y281" s="279"/>
      <c r="Z281" s="279"/>
      <c r="AA281" s="279"/>
      <c r="AB281" s="279"/>
      <c r="AC281" s="279"/>
      <c r="AD281" s="279"/>
      <c r="AE281" s="279"/>
      <c r="AF281" s="279"/>
      <c r="AG281" s="279"/>
      <c r="AH281" s="279"/>
      <c r="AI281" s="279"/>
      <c r="AJ281" s="279"/>
      <c r="AK281" s="279"/>
      <c r="AL281" s="279"/>
      <c r="AM281" s="279"/>
      <c r="AN281" s="279"/>
      <c r="AO281" s="279"/>
      <c r="AP281" s="279"/>
      <c r="AQ281" s="279"/>
      <c r="AR281" s="279"/>
      <c r="AS281" s="279"/>
      <c r="AT281" s="279"/>
      <c r="AU281" s="279"/>
      <c r="AV281" s="279"/>
      <c r="AW281" s="279"/>
      <c r="AX281" s="279"/>
      <c r="AY281" s="279"/>
      <c r="AZ281" s="279"/>
      <c r="BA281" s="279"/>
      <c r="BB281" s="279"/>
      <c r="BC281" s="279"/>
      <c r="BD281" s="279"/>
      <c r="BE281" s="279"/>
      <c r="BF281" s="279"/>
      <c r="BG281" s="279"/>
      <c r="BH281" s="279"/>
      <c r="BI281" s="279"/>
      <c r="BJ281" s="279"/>
      <c r="BK281" s="279"/>
      <c r="BL281" s="279"/>
    </row>
    <row r="282" spans="1:64" ht="20.25" customHeight="1">
      <c r="A282" s="707" t="s">
        <v>107</v>
      </c>
      <c r="B282" s="739" t="s">
        <v>921</v>
      </c>
      <c r="C282" s="739"/>
      <c r="D282" s="739"/>
      <c r="E282" s="739"/>
      <c r="F282" s="739"/>
      <c r="G282" s="739"/>
      <c r="H282" s="739"/>
      <c r="I282" s="739"/>
      <c r="J282" s="739"/>
      <c r="K282" s="739"/>
      <c r="L282" s="412"/>
      <c r="M282" s="296"/>
      <c r="N282" s="295"/>
      <c r="O282" s="413"/>
      <c r="P282" s="296"/>
      <c r="Q282" s="296"/>
      <c r="R282" s="295"/>
      <c r="S282" s="295"/>
      <c r="T282" s="295"/>
      <c r="U282" s="279"/>
      <c r="V282" s="279"/>
      <c r="W282" s="279"/>
      <c r="X282" s="279"/>
      <c r="Y282" s="279"/>
      <c r="Z282" s="279"/>
      <c r="AA282" s="279"/>
      <c r="AB282" s="279"/>
      <c r="AC282" s="279"/>
      <c r="AD282" s="279"/>
      <c r="AE282" s="279"/>
      <c r="AF282" s="279"/>
      <c r="AG282" s="279"/>
      <c r="AH282" s="279"/>
      <c r="AI282" s="279"/>
      <c r="AJ282" s="279"/>
      <c r="AK282" s="279"/>
      <c r="AL282" s="279"/>
      <c r="AM282" s="279"/>
      <c r="AN282" s="279"/>
      <c r="AO282" s="279"/>
      <c r="AP282" s="279"/>
      <c r="AQ282" s="279"/>
      <c r="AR282" s="279"/>
      <c r="AS282" s="279"/>
      <c r="AT282" s="279"/>
      <c r="AU282" s="279"/>
      <c r="AV282" s="279"/>
      <c r="AW282" s="279"/>
      <c r="AX282" s="279"/>
      <c r="AY282" s="279"/>
      <c r="AZ282" s="279"/>
      <c r="BA282" s="279"/>
      <c r="BB282" s="279"/>
      <c r="BC282" s="279"/>
      <c r="BD282" s="279"/>
      <c r="BE282" s="279"/>
      <c r="BF282" s="279"/>
      <c r="BG282" s="279"/>
      <c r="BH282" s="279"/>
      <c r="BI282" s="279"/>
      <c r="BJ282" s="279"/>
      <c r="BK282" s="279"/>
      <c r="BL282" s="279"/>
    </row>
    <row r="283" spans="1:64" ht="20.25">
      <c r="A283" s="707" t="s">
        <v>108</v>
      </c>
      <c r="B283" s="739" t="s">
        <v>922</v>
      </c>
      <c r="C283" s="739"/>
      <c r="D283" s="739"/>
      <c r="E283" s="739"/>
      <c r="F283" s="739"/>
      <c r="G283" s="739"/>
      <c r="H283" s="739"/>
      <c r="I283" s="739"/>
      <c r="J283" s="739"/>
      <c r="K283" s="739"/>
      <c r="L283" s="412"/>
      <c r="M283" s="296"/>
      <c r="N283" s="295"/>
      <c r="O283" s="413"/>
      <c r="P283" s="296"/>
      <c r="Q283" s="296"/>
      <c r="R283" s="295"/>
      <c r="S283" s="295"/>
      <c r="T283" s="295"/>
      <c r="U283" s="279"/>
      <c r="V283" s="279"/>
      <c r="W283" s="279"/>
      <c r="X283" s="279"/>
      <c r="Y283" s="279"/>
      <c r="Z283" s="279"/>
      <c r="AA283" s="279"/>
      <c r="AB283" s="279"/>
      <c r="AC283" s="279"/>
      <c r="AD283" s="279"/>
      <c r="AE283" s="279"/>
      <c r="AF283" s="279"/>
      <c r="AG283" s="279"/>
      <c r="AH283" s="279"/>
      <c r="AI283" s="279"/>
      <c r="AJ283" s="279"/>
      <c r="AK283" s="279"/>
      <c r="AL283" s="279"/>
      <c r="AM283" s="279"/>
      <c r="AN283" s="279"/>
      <c r="AO283" s="279"/>
      <c r="AP283" s="279"/>
      <c r="AQ283" s="279"/>
      <c r="AR283" s="279"/>
      <c r="AS283" s="279"/>
      <c r="AT283" s="279"/>
      <c r="AU283" s="279"/>
      <c r="AV283" s="279"/>
      <c r="AW283" s="279"/>
      <c r="AX283" s="279"/>
      <c r="AY283" s="279"/>
      <c r="AZ283" s="279"/>
      <c r="BA283" s="279"/>
      <c r="BB283" s="279"/>
      <c r="BC283" s="279"/>
      <c r="BD283" s="279"/>
      <c r="BE283" s="279"/>
      <c r="BF283" s="279"/>
      <c r="BG283" s="279"/>
      <c r="BH283" s="279"/>
      <c r="BI283" s="279"/>
      <c r="BJ283" s="279"/>
      <c r="BK283" s="279"/>
      <c r="BL283" s="279"/>
    </row>
    <row r="284" spans="1:64" ht="20.25">
      <c r="A284" s="707" t="s">
        <v>109</v>
      </c>
      <c r="B284" s="739" t="s">
        <v>923</v>
      </c>
      <c r="C284" s="739"/>
      <c r="D284" s="739"/>
      <c r="E284" s="739"/>
      <c r="F284" s="739"/>
      <c r="G284" s="739"/>
      <c r="H284" s="739"/>
      <c r="I284" s="739"/>
      <c r="J284" s="739"/>
      <c r="K284" s="739"/>
      <c r="L284" s="412"/>
      <c r="M284" s="296"/>
      <c r="N284" s="295"/>
      <c r="O284" s="413"/>
      <c r="P284" s="618"/>
      <c r="Q284" s="296"/>
      <c r="R284" s="295"/>
      <c r="S284" s="295"/>
      <c r="T284" s="295"/>
      <c r="U284" s="279"/>
      <c r="V284" s="279"/>
      <c r="W284" s="279"/>
      <c r="X284" s="279"/>
      <c r="Y284" s="279"/>
      <c r="Z284" s="279"/>
      <c r="AA284" s="279"/>
      <c r="AB284" s="279"/>
      <c r="AC284" s="279"/>
      <c r="AD284" s="279"/>
      <c r="AE284" s="279"/>
      <c r="AF284" s="279"/>
      <c r="AG284" s="279"/>
      <c r="AH284" s="279"/>
      <c r="AI284" s="279"/>
      <c r="AJ284" s="279"/>
      <c r="AK284" s="279"/>
      <c r="AL284" s="279"/>
      <c r="AM284" s="279"/>
      <c r="AN284" s="279"/>
      <c r="AO284" s="279"/>
      <c r="AP284" s="279"/>
      <c r="AQ284" s="279"/>
      <c r="AR284" s="279"/>
      <c r="AS284" s="279"/>
      <c r="AT284" s="279"/>
      <c r="AU284" s="279"/>
      <c r="AV284" s="279"/>
      <c r="AW284" s="279"/>
      <c r="AX284" s="279"/>
      <c r="AY284" s="279"/>
      <c r="AZ284" s="279"/>
      <c r="BA284" s="279"/>
      <c r="BB284" s="279"/>
      <c r="BC284" s="279"/>
      <c r="BD284" s="279"/>
      <c r="BE284" s="279"/>
      <c r="BF284" s="279"/>
      <c r="BG284" s="279"/>
      <c r="BH284" s="279"/>
      <c r="BI284" s="279"/>
      <c r="BJ284" s="279"/>
      <c r="BK284" s="279"/>
      <c r="BL284" s="279"/>
    </row>
    <row r="285" spans="1:64" ht="20.25">
      <c r="A285" s="707" t="s">
        <v>110</v>
      </c>
      <c r="B285" s="739" t="s">
        <v>923</v>
      </c>
      <c r="C285" s="739"/>
      <c r="D285" s="739"/>
      <c r="E285" s="739"/>
      <c r="F285" s="739"/>
      <c r="G285" s="739"/>
      <c r="H285" s="739"/>
      <c r="I285" s="739"/>
      <c r="J285" s="739"/>
      <c r="K285" s="739"/>
      <c r="L285" s="412"/>
      <c r="M285" s="296"/>
      <c r="N285" s="295"/>
      <c r="O285" s="413"/>
      <c r="P285" s="296"/>
      <c r="Q285" s="296"/>
      <c r="R285" s="295"/>
      <c r="S285" s="295"/>
      <c r="T285" s="295"/>
      <c r="U285" s="279"/>
      <c r="V285" s="279"/>
      <c r="W285" s="279"/>
      <c r="X285" s="279"/>
      <c r="Y285" s="279"/>
      <c r="Z285" s="279"/>
      <c r="AA285" s="279"/>
      <c r="AB285" s="279"/>
      <c r="AC285" s="279"/>
      <c r="AD285" s="279"/>
      <c r="AE285" s="279"/>
      <c r="AF285" s="279"/>
      <c r="AG285" s="279"/>
      <c r="AH285" s="279"/>
      <c r="AI285" s="279"/>
      <c r="AJ285" s="279"/>
      <c r="AK285" s="279"/>
      <c r="AL285" s="279"/>
      <c r="AM285" s="279"/>
      <c r="AN285" s="279"/>
      <c r="AO285" s="279"/>
      <c r="AP285" s="279"/>
      <c r="AQ285" s="279"/>
      <c r="AR285" s="279"/>
      <c r="AS285" s="279"/>
      <c r="AT285" s="279"/>
      <c r="AU285" s="279"/>
      <c r="AV285" s="279"/>
      <c r="AW285" s="279"/>
      <c r="AX285" s="279"/>
      <c r="AY285" s="279"/>
      <c r="AZ285" s="279"/>
      <c r="BA285" s="279"/>
      <c r="BB285" s="279"/>
      <c r="BC285" s="279"/>
      <c r="BD285" s="279"/>
      <c r="BE285" s="279"/>
      <c r="BF285" s="279"/>
      <c r="BG285" s="279"/>
      <c r="BH285" s="279"/>
      <c r="BI285" s="279"/>
      <c r="BJ285" s="279"/>
      <c r="BK285" s="279"/>
      <c r="BL285" s="279"/>
    </row>
    <row r="286" spans="1:64" ht="20.25">
      <c r="A286" s="707" t="s">
        <v>111</v>
      </c>
      <c r="B286" s="739" t="s">
        <v>924</v>
      </c>
      <c r="C286" s="739"/>
      <c r="D286" s="739"/>
      <c r="E286" s="739"/>
      <c r="F286" s="739"/>
      <c r="G286" s="739"/>
      <c r="H286" s="739"/>
      <c r="I286" s="739"/>
      <c r="J286" s="739"/>
      <c r="K286" s="739"/>
      <c r="L286" s="412"/>
      <c r="M286" s="296"/>
      <c r="N286" s="295"/>
      <c r="O286" s="413"/>
      <c r="P286" s="296"/>
      <c r="Q286" s="296"/>
      <c r="R286" s="295"/>
      <c r="S286" s="295"/>
      <c r="T286" s="295"/>
      <c r="U286" s="279"/>
      <c r="V286" s="279"/>
      <c r="W286" s="279"/>
      <c r="X286" s="279"/>
      <c r="Y286" s="279"/>
      <c r="Z286" s="279"/>
      <c r="AA286" s="279"/>
      <c r="AB286" s="279"/>
      <c r="AC286" s="279"/>
      <c r="AD286" s="279"/>
      <c r="AE286" s="279"/>
      <c r="AF286" s="279"/>
      <c r="AG286" s="279"/>
      <c r="AH286" s="279"/>
      <c r="AI286" s="279"/>
      <c r="AJ286" s="279"/>
      <c r="AK286" s="279"/>
      <c r="AL286" s="279"/>
      <c r="AM286" s="279"/>
      <c r="AN286" s="279"/>
      <c r="AO286" s="279"/>
      <c r="AP286" s="279"/>
      <c r="AQ286" s="279"/>
      <c r="AR286" s="279"/>
      <c r="AS286" s="279"/>
      <c r="AT286" s="279"/>
      <c r="AU286" s="279"/>
      <c r="AV286" s="279"/>
      <c r="AW286" s="279"/>
      <c r="AX286" s="279"/>
      <c r="AY286" s="279"/>
      <c r="AZ286" s="279"/>
      <c r="BA286" s="279"/>
      <c r="BB286" s="279"/>
      <c r="BC286" s="279"/>
      <c r="BD286" s="279"/>
      <c r="BE286" s="279"/>
      <c r="BF286" s="279"/>
      <c r="BG286" s="279"/>
      <c r="BH286" s="279"/>
      <c r="BI286" s="279"/>
      <c r="BJ286" s="279"/>
      <c r="BK286" s="279"/>
      <c r="BL286" s="279"/>
    </row>
    <row r="287" spans="1:64" ht="20.25">
      <c r="A287" s="707" t="s">
        <v>112</v>
      </c>
      <c r="B287" s="740" t="s">
        <v>925</v>
      </c>
      <c r="C287" s="740"/>
      <c r="D287" s="740"/>
      <c r="E287" s="740"/>
      <c r="F287" s="740"/>
      <c r="G287" s="740"/>
      <c r="H287" s="740"/>
      <c r="I287" s="740"/>
      <c r="J287" s="740"/>
      <c r="K287" s="740"/>
      <c r="L287" s="412"/>
      <c r="M287" s="296"/>
      <c r="N287" s="295"/>
      <c r="O287" s="413"/>
      <c r="P287" s="296"/>
      <c r="Q287" s="296"/>
      <c r="R287" s="295"/>
      <c r="S287" s="295"/>
      <c r="T287" s="295"/>
      <c r="U287" s="279"/>
      <c r="V287" s="279"/>
      <c r="W287" s="279"/>
      <c r="X287" s="279"/>
      <c r="Y287" s="279"/>
      <c r="Z287" s="279"/>
      <c r="AA287" s="279"/>
      <c r="AB287" s="279"/>
      <c r="AC287" s="279"/>
      <c r="AD287" s="279"/>
      <c r="AE287" s="279"/>
      <c r="AF287" s="279"/>
      <c r="AG287" s="279"/>
      <c r="AH287" s="279"/>
      <c r="AI287" s="279"/>
      <c r="AJ287" s="279"/>
      <c r="AK287" s="279"/>
      <c r="AL287" s="279"/>
      <c r="AM287" s="279"/>
      <c r="AN287" s="279"/>
      <c r="AO287" s="279"/>
      <c r="AP287" s="279"/>
      <c r="AQ287" s="279"/>
      <c r="AR287" s="279"/>
      <c r="AS287" s="279"/>
      <c r="AT287" s="279"/>
      <c r="AU287" s="279"/>
      <c r="AV287" s="279"/>
      <c r="AW287" s="279"/>
      <c r="AX287" s="279"/>
      <c r="AY287" s="279"/>
      <c r="AZ287" s="279"/>
      <c r="BA287" s="279"/>
      <c r="BB287" s="279"/>
      <c r="BC287" s="279"/>
      <c r="BD287" s="279"/>
      <c r="BE287" s="279"/>
      <c r="BF287" s="279"/>
      <c r="BG287" s="279"/>
      <c r="BH287" s="279"/>
      <c r="BI287" s="279"/>
      <c r="BJ287" s="279"/>
      <c r="BK287" s="279"/>
      <c r="BL287" s="279"/>
    </row>
    <row r="288" spans="1:64" ht="20.25">
      <c r="A288" s="707" t="s">
        <v>113</v>
      </c>
      <c r="B288" s="740" t="s">
        <v>114</v>
      </c>
      <c r="C288" s="740"/>
      <c r="D288" s="740"/>
      <c r="E288" s="740"/>
      <c r="F288" s="740"/>
      <c r="G288" s="740"/>
      <c r="H288" s="740"/>
      <c r="I288" s="740"/>
      <c r="J288" s="740"/>
      <c r="K288" s="740"/>
      <c r="L288" s="412"/>
      <c r="M288" s="296"/>
      <c r="N288" s="295"/>
      <c r="O288" s="413"/>
      <c r="P288" s="296"/>
      <c r="Q288" s="296"/>
      <c r="R288" s="295"/>
      <c r="S288" s="295"/>
      <c r="T288" s="295"/>
      <c r="U288" s="279"/>
      <c r="V288" s="279"/>
      <c r="W288" s="279"/>
      <c r="X288" s="279"/>
      <c r="Y288" s="279"/>
      <c r="Z288" s="279"/>
      <c r="AA288" s="279"/>
      <c r="AB288" s="279"/>
      <c r="AC288" s="279"/>
      <c r="AD288" s="279"/>
      <c r="AE288" s="279"/>
      <c r="AF288" s="279"/>
      <c r="AG288" s="279"/>
      <c r="AH288" s="279"/>
      <c r="AI288" s="279"/>
      <c r="AJ288" s="279"/>
      <c r="AK288" s="279"/>
      <c r="AL288" s="279"/>
      <c r="AM288" s="279"/>
      <c r="AN288" s="279"/>
      <c r="AO288" s="279"/>
      <c r="AP288" s="279"/>
      <c r="AQ288" s="279"/>
      <c r="AR288" s="279"/>
      <c r="AS288" s="279"/>
      <c r="AT288" s="279"/>
      <c r="AU288" s="279"/>
      <c r="AV288" s="279"/>
      <c r="AW288" s="279"/>
      <c r="AX288" s="279"/>
      <c r="AY288" s="279"/>
      <c r="AZ288" s="279"/>
      <c r="BA288" s="279"/>
      <c r="BB288" s="279"/>
      <c r="BC288" s="279"/>
      <c r="BD288" s="279"/>
      <c r="BE288" s="279"/>
      <c r="BF288" s="279"/>
      <c r="BG288" s="279"/>
      <c r="BH288" s="279"/>
      <c r="BI288" s="279"/>
      <c r="BJ288" s="279"/>
      <c r="BK288" s="279"/>
      <c r="BL288" s="279"/>
    </row>
    <row r="289" spans="1:64" ht="20.25">
      <c r="A289" s="707" t="s">
        <v>115</v>
      </c>
      <c r="B289" s="740" t="s">
        <v>926</v>
      </c>
      <c r="C289" s="740"/>
      <c r="D289" s="740"/>
      <c r="E289" s="740"/>
      <c r="F289" s="740"/>
      <c r="G289" s="740"/>
      <c r="H289" s="740"/>
      <c r="I289" s="740"/>
      <c r="J289" s="740"/>
      <c r="K289" s="740"/>
      <c r="L289" s="412"/>
      <c r="M289" s="296"/>
      <c r="N289" s="295"/>
      <c r="O289" s="413"/>
      <c r="P289" s="296"/>
      <c r="Q289" s="296"/>
      <c r="R289" s="295"/>
      <c r="S289" s="295"/>
      <c r="T289" s="295"/>
      <c r="U289" s="279"/>
      <c r="V289" s="279"/>
      <c r="W289" s="279"/>
      <c r="X289" s="279"/>
      <c r="Y289" s="279"/>
      <c r="Z289" s="279"/>
      <c r="AA289" s="279"/>
      <c r="AB289" s="279"/>
      <c r="AC289" s="279"/>
      <c r="AD289" s="279"/>
      <c r="AE289" s="279"/>
      <c r="AF289" s="279"/>
      <c r="AG289" s="279"/>
      <c r="AH289" s="279"/>
      <c r="AI289" s="279"/>
      <c r="AJ289" s="279"/>
      <c r="AK289" s="279"/>
      <c r="AL289" s="279"/>
      <c r="AM289" s="279"/>
      <c r="AN289" s="279"/>
      <c r="AO289" s="279"/>
      <c r="AP289" s="279"/>
      <c r="AQ289" s="279"/>
      <c r="AR289" s="279"/>
      <c r="AS289" s="279"/>
      <c r="AT289" s="279"/>
      <c r="AU289" s="279"/>
      <c r="AV289" s="279"/>
      <c r="AW289" s="279"/>
      <c r="AX289" s="279"/>
      <c r="AY289" s="279"/>
      <c r="AZ289" s="279"/>
      <c r="BA289" s="279"/>
      <c r="BB289" s="279"/>
      <c r="BC289" s="279"/>
      <c r="BD289" s="279"/>
      <c r="BE289" s="279"/>
      <c r="BF289" s="279"/>
      <c r="BG289" s="279"/>
      <c r="BH289" s="279"/>
      <c r="BI289" s="279"/>
      <c r="BJ289" s="279"/>
      <c r="BK289" s="279"/>
      <c r="BL289" s="279"/>
    </row>
    <row r="290" spans="1:64" ht="20.25">
      <c r="A290" s="707" t="s">
        <v>116</v>
      </c>
      <c r="B290" s="739" t="s">
        <v>927</v>
      </c>
      <c r="C290" s="739"/>
      <c r="D290" s="739"/>
      <c r="E290" s="739"/>
      <c r="F290" s="739"/>
      <c r="G290" s="739"/>
      <c r="H290" s="739"/>
      <c r="I290" s="739"/>
      <c r="J290" s="739"/>
      <c r="K290" s="739"/>
      <c r="L290" s="412"/>
      <c r="M290" s="296"/>
      <c r="N290" s="295"/>
      <c r="O290" s="413"/>
      <c r="P290" s="296"/>
      <c r="Q290" s="296"/>
      <c r="R290" s="295"/>
      <c r="S290" s="295"/>
      <c r="T290" s="295"/>
      <c r="U290" s="279"/>
      <c r="V290" s="279"/>
      <c r="W290" s="279"/>
      <c r="X290" s="279"/>
      <c r="Y290" s="279"/>
      <c r="Z290" s="279"/>
      <c r="AA290" s="279"/>
      <c r="AB290" s="279"/>
      <c r="AC290" s="279"/>
      <c r="AD290" s="279"/>
      <c r="AE290" s="279"/>
      <c r="AF290" s="279"/>
      <c r="AG290" s="279"/>
      <c r="AH290" s="279"/>
      <c r="AI290" s="279"/>
      <c r="AJ290" s="279"/>
      <c r="AK290" s="279"/>
      <c r="AL290" s="279"/>
      <c r="AM290" s="279"/>
      <c r="AN290" s="279"/>
      <c r="AO290" s="279"/>
      <c r="AP290" s="279"/>
      <c r="AQ290" s="279"/>
      <c r="AR290" s="279"/>
      <c r="AS290" s="279"/>
      <c r="AT290" s="279"/>
      <c r="AU290" s="279"/>
      <c r="AV290" s="279"/>
      <c r="AW290" s="279"/>
      <c r="AX290" s="279"/>
      <c r="AY290" s="279"/>
      <c r="AZ290" s="279"/>
      <c r="BA290" s="279"/>
      <c r="BB290" s="279"/>
      <c r="BC290" s="279"/>
      <c r="BD290" s="279"/>
      <c r="BE290" s="279"/>
      <c r="BF290" s="279"/>
      <c r="BG290" s="279"/>
      <c r="BH290" s="279"/>
      <c r="BI290" s="279"/>
      <c r="BJ290" s="279"/>
      <c r="BK290" s="279"/>
      <c r="BL290" s="279"/>
    </row>
    <row r="291" spans="1:64" ht="20.25">
      <c r="A291" s="707" t="s">
        <v>117</v>
      </c>
      <c r="B291" s="740" t="s">
        <v>928</v>
      </c>
      <c r="C291" s="740"/>
      <c r="D291" s="740"/>
      <c r="E291" s="740"/>
      <c r="F291" s="740"/>
      <c r="G291" s="740"/>
      <c r="H291" s="740"/>
      <c r="I291" s="740"/>
      <c r="J291" s="740"/>
      <c r="K291" s="740"/>
      <c r="L291" s="412"/>
      <c r="M291" s="296"/>
      <c r="N291" s="295"/>
      <c r="O291" s="413"/>
      <c r="P291" s="296"/>
      <c r="Q291" s="296"/>
      <c r="R291" s="295"/>
      <c r="S291" s="295"/>
      <c r="T291" s="295"/>
      <c r="U291" s="279"/>
      <c r="V291" s="279"/>
      <c r="W291" s="279"/>
      <c r="X291" s="279"/>
      <c r="Y291" s="279"/>
      <c r="Z291" s="279"/>
      <c r="AA291" s="279"/>
      <c r="AB291" s="279"/>
      <c r="AC291" s="279"/>
      <c r="AD291" s="279"/>
      <c r="AE291" s="279"/>
      <c r="AF291" s="279"/>
      <c r="AG291" s="279"/>
      <c r="AH291" s="279"/>
      <c r="AI291" s="279"/>
      <c r="AJ291" s="279"/>
      <c r="AK291" s="279"/>
      <c r="AL291" s="279"/>
      <c r="AM291" s="279"/>
      <c r="AN291" s="279"/>
      <c r="AO291" s="279"/>
      <c r="AP291" s="279"/>
      <c r="AQ291" s="279"/>
      <c r="AR291" s="279"/>
      <c r="AS291" s="279"/>
      <c r="AT291" s="279"/>
      <c r="AU291" s="279"/>
      <c r="AV291" s="279"/>
      <c r="AW291" s="279"/>
      <c r="AX291" s="279"/>
      <c r="AY291" s="279"/>
      <c r="AZ291" s="279"/>
      <c r="BA291" s="279"/>
      <c r="BB291" s="279"/>
      <c r="BC291" s="279"/>
      <c r="BD291" s="279"/>
      <c r="BE291" s="279"/>
      <c r="BF291" s="279"/>
      <c r="BG291" s="279"/>
      <c r="BH291" s="279"/>
      <c r="BI291" s="279"/>
      <c r="BJ291" s="279"/>
      <c r="BK291" s="279"/>
      <c r="BL291" s="279"/>
    </row>
    <row r="292" spans="1:64" ht="20.25">
      <c r="A292" s="707" t="s">
        <v>118</v>
      </c>
      <c r="B292" s="740" t="s">
        <v>929</v>
      </c>
      <c r="C292" s="740"/>
      <c r="D292" s="740"/>
      <c r="E292" s="740"/>
      <c r="F292" s="740"/>
      <c r="G292" s="740"/>
      <c r="H292" s="740"/>
      <c r="I292" s="740"/>
      <c r="J292" s="740"/>
      <c r="K292" s="740"/>
      <c r="L292" s="412"/>
      <c r="M292" s="296"/>
      <c r="N292" s="295"/>
      <c r="O292" s="413"/>
      <c r="P292" s="296"/>
      <c r="Q292" s="296"/>
      <c r="R292" s="295"/>
      <c r="S292" s="295"/>
      <c r="T292" s="295"/>
      <c r="U292" s="279"/>
      <c r="V292" s="279"/>
      <c r="W292" s="279"/>
      <c r="X292" s="279"/>
      <c r="Y292" s="279"/>
      <c r="Z292" s="279"/>
      <c r="AA292" s="279"/>
      <c r="AB292" s="279"/>
      <c r="AC292" s="279"/>
      <c r="AD292" s="279"/>
      <c r="AE292" s="279"/>
      <c r="AF292" s="279"/>
      <c r="AG292" s="279"/>
      <c r="AH292" s="279"/>
      <c r="AI292" s="279"/>
      <c r="AJ292" s="279"/>
      <c r="AK292" s="279"/>
      <c r="AL292" s="279"/>
      <c r="AM292" s="279"/>
      <c r="AN292" s="279"/>
      <c r="AO292" s="279"/>
      <c r="AP292" s="279"/>
      <c r="AQ292" s="279"/>
      <c r="AR292" s="279"/>
      <c r="AS292" s="279"/>
      <c r="AT292" s="279"/>
      <c r="AU292" s="279"/>
      <c r="AV292" s="279"/>
      <c r="AW292" s="279"/>
      <c r="AX292" s="279"/>
      <c r="AY292" s="279"/>
      <c r="AZ292" s="279"/>
      <c r="BA292" s="279"/>
      <c r="BB292" s="279"/>
      <c r="BC292" s="279"/>
      <c r="BD292" s="279"/>
      <c r="BE292" s="279"/>
      <c r="BF292" s="279"/>
      <c r="BG292" s="279"/>
      <c r="BH292" s="279"/>
      <c r="BI292" s="279"/>
      <c r="BJ292" s="279"/>
      <c r="BK292" s="279"/>
      <c r="BL292" s="279"/>
    </row>
    <row r="293" spans="1:64" ht="20.25">
      <c r="A293" s="707" t="s">
        <v>669</v>
      </c>
      <c r="B293" s="725" t="s">
        <v>930</v>
      </c>
      <c r="C293" s="726" t="s">
        <v>123</v>
      </c>
      <c r="D293" s="727">
        <v>0</v>
      </c>
      <c r="E293" s="726"/>
      <c r="F293" s="728"/>
      <c r="G293" s="728"/>
      <c r="H293" s="709"/>
      <c r="I293" s="728"/>
      <c r="J293" s="709"/>
      <c r="K293" s="728"/>
      <c r="L293" s="412"/>
      <c r="M293" s="296"/>
      <c r="N293" s="295"/>
      <c r="O293" s="413"/>
      <c r="P293" s="296"/>
      <c r="Q293" s="296"/>
      <c r="R293" s="295"/>
      <c r="S293" s="295"/>
      <c r="T293" s="295"/>
      <c r="U293" s="279"/>
      <c r="V293" s="279"/>
      <c r="W293" s="279"/>
      <c r="X293" s="279"/>
      <c r="Y293" s="279"/>
      <c r="Z293" s="279"/>
      <c r="AA293" s="279"/>
      <c r="AB293" s="279"/>
      <c r="AC293" s="279"/>
      <c r="AD293" s="279"/>
      <c r="AE293" s="279"/>
      <c r="AF293" s="279"/>
      <c r="AG293" s="279"/>
      <c r="AH293" s="279"/>
      <c r="AI293" s="279"/>
      <c r="AJ293" s="279"/>
      <c r="AK293" s="279"/>
      <c r="AL293" s="279"/>
      <c r="AM293" s="279"/>
      <c r="AN293" s="279"/>
      <c r="AO293" s="279"/>
      <c r="AP293" s="279"/>
      <c r="AQ293" s="279"/>
      <c r="AR293" s="279"/>
      <c r="AS293" s="279"/>
      <c r="AT293" s="279"/>
      <c r="AU293" s="279"/>
      <c r="AV293" s="279"/>
      <c r="AW293" s="279"/>
      <c r="AX293" s="279"/>
      <c r="AY293" s="279"/>
      <c r="AZ293" s="279"/>
      <c r="BA293" s="279"/>
      <c r="BB293" s="279"/>
      <c r="BC293" s="279"/>
      <c r="BD293" s="279"/>
      <c r="BE293" s="279"/>
      <c r="BF293" s="279"/>
      <c r="BG293" s="279"/>
      <c r="BH293" s="279"/>
      <c r="BI293" s="279"/>
      <c r="BJ293" s="279"/>
      <c r="BK293" s="279"/>
      <c r="BL293" s="279"/>
    </row>
    <row r="294" spans="1:64" ht="20.25">
      <c r="A294" s="707"/>
      <c r="B294" s="726"/>
      <c r="C294" s="726" t="s">
        <v>124</v>
      </c>
      <c r="D294" s="727">
        <v>0</v>
      </c>
      <c r="E294" s="740" t="s">
        <v>125</v>
      </c>
      <c r="F294" s="740"/>
      <c r="G294" s="740"/>
      <c r="H294" s="740"/>
      <c r="I294" s="740"/>
      <c r="J294" s="740"/>
      <c r="K294" s="740"/>
      <c r="L294" s="412"/>
      <c r="M294" s="296"/>
      <c r="N294" s="295"/>
      <c r="O294" s="413"/>
      <c r="P294" s="296"/>
      <c r="Q294" s="296"/>
      <c r="R294" s="295"/>
      <c r="S294" s="295"/>
      <c r="T294" s="295"/>
      <c r="U294" s="279"/>
      <c r="V294" s="279"/>
      <c r="W294" s="279"/>
      <c r="X294" s="279"/>
      <c r="Y294" s="279"/>
      <c r="Z294" s="279"/>
      <c r="AA294" s="279"/>
      <c r="AB294" s="279"/>
      <c r="AC294" s="279"/>
      <c r="AD294" s="279"/>
      <c r="AE294" s="279"/>
      <c r="AF294" s="279"/>
      <c r="AG294" s="279"/>
      <c r="AH294" s="279"/>
      <c r="AI294" s="279"/>
      <c r="AJ294" s="279"/>
      <c r="AK294" s="279"/>
      <c r="AL294" s="279"/>
      <c r="AM294" s="279"/>
      <c r="AN294" s="279"/>
      <c r="AO294" s="279"/>
      <c r="AP294" s="279"/>
      <c r="AQ294" s="279"/>
      <c r="AR294" s="279"/>
      <c r="AS294" s="279"/>
      <c r="AT294" s="279"/>
      <c r="AU294" s="279"/>
      <c r="AV294" s="279"/>
      <c r="AW294" s="279"/>
      <c r="AX294" s="279"/>
      <c r="AY294" s="279"/>
      <c r="AZ294" s="279"/>
      <c r="BA294" s="279"/>
      <c r="BB294" s="279"/>
      <c r="BC294" s="279"/>
      <c r="BD294" s="279"/>
      <c r="BE294" s="279"/>
      <c r="BF294" s="279"/>
      <c r="BG294" s="279"/>
      <c r="BH294" s="279"/>
      <c r="BI294" s="279"/>
      <c r="BJ294" s="279"/>
      <c r="BK294" s="279"/>
      <c r="BL294" s="279"/>
    </row>
    <row r="295" spans="1:64" ht="20.25">
      <c r="A295" s="707"/>
      <c r="B295" s="726"/>
      <c r="C295" s="726" t="s">
        <v>126</v>
      </c>
      <c r="D295" s="727">
        <v>0</v>
      </c>
      <c r="E295" s="740" t="s">
        <v>127</v>
      </c>
      <c r="F295" s="740"/>
      <c r="G295" s="740"/>
      <c r="H295" s="740"/>
      <c r="I295" s="740"/>
      <c r="J295" s="740"/>
      <c r="K295" s="740"/>
      <c r="L295" s="412"/>
      <c r="M295" s="296"/>
      <c r="N295" s="295"/>
      <c r="O295" s="413"/>
      <c r="P295" s="296"/>
      <c r="Q295" s="296"/>
      <c r="R295" s="295"/>
      <c r="S295" s="295"/>
      <c r="T295" s="295"/>
      <c r="U295" s="279"/>
      <c r="V295" s="279"/>
      <c r="W295" s="279"/>
      <c r="X295" s="279"/>
      <c r="Y295" s="279"/>
      <c r="Z295" s="279"/>
      <c r="AA295" s="279"/>
      <c r="AB295" s="279"/>
      <c r="AC295" s="279"/>
      <c r="AD295" s="279"/>
      <c r="AE295" s="279"/>
      <c r="AF295" s="279"/>
      <c r="AG295" s="279"/>
      <c r="AH295" s="279"/>
      <c r="AI295" s="279"/>
      <c r="AJ295" s="279"/>
      <c r="AK295" s="279"/>
      <c r="AL295" s="279"/>
      <c r="AM295" s="279"/>
      <c r="AN295" s="279"/>
      <c r="AO295" s="279"/>
      <c r="AP295" s="279"/>
      <c r="AQ295" s="279"/>
      <c r="AR295" s="279"/>
      <c r="AS295" s="279"/>
      <c r="AT295" s="279"/>
      <c r="AU295" s="279"/>
      <c r="AV295" s="279"/>
      <c r="AW295" s="279"/>
      <c r="AX295" s="279"/>
      <c r="AY295" s="279"/>
      <c r="AZ295" s="279"/>
      <c r="BA295" s="279"/>
      <c r="BB295" s="279"/>
      <c r="BC295" s="279"/>
      <c r="BD295" s="279"/>
      <c r="BE295" s="279"/>
      <c r="BF295" s="279"/>
      <c r="BG295" s="279"/>
      <c r="BH295" s="279"/>
      <c r="BI295" s="279"/>
      <c r="BJ295" s="279"/>
      <c r="BK295" s="279"/>
      <c r="BL295" s="279"/>
    </row>
    <row r="296" spans="1:64" ht="20.25">
      <c r="A296" s="707" t="s">
        <v>128</v>
      </c>
      <c r="B296" s="740" t="s">
        <v>129</v>
      </c>
      <c r="C296" s="740"/>
      <c r="D296" s="740"/>
      <c r="E296" s="740"/>
      <c r="F296" s="740"/>
      <c r="G296" s="740"/>
      <c r="H296" s="740"/>
      <c r="I296" s="740"/>
      <c r="J296" s="740"/>
      <c r="K296" s="740"/>
      <c r="L296" s="412"/>
      <c r="M296" s="296"/>
      <c r="N296" s="295"/>
      <c r="O296" s="413"/>
      <c r="P296" s="296"/>
      <c r="Q296" s="296"/>
      <c r="R296" s="295"/>
      <c r="S296" s="295"/>
      <c r="T296" s="295"/>
      <c r="U296" s="279"/>
      <c r="V296" s="279"/>
      <c r="W296" s="279"/>
      <c r="X296" s="279"/>
      <c r="Y296" s="279"/>
      <c r="Z296" s="279"/>
      <c r="AA296" s="279"/>
      <c r="AB296" s="279"/>
      <c r="AC296" s="279"/>
      <c r="AD296" s="279"/>
      <c r="AE296" s="279"/>
      <c r="AF296" s="279"/>
      <c r="AG296" s="279"/>
      <c r="AH296" s="279"/>
      <c r="AI296" s="279"/>
      <c r="AJ296" s="279"/>
      <c r="AK296" s="279"/>
      <c r="AL296" s="279"/>
      <c r="AM296" s="279"/>
      <c r="AN296" s="279"/>
      <c r="AO296" s="279"/>
      <c r="AP296" s="279"/>
      <c r="AQ296" s="279"/>
      <c r="AR296" s="279"/>
      <c r="AS296" s="279"/>
      <c r="AT296" s="279"/>
      <c r="AU296" s="279"/>
      <c r="AV296" s="279"/>
      <c r="AW296" s="279"/>
      <c r="AX296" s="279"/>
      <c r="AY296" s="279"/>
      <c r="AZ296" s="279"/>
      <c r="BA296" s="279"/>
      <c r="BB296" s="279"/>
      <c r="BC296" s="279"/>
      <c r="BD296" s="279"/>
      <c r="BE296" s="279"/>
      <c r="BF296" s="279"/>
      <c r="BG296" s="279"/>
      <c r="BH296" s="279"/>
      <c r="BI296" s="279"/>
      <c r="BJ296" s="279"/>
      <c r="BK296" s="279"/>
      <c r="BL296" s="279"/>
    </row>
    <row r="297" spans="1:64" ht="20.25">
      <c r="A297" s="707" t="s">
        <v>130</v>
      </c>
      <c r="B297" s="740" t="s">
        <v>931</v>
      </c>
      <c r="C297" s="740"/>
      <c r="D297" s="740"/>
      <c r="E297" s="740"/>
      <c r="F297" s="740"/>
      <c r="G297" s="740"/>
      <c r="H297" s="740"/>
      <c r="I297" s="740"/>
      <c r="J297" s="740"/>
      <c r="K297" s="740"/>
      <c r="L297" s="412"/>
      <c r="M297" s="296"/>
      <c r="N297" s="295"/>
      <c r="O297" s="413"/>
      <c r="P297" s="342"/>
      <c r="Q297" s="296"/>
      <c r="R297" s="295"/>
      <c r="S297" s="295"/>
      <c r="T297" s="295"/>
      <c r="U297" s="279"/>
      <c r="V297" s="279"/>
      <c r="W297" s="279"/>
      <c r="X297" s="279"/>
      <c r="Y297" s="279"/>
      <c r="Z297" s="279"/>
      <c r="AA297" s="279"/>
      <c r="AB297" s="279"/>
      <c r="AC297" s="279"/>
      <c r="AD297" s="279"/>
      <c r="AE297" s="279"/>
      <c r="AF297" s="279"/>
      <c r="AG297" s="279"/>
      <c r="AH297" s="279"/>
      <c r="AI297" s="279"/>
      <c r="AJ297" s="279"/>
      <c r="AK297" s="279"/>
      <c r="AL297" s="279"/>
      <c r="AM297" s="279"/>
      <c r="AN297" s="279"/>
      <c r="AO297" s="279"/>
      <c r="AP297" s="279"/>
      <c r="AQ297" s="279"/>
      <c r="AR297" s="279"/>
      <c r="AS297" s="279"/>
      <c r="AT297" s="279"/>
      <c r="AU297" s="279"/>
      <c r="AV297" s="279"/>
      <c r="AW297" s="279"/>
      <c r="AX297" s="279"/>
      <c r="AY297" s="279"/>
      <c r="AZ297" s="279"/>
      <c r="BA297" s="279"/>
      <c r="BB297" s="279"/>
      <c r="BC297" s="279"/>
      <c r="BD297" s="279"/>
      <c r="BE297" s="279"/>
      <c r="BF297" s="279"/>
      <c r="BG297" s="279"/>
      <c r="BH297" s="279"/>
      <c r="BI297" s="279"/>
      <c r="BJ297" s="279"/>
      <c r="BK297" s="279"/>
      <c r="BL297" s="279"/>
    </row>
    <row r="298" spans="1:64" ht="20.25">
      <c r="A298" s="707" t="s">
        <v>131</v>
      </c>
      <c r="B298" s="740" t="s">
        <v>132</v>
      </c>
      <c r="C298" s="740"/>
      <c r="D298" s="740"/>
      <c r="E298" s="740"/>
      <c r="F298" s="740"/>
      <c r="G298" s="740"/>
      <c r="H298" s="740"/>
      <c r="I298" s="740"/>
      <c r="J298" s="740"/>
      <c r="K298" s="740"/>
      <c r="L298" s="412"/>
      <c r="M298" s="296"/>
      <c r="N298" s="295"/>
      <c r="O298" s="413"/>
      <c r="P298" s="342"/>
      <c r="Q298" s="296"/>
      <c r="R298" s="295"/>
      <c r="S298" s="295"/>
      <c r="T298" s="295"/>
      <c r="U298" s="279"/>
      <c r="V298" s="279"/>
      <c r="W298" s="279"/>
      <c r="X298" s="279"/>
      <c r="Y298" s="279"/>
      <c r="Z298" s="279"/>
      <c r="AA298" s="279"/>
      <c r="AB298" s="279"/>
      <c r="AC298" s="279"/>
      <c r="AD298" s="279"/>
      <c r="AE298" s="279"/>
      <c r="AF298" s="279"/>
      <c r="AG298" s="279"/>
      <c r="AH298" s="279"/>
      <c r="AI298" s="279"/>
      <c r="AJ298" s="279"/>
      <c r="AK298" s="279"/>
      <c r="AL298" s="279"/>
      <c r="AM298" s="279"/>
      <c r="AN298" s="279"/>
      <c r="AO298" s="279"/>
      <c r="AP298" s="279"/>
      <c r="AQ298" s="279"/>
      <c r="AR298" s="279"/>
      <c r="AS298" s="279"/>
      <c r="AT298" s="279"/>
      <c r="AU298" s="279"/>
      <c r="AV298" s="279"/>
      <c r="AW298" s="279"/>
      <c r="AX298" s="279"/>
      <c r="AY298" s="279"/>
      <c r="AZ298" s="279"/>
      <c r="BA298" s="279"/>
      <c r="BB298" s="279"/>
      <c r="BC298" s="279"/>
      <c r="BD298" s="279"/>
      <c r="BE298" s="279"/>
      <c r="BF298" s="279"/>
      <c r="BG298" s="279"/>
      <c r="BH298" s="279"/>
      <c r="BI298" s="279"/>
      <c r="BJ298" s="279"/>
      <c r="BK298" s="279"/>
      <c r="BL298" s="279"/>
    </row>
    <row r="299" spans="1:64" ht="20.25">
      <c r="A299" s="707" t="s">
        <v>133</v>
      </c>
      <c r="B299" s="740" t="s">
        <v>134</v>
      </c>
      <c r="C299" s="740"/>
      <c r="D299" s="740"/>
      <c r="E299" s="740"/>
      <c r="F299" s="740"/>
      <c r="G299" s="740"/>
      <c r="H299" s="740"/>
      <c r="I299" s="740"/>
      <c r="J299" s="740"/>
      <c r="K299" s="740"/>
      <c r="L299" s="412"/>
      <c r="M299" s="296"/>
      <c r="N299" s="295"/>
      <c r="O299" s="413"/>
      <c r="P299" s="296"/>
      <c r="Q299" s="296"/>
      <c r="R299" s="295"/>
      <c r="S299" s="295"/>
      <c r="T299" s="295"/>
      <c r="U299" s="279"/>
      <c r="V299" s="279"/>
      <c r="W299" s="279"/>
      <c r="X299" s="279"/>
      <c r="Y299" s="279"/>
      <c r="Z299" s="279"/>
      <c r="AA299" s="279"/>
      <c r="AB299" s="279"/>
      <c r="AC299" s="279"/>
      <c r="AD299" s="279"/>
      <c r="AE299" s="279"/>
      <c r="AF299" s="279"/>
      <c r="AG299" s="279"/>
      <c r="AH299" s="279"/>
      <c r="AI299" s="279"/>
      <c r="AJ299" s="279"/>
      <c r="AK299" s="279"/>
      <c r="AL299" s="279"/>
      <c r="AM299" s="279"/>
      <c r="AN299" s="279"/>
      <c r="AO299" s="279"/>
      <c r="AP299" s="279"/>
      <c r="AQ299" s="279"/>
      <c r="AR299" s="279"/>
      <c r="AS299" s="279"/>
      <c r="AT299" s="279"/>
      <c r="AU299" s="279"/>
      <c r="AV299" s="279"/>
      <c r="AW299" s="279"/>
      <c r="AX299" s="279"/>
      <c r="AY299" s="279"/>
      <c r="AZ299" s="279"/>
      <c r="BA299" s="279"/>
      <c r="BB299" s="279"/>
      <c r="BC299" s="279"/>
      <c r="BD299" s="279"/>
      <c r="BE299" s="279"/>
      <c r="BF299" s="279"/>
      <c r="BG299" s="279"/>
      <c r="BH299" s="279"/>
      <c r="BI299" s="279"/>
      <c r="BJ299" s="279"/>
      <c r="BK299" s="279"/>
      <c r="BL299" s="279"/>
    </row>
    <row r="300" spans="1:64" ht="121.5" customHeight="1">
      <c r="A300" s="707" t="s">
        <v>135</v>
      </c>
      <c r="B300" s="759" t="s">
        <v>932</v>
      </c>
      <c r="C300" s="759"/>
      <c r="D300" s="759"/>
      <c r="E300" s="759"/>
      <c r="F300" s="759"/>
      <c r="G300" s="759"/>
      <c r="H300" s="759"/>
      <c r="I300" s="759"/>
      <c r="J300" s="759"/>
      <c r="K300" s="759"/>
      <c r="L300" s="412"/>
      <c r="M300" s="296"/>
      <c r="N300" s="295"/>
      <c r="O300" s="413"/>
      <c r="P300" s="296"/>
      <c r="Q300" s="296"/>
      <c r="R300" s="295"/>
      <c r="S300" s="295"/>
      <c r="T300" s="295"/>
      <c r="U300" s="279"/>
      <c r="V300" s="279"/>
      <c r="W300" s="279"/>
      <c r="X300" s="279"/>
      <c r="Y300" s="279"/>
      <c r="Z300" s="279"/>
      <c r="AA300" s="279"/>
      <c r="AB300" s="279"/>
      <c r="AC300" s="279"/>
      <c r="AD300" s="279"/>
      <c r="AE300" s="279"/>
      <c r="AF300" s="279"/>
      <c r="AG300" s="279"/>
      <c r="AH300" s="279"/>
      <c r="AI300" s="279"/>
      <c r="AJ300" s="279"/>
      <c r="AK300" s="279"/>
      <c r="AL300" s="279"/>
      <c r="AM300" s="279"/>
      <c r="AN300" s="279"/>
      <c r="AO300" s="279"/>
      <c r="AP300" s="279"/>
      <c r="AQ300" s="279"/>
      <c r="AR300" s="279"/>
      <c r="AS300" s="279"/>
      <c r="AT300" s="279"/>
      <c r="AU300" s="279"/>
      <c r="AV300" s="279"/>
      <c r="AW300" s="279"/>
      <c r="AX300" s="279"/>
      <c r="AY300" s="279"/>
      <c r="AZ300" s="279"/>
      <c r="BA300" s="279"/>
      <c r="BB300" s="279"/>
      <c r="BC300" s="279"/>
      <c r="BD300" s="279"/>
      <c r="BE300" s="279"/>
      <c r="BF300" s="279"/>
      <c r="BG300" s="279"/>
      <c r="BH300" s="279"/>
      <c r="BI300" s="279"/>
      <c r="BJ300" s="279"/>
      <c r="BK300" s="279"/>
      <c r="BL300" s="279"/>
    </row>
    <row r="301" spans="1:64" ht="20.25">
      <c r="A301" s="707" t="s">
        <v>136</v>
      </c>
      <c r="B301" s="740" t="s">
        <v>137</v>
      </c>
      <c r="C301" s="740"/>
      <c r="D301" s="740"/>
      <c r="E301" s="740"/>
      <c r="F301" s="740"/>
      <c r="G301" s="740"/>
      <c r="H301" s="740"/>
      <c r="I301" s="740"/>
      <c r="J301" s="740"/>
      <c r="K301" s="740"/>
      <c r="L301" s="412"/>
      <c r="M301" s="296"/>
      <c r="N301" s="295"/>
      <c r="O301" s="413"/>
      <c r="P301" s="296"/>
      <c r="Q301" s="296"/>
      <c r="R301" s="295"/>
      <c r="S301" s="295"/>
      <c r="T301" s="295"/>
      <c r="U301" s="279"/>
      <c r="V301" s="279"/>
      <c r="W301" s="279"/>
      <c r="X301" s="279"/>
      <c r="Y301" s="279"/>
      <c r="Z301" s="279"/>
      <c r="AA301" s="279"/>
      <c r="AB301" s="279"/>
      <c r="AC301" s="279"/>
      <c r="AD301" s="279"/>
      <c r="AE301" s="279"/>
      <c r="AF301" s="279"/>
      <c r="AG301" s="279"/>
      <c r="AH301" s="279"/>
      <c r="AI301" s="279"/>
      <c r="AJ301" s="279"/>
      <c r="AK301" s="279"/>
      <c r="AL301" s="279"/>
      <c r="AM301" s="279"/>
      <c r="AN301" s="279"/>
      <c r="AO301" s="279"/>
      <c r="AP301" s="279"/>
      <c r="AQ301" s="279"/>
      <c r="AR301" s="279"/>
      <c r="AS301" s="279"/>
      <c r="AT301" s="279"/>
      <c r="AU301" s="279"/>
      <c r="AV301" s="279"/>
      <c r="AW301" s="279"/>
      <c r="AX301" s="279"/>
      <c r="AY301" s="279"/>
      <c r="AZ301" s="279"/>
      <c r="BA301" s="279"/>
      <c r="BB301" s="279"/>
      <c r="BC301" s="279"/>
      <c r="BD301" s="279"/>
      <c r="BE301" s="279"/>
      <c r="BF301" s="279"/>
      <c r="BG301" s="279"/>
      <c r="BH301" s="279"/>
      <c r="BI301" s="279"/>
      <c r="BJ301" s="279"/>
      <c r="BK301" s="279"/>
      <c r="BL301" s="279"/>
    </row>
    <row r="302" spans="1:64" ht="20.25">
      <c r="A302" s="707" t="s">
        <v>138</v>
      </c>
      <c r="B302" s="740" t="s">
        <v>139</v>
      </c>
      <c r="C302" s="740"/>
      <c r="D302" s="740"/>
      <c r="E302" s="740"/>
      <c r="F302" s="740"/>
      <c r="G302" s="740"/>
      <c r="H302" s="740"/>
      <c r="I302" s="740"/>
      <c r="J302" s="740"/>
      <c r="K302" s="740"/>
      <c r="L302" s="412"/>
      <c r="M302" s="296"/>
      <c r="N302" s="295"/>
      <c r="O302" s="413"/>
      <c r="P302" s="296"/>
      <c r="Q302" s="296"/>
      <c r="R302" s="295"/>
      <c r="S302" s="295"/>
      <c r="T302" s="295"/>
      <c r="U302" s="279"/>
      <c r="V302" s="279"/>
      <c r="W302" s="279"/>
      <c r="X302" s="279"/>
      <c r="Y302" s="279"/>
      <c r="Z302" s="279"/>
      <c r="AA302" s="279"/>
      <c r="AB302" s="279"/>
      <c r="AC302" s="279"/>
      <c r="AD302" s="279"/>
      <c r="AE302" s="279"/>
      <c r="AF302" s="279"/>
      <c r="AG302" s="279"/>
      <c r="AH302" s="279"/>
      <c r="AI302" s="279"/>
      <c r="AJ302" s="279"/>
      <c r="AK302" s="279"/>
      <c r="AL302" s="279"/>
      <c r="AM302" s="279"/>
      <c r="AN302" s="279"/>
      <c r="AO302" s="279"/>
      <c r="AP302" s="279"/>
      <c r="AQ302" s="279"/>
      <c r="AR302" s="279"/>
      <c r="AS302" s="279"/>
      <c r="AT302" s="279"/>
      <c r="AU302" s="279"/>
      <c r="AV302" s="279"/>
      <c r="AW302" s="279"/>
      <c r="AX302" s="279"/>
      <c r="AY302" s="279"/>
      <c r="AZ302" s="279"/>
      <c r="BA302" s="279"/>
      <c r="BB302" s="279"/>
      <c r="BC302" s="279"/>
      <c r="BD302" s="279"/>
      <c r="BE302" s="279"/>
      <c r="BF302" s="279"/>
      <c r="BG302" s="279"/>
      <c r="BH302" s="279"/>
      <c r="BI302" s="279"/>
      <c r="BJ302" s="279"/>
      <c r="BK302" s="279"/>
      <c r="BL302" s="279"/>
    </row>
    <row r="303" spans="1:64" ht="20.25">
      <c r="A303" s="707" t="s">
        <v>140</v>
      </c>
      <c r="B303" s="740" t="s">
        <v>933</v>
      </c>
      <c r="C303" s="740"/>
      <c r="D303" s="740"/>
      <c r="E303" s="740"/>
      <c r="F303" s="740"/>
      <c r="G303" s="740"/>
      <c r="H303" s="740"/>
      <c r="I303" s="740"/>
      <c r="J303" s="740"/>
      <c r="K303" s="740"/>
      <c r="L303" s="412"/>
      <c r="M303" s="296"/>
      <c r="N303" s="295"/>
      <c r="O303" s="413"/>
      <c r="P303" s="296"/>
      <c r="Q303" s="296"/>
      <c r="R303" s="295"/>
      <c r="S303" s="295"/>
      <c r="T303" s="295"/>
      <c r="U303" s="279"/>
      <c r="V303" s="279"/>
      <c r="W303" s="279"/>
      <c r="X303" s="279"/>
      <c r="Y303" s="279"/>
      <c r="Z303" s="279"/>
      <c r="AA303" s="279"/>
      <c r="AB303" s="279"/>
      <c r="AC303" s="279"/>
      <c r="AD303" s="279"/>
      <c r="AE303" s="279"/>
      <c r="AF303" s="279"/>
      <c r="AG303" s="279"/>
      <c r="AH303" s="279"/>
      <c r="AI303" s="279"/>
      <c r="AJ303" s="279"/>
      <c r="AK303" s="279"/>
      <c r="AL303" s="279"/>
      <c r="AM303" s="279"/>
      <c r="AN303" s="279"/>
      <c r="AO303" s="279"/>
      <c r="AP303" s="279"/>
      <c r="AQ303" s="279"/>
      <c r="AR303" s="279"/>
      <c r="AS303" s="279"/>
      <c r="AT303" s="279"/>
      <c r="AU303" s="279"/>
      <c r="AV303" s="279"/>
      <c r="AW303" s="279"/>
      <c r="AX303" s="279"/>
      <c r="AY303" s="279"/>
      <c r="AZ303" s="279"/>
      <c r="BA303" s="279"/>
      <c r="BB303" s="279"/>
      <c r="BC303" s="279"/>
      <c r="BD303" s="279"/>
      <c r="BE303" s="279"/>
      <c r="BF303" s="279"/>
      <c r="BG303" s="279"/>
      <c r="BH303" s="279"/>
      <c r="BI303" s="279"/>
      <c r="BJ303" s="279"/>
      <c r="BK303" s="279"/>
      <c r="BL303" s="279"/>
    </row>
    <row r="304" spans="1:64" ht="20.25">
      <c r="A304" s="710" t="s">
        <v>141</v>
      </c>
      <c r="B304" s="737" t="s">
        <v>142</v>
      </c>
      <c r="C304" s="737"/>
      <c r="D304" s="737"/>
      <c r="E304" s="737"/>
      <c r="F304" s="737"/>
      <c r="G304" s="737"/>
      <c r="H304" s="737"/>
      <c r="I304" s="737"/>
      <c r="J304" s="737"/>
      <c r="K304" s="737"/>
      <c r="L304" s="412"/>
      <c r="M304" s="296"/>
      <c r="N304" s="295"/>
      <c r="O304" s="413"/>
      <c r="P304" s="296"/>
      <c r="Q304" s="296"/>
      <c r="R304" s="295"/>
      <c r="S304" s="295"/>
      <c r="T304" s="295"/>
      <c r="U304" s="279"/>
      <c r="V304" s="279"/>
      <c r="W304" s="279"/>
      <c r="X304" s="279"/>
      <c r="Y304" s="279"/>
      <c r="Z304" s="279"/>
      <c r="AA304" s="279"/>
      <c r="AB304" s="279"/>
      <c r="AC304" s="279"/>
      <c r="AD304" s="279"/>
      <c r="AE304" s="279"/>
      <c r="AF304" s="279"/>
      <c r="AG304" s="279"/>
      <c r="AH304" s="279"/>
      <c r="AI304" s="279"/>
      <c r="AJ304" s="279"/>
      <c r="AK304" s="279"/>
      <c r="AL304" s="279"/>
      <c r="AM304" s="279"/>
      <c r="AN304" s="279"/>
      <c r="AO304" s="279"/>
      <c r="AP304" s="279"/>
      <c r="AQ304" s="279"/>
      <c r="AR304" s="279"/>
      <c r="AS304" s="279"/>
      <c r="AT304" s="279"/>
      <c r="AU304" s="279"/>
      <c r="AV304" s="279"/>
      <c r="AW304" s="279"/>
      <c r="AX304" s="279"/>
      <c r="AY304" s="279"/>
      <c r="AZ304" s="279"/>
      <c r="BA304" s="279"/>
      <c r="BB304" s="279"/>
      <c r="BC304" s="279"/>
      <c r="BD304" s="279"/>
      <c r="BE304" s="279"/>
      <c r="BF304" s="279"/>
      <c r="BG304" s="279"/>
      <c r="BH304" s="279"/>
      <c r="BI304" s="279"/>
      <c r="BJ304" s="279"/>
      <c r="BK304" s="279"/>
      <c r="BL304" s="279"/>
    </row>
    <row r="305" spans="1:64" ht="20.25">
      <c r="A305" s="710" t="s">
        <v>143</v>
      </c>
      <c r="B305" s="737" t="s">
        <v>807</v>
      </c>
      <c r="C305" s="737"/>
      <c r="D305" s="737"/>
      <c r="E305" s="737"/>
      <c r="F305" s="737"/>
      <c r="G305" s="737"/>
      <c r="H305" s="737"/>
      <c r="I305" s="737"/>
      <c r="J305" s="737"/>
      <c r="K305" s="737"/>
      <c r="L305" s="412"/>
      <c r="M305" s="296"/>
      <c r="N305" s="295"/>
      <c r="O305" s="413"/>
      <c r="P305" s="296"/>
      <c r="Q305" s="296"/>
      <c r="R305" s="295"/>
      <c r="S305" s="295"/>
      <c r="T305" s="295"/>
      <c r="U305" s="279"/>
      <c r="V305" s="279"/>
      <c r="W305" s="279"/>
      <c r="X305" s="279"/>
      <c r="Y305" s="279"/>
      <c r="Z305" s="279"/>
      <c r="AA305" s="279"/>
      <c r="AB305" s="279"/>
      <c r="AC305" s="279"/>
      <c r="AD305" s="279"/>
      <c r="AE305" s="279"/>
      <c r="AF305" s="279"/>
      <c r="AG305" s="279"/>
      <c r="AH305" s="279"/>
      <c r="AI305" s="279"/>
      <c r="AJ305" s="279"/>
      <c r="AK305" s="279"/>
      <c r="AL305" s="279"/>
      <c r="AM305" s="279"/>
      <c r="AN305" s="279"/>
      <c r="AO305" s="279"/>
      <c r="AP305" s="279"/>
      <c r="AQ305" s="279"/>
      <c r="AR305" s="279"/>
      <c r="AS305" s="279"/>
      <c r="AT305" s="279"/>
      <c r="AU305" s="279"/>
      <c r="AV305" s="279"/>
      <c r="AW305" s="279"/>
      <c r="AX305" s="279"/>
      <c r="AY305" s="279"/>
      <c r="AZ305" s="279"/>
      <c r="BA305" s="279"/>
      <c r="BB305" s="279"/>
      <c r="BC305" s="279"/>
      <c r="BD305" s="279"/>
      <c r="BE305" s="279"/>
      <c r="BF305" s="279"/>
      <c r="BG305" s="279"/>
      <c r="BH305" s="279"/>
      <c r="BI305" s="279"/>
      <c r="BJ305" s="279"/>
      <c r="BK305" s="279"/>
      <c r="BL305" s="279"/>
    </row>
    <row r="306" spans="1:64" ht="20.25">
      <c r="A306" s="711" t="s">
        <v>144</v>
      </c>
      <c r="B306" s="737" t="s">
        <v>808</v>
      </c>
      <c r="C306" s="737"/>
      <c r="D306" s="737"/>
      <c r="E306" s="737"/>
      <c r="F306" s="737"/>
      <c r="G306" s="737"/>
      <c r="H306" s="737"/>
      <c r="I306" s="737"/>
      <c r="J306" s="737"/>
      <c r="K306" s="737"/>
      <c r="L306" s="412"/>
      <c r="M306" s="296"/>
      <c r="N306" s="295"/>
      <c r="O306" s="413"/>
      <c r="P306" s="296"/>
      <c r="Q306" s="296"/>
      <c r="R306" s="295"/>
      <c r="S306" s="295"/>
      <c r="T306" s="295"/>
      <c r="U306" s="279"/>
      <c r="V306" s="279"/>
      <c r="W306" s="279"/>
      <c r="X306" s="279"/>
      <c r="Y306" s="279"/>
      <c r="Z306" s="279"/>
      <c r="AA306" s="279"/>
      <c r="AB306" s="279"/>
      <c r="AC306" s="279"/>
      <c r="AD306" s="279"/>
      <c r="AE306" s="279"/>
      <c r="AF306" s="279"/>
      <c r="AG306" s="279"/>
      <c r="AH306" s="279"/>
      <c r="AI306" s="279"/>
      <c r="AJ306" s="279"/>
      <c r="AK306" s="279"/>
      <c r="AL306" s="279"/>
      <c r="AM306" s="279"/>
      <c r="AN306" s="279"/>
      <c r="AO306" s="279"/>
      <c r="AP306" s="279"/>
      <c r="AQ306" s="279"/>
      <c r="AR306" s="279"/>
      <c r="AS306" s="279"/>
      <c r="AT306" s="279"/>
      <c r="AU306" s="279"/>
      <c r="AV306" s="279"/>
      <c r="AW306" s="279"/>
      <c r="AX306" s="279"/>
      <c r="AY306" s="279"/>
      <c r="AZ306" s="279"/>
      <c r="BA306" s="279"/>
      <c r="BB306" s="279"/>
      <c r="BC306" s="279"/>
      <c r="BD306" s="279"/>
      <c r="BE306" s="279"/>
      <c r="BF306" s="279"/>
      <c r="BG306" s="279"/>
      <c r="BH306" s="279"/>
      <c r="BI306" s="279"/>
      <c r="BJ306" s="279"/>
      <c r="BK306" s="279"/>
      <c r="BL306" s="279"/>
    </row>
    <row r="307" spans="1:64" ht="20.25">
      <c r="A307" s="711" t="s">
        <v>145</v>
      </c>
      <c r="B307" s="737" t="s">
        <v>934</v>
      </c>
      <c r="C307" s="737"/>
      <c r="D307" s="737"/>
      <c r="E307" s="737"/>
      <c r="F307" s="737"/>
      <c r="G307" s="737"/>
      <c r="H307" s="737"/>
      <c r="I307" s="737"/>
      <c r="J307" s="737"/>
      <c r="K307" s="737"/>
      <c r="L307" s="412"/>
      <c r="M307" s="294"/>
      <c r="N307" s="295"/>
      <c r="O307" s="413"/>
      <c r="P307" s="296"/>
      <c r="Q307" s="296"/>
      <c r="R307" s="295"/>
      <c r="S307" s="295"/>
      <c r="T307" s="295"/>
      <c r="U307" s="279"/>
      <c r="V307" s="279"/>
      <c r="W307" s="279"/>
      <c r="X307" s="279"/>
      <c r="Y307" s="279"/>
      <c r="Z307" s="279"/>
      <c r="AA307" s="279"/>
      <c r="AB307" s="279"/>
      <c r="AC307" s="279"/>
      <c r="AD307" s="279"/>
      <c r="AE307" s="279"/>
      <c r="AF307" s="279"/>
      <c r="AG307" s="279"/>
      <c r="AH307" s="279"/>
      <c r="AI307" s="279"/>
      <c r="AJ307" s="279"/>
      <c r="AK307" s="279"/>
      <c r="AL307" s="279"/>
      <c r="AM307" s="279"/>
      <c r="AN307" s="279"/>
      <c r="AO307" s="279"/>
      <c r="AP307" s="279"/>
      <c r="AQ307" s="279"/>
      <c r="AR307" s="279"/>
      <c r="AS307" s="279"/>
      <c r="AT307" s="279"/>
      <c r="AU307" s="279"/>
      <c r="AV307" s="279"/>
      <c r="AW307" s="279"/>
      <c r="AX307" s="279"/>
      <c r="AY307" s="279"/>
      <c r="AZ307" s="279"/>
      <c r="BA307" s="279"/>
      <c r="BB307" s="279"/>
      <c r="BC307" s="279"/>
      <c r="BD307" s="279"/>
      <c r="BE307" s="279"/>
      <c r="BF307" s="279"/>
      <c r="BG307" s="279"/>
      <c r="BH307" s="279"/>
      <c r="BI307" s="279"/>
      <c r="BJ307" s="279"/>
      <c r="BK307" s="279"/>
      <c r="BL307" s="279"/>
    </row>
    <row r="308" spans="1:64" ht="20.25">
      <c r="A308" s="710" t="s">
        <v>146</v>
      </c>
      <c r="B308" s="737" t="s">
        <v>935</v>
      </c>
      <c r="C308" s="737"/>
      <c r="D308" s="737"/>
      <c r="E308" s="737"/>
      <c r="F308" s="737"/>
      <c r="G308" s="737"/>
      <c r="H308" s="737"/>
      <c r="I308" s="737"/>
      <c r="J308" s="737"/>
      <c r="K308" s="737"/>
      <c r="L308" s="412"/>
      <c r="M308" s="296"/>
      <c r="N308" s="295"/>
      <c r="O308" s="413"/>
      <c r="P308" s="296"/>
      <c r="Q308" s="296"/>
      <c r="R308" s="295"/>
      <c r="S308" s="295"/>
      <c r="T308" s="295"/>
      <c r="U308" s="279"/>
      <c r="V308" s="279"/>
      <c r="W308" s="279"/>
      <c r="X308" s="279"/>
      <c r="Y308" s="279"/>
      <c r="Z308" s="279"/>
      <c r="AA308" s="279"/>
      <c r="AB308" s="279"/>
      <c r="AC308" s="279"/>
      <c r="AD308" s="279"/>
      <c r="AE308" s="279"/>
      <c r="AF308" s="279"/>
      <c r="AG308" s="279"/>
      <c r="AH308" s="279"/>
      <c r="AI308" s="279"/>
      <c r="AJ308" s="279"/>
      <c r="AK308" s="279"/>
      <c r="AL308" s="279"/>
      <c r="AM308" s="279"/>
      <c r="AN308" s="279"/>
      <c r="AO308" s="279"/>
      <c r="AP308" s="279"/>
      <c r="AQ308" s="279"/>
      <c r="AR308" s="279"/>
      <c r="AS308" s="279"/>
      <c r="AT308" s="279"/>
      <c r="AU308" s="279"/>
      <c r="AV308" s="279"/>
      <c r="AW308" s="279"/>
      <c r="AX308" s="279"/>
      <c r="AY308" s="279"/>
      <c r="AZ308" s="279"/>
      <c r="BA308" s="279"/>
      <c r="BB308" s="279"/>
      <c r="BC308" s="279"/>
      <c r="BD308" s="279"/>
      <c r="BE308" s="279"/>
      <c r="BF308" s="279"/>
      <c r="BG308" s="279"/>
      <c r="BH308" s="279"/>
      <c r="BI308" s="279"/>
      <c r="BJ308" s="279"/>
      <c r="BK308" s="279"/>
      <c r="BL308" s="279"/>
    </row>
    <row r="309" spans="1:64" ht="20.25">
      <c r="A309" s="711" t="s">
        <v>809</v>
      </c>
      <c r="B309" s="737" t="s">
        <v>936</v>
      </c>
      <c r="C309" s="737"/>
      <c r="D309" s="737"/>
      <c r="E309" s="737"/>
      <c r="F309" s="737"/>
      <c r="G309" s="737"/>
      <c r="H309" s="737"/>
      <c r="I309" s="737"/>
      <c r="J309" s="737"/>
      <c r="K309" s="737"/>
      <c r="L309" s="412"/>
      <c r="M309" s="296"/>
      <c r="N309" s="295"/>
      <c r="O309" s="413"/>
      <c r="P309" s="296"/>
      <c r="Q309" s="296"/>
      <c r="R309" s="295"/>
      <c r="S309" s="295"/>
      <c r="T309" s="295"/>
      <c r="U309" s="279"/>
      <c r="V309" s="279"/>
      <c r="W309" s="279"/>
      <c r="X309" s="279"/>
      <c r="Y309" s="279"/>
      <c r="Z309" s="279"/>
      <c r="AA309" s="279"/>
      <c r="AB309" s="279"/>
      <c r="AC309" s="279"/>
      <c r="AD309" s="279"/>
      <c r="AE309" s="279"/>
      <c r="AF309" s="279"/>
      <c r="AG309" s="279"/>
      <c r="AH309" s="279"/>
      <c r="AI309" s="279"/>
      <c r="AJ309" s="279"/>
      <c r="AK309" s="279"/>
      <c r="AL309" s="279"/>
      <c r="AM309" s="279"/>
      <c r="AN309" s="279"/>
      <c r="AO309" s="279"/>
      <c r="AP309" s="279"/>
      <c r="AQ309" s="279"/>
      <c r="AR309" s="279"/>
      <c r="AS309" s="279"/>
      <c r="AT309" s="279"/>
      <c r="AU309" s="279"/>
      <c r="AV309" s="279"/>
      <c r="AW309" s="279"/>
      <c r="AX309" s="279"/>
      <c r="AY309" s="279"/>
      <c r="AZ309" s="279"/>
      <c r="BA309" s="279"/>
      <c r="BB309" s="279"/>
      <c r="BC309" s="279"/>
      <c r="BD309" s="279"/>
      <c r="BE309" s="279"/>
      <c r="BF309" s="279"/>
      <c r="BG309" s="279"/>
      <c r="BH309" s="279"/>
      <c r="BI309" s="279"/>
      <c r="BJ309" s="279"/>
      <c r="BK309" s="279"/>
      <c r="BL309" s="279"/>
    </row>
    <row r="310" spans="1:64" ht="20.25">
      <c r="A310" s="710" t="s">
        <v>810</v>
      </c>
      <c r="B310" s="737" t="s">
        <v>937</v>
      </c>
      <c r="C310" s="737"/>
      <c r="D310" s="737"/>
      <c r="E310" s="737"/>
      <c r="F310" s="737"/>
      <c r="G310" s="737"/>
      <c r="H310" s="737"/>
      <c r="I310" s="737"/>
      <c r="J310" s="737"/>
      <c r="K310" s="737"/>
      <c r="L310" s="412"/>
      <c r="M310" s="619"/>
      <c r="N310" s="295"/>
      <c r="O310" s="413"/>
      <c r="P310" s="296"/>
      <c r="Q310" s="296"/>
      <c r="R310" s="295"/>
      <c r="S310" s="295"/>
      <c r="T310" s="295"/>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79"/>
      <c r="AY310" s="279"/>
      <c r="AZ310" s="279"/>
      <c r="BA310" s="279"/>
      <c r="BB310" s="279"/>
      <c r="BC310" s="279"/>
      <c r="BD310" s="279"/>
      <c r="BE310" s="279"/>
      <c r="BF310" s="279"/>
      <c r="BG310" s="279"/>
      <c r="BH310" s="279"/>
      <c r="BI310" s="279"/>
      <c r="BJ310" s="279"/>
      <c r="BK310" s="279"/>
      <c r="BL310" s="279"/>
    </row>
    <row r="311" spans="1:64" ht="18.75" customHeight="1">
      <c r="A311" s="710" t="s">
        <v>811</v>
      </c>
      <c r="B311" s="729" t="s">
        <v>812</v>
      </c>
      <c r="C311" s="712"/>
      <c r="D311" s="712"/>
      <c r="E311" s="712"/>
      <c r="F311" s="712"/>
      <c r="G311" s="712"/>
      <c r="H311" s="712"/>
      <c r="I311" s="712"/>
      <c r="J311" s="712"/>
      <c r="K311" s="712"/>
      <c r="L311" s="313"/>
      <c r="M311" s="296"/>
      <c r="N311" s="295"/>
      <c r="O311" s="413"/>
      <c r="P311" s="296"/>
      <c r="Q311" s="296"/>
      <c r="R311" s="295"/>
      <c r="S311" s="295"/>
      <c r="T311" s="295"/>
      <c r="U311" s="279"/>
      <c r="V311" s="279"/>
      <c r="W311" s="279"/>
      <c r="X311" s="279"/>
      <c r="Y311" s="279"/>
      <c r="Z311" s="279"/>
      <c r="AA311" s="279"/>
      <c r="AB311" s="279"/>
      <c r="AC311" s="279"/>
      <c r="AD311" s="279"/>
      <c r="AE311" s="279"/>
      <c r="AF311" s="279"/>
      <c r="AG311" s="279"/>
      <c r="AH311" s="279"/>
      <c r="AI311" s="279"/>
      <c r="AJ311" s="279"/>
      <c r="AK311" s="279"/>
      <c r="AL311" s="279"/>
      <c r="AM311" s="279"/>
      <c r="AN311" s="279"/>
      <c r="AO311" s="279"/>
      <c r="AP311" s="279"/>
      <c r="AQ311" s="279"/>
      <c r="AR311" s="279"/>
      <c r="AS311" s="279"/>
      <c r="AT311" s="279"/>
      <c r="AU311" s="279"/>
      <c r="AV311" s="279"/>
      <c r="AW311" s="279"/>
      <c r="AX311" s="279"/>
      <c r="AY311" s="279"/>
      <c r="AZ311" s="279"/>
      <c r="BA311" s="279"/>
      <c r="BB311" s="279"/>
      <c r="BC311" s="279"/>
      <c r="BD311" s="279"/>
      <c r="BE311" s="279"/>
      <c r="BF311" s="279"/>
      <c r="BG311" s="279"/>
      <c r="BH311" s="279"/>
      <c r="BI311" s="279"/>
      <c r="BJ311" s="279"/>
      <c r="BK311" s="279"/>
      <c r="BL311" s="279"/>
    </row>
    <row r="312" spans="1:64" ht="18.75" customHeight="1">
      <c r="A312" s="710" t="s">
        <v>813</v>
      </c>
      <c r="B312" s="730" t="s">
        <v>814</v>
      </c>
      <c r="C312" s="712"/>
      <c r="D312" s="712"/>
      <c r="E312" s="712"/>
      <c r="F312" s="712"/>
      <c r="G312" s="712"/>
      <c r="H312" s="712"/>
      <c r="I312" s="712"/>
      <c r="J312" s="712"/>
      <c r="K312" s="712"/>
      <c r="L312" s="313"/>
      <c r="M312" s="414"/>
      <c r="N312" s="295"/>
      <c r="O312" s="413"/>
      <c r="P312" s="296"/>
      <c r="Q312" s="296"/>
      <c r="R312" s="295"/>
      <c r="S312" s="295"/>
      <c r="T312" s="295"/>
      <c r="U312" s="279"/>
      <c r="V312" s="279"/>
      <c r="W312" s="279"/>
      <c r="X312" s="279"/>
      <c r="Y312" s="279"/>
      <c r="Z312" s="279"/>
      <c r="AA312" s="279"/>
      <c r="AB312" s="279"/>
      <c r="AC312" s="279"/>
      <c r="AD312" s="279"/>
      <c r="AE312" s="279"/>
      <c r="AF312" s="279"/>
      <c r="AG312" s="279"/>
      <c r="AH312" s="279"/>
      <c r="AI312" s="279"/>
      <c r="AJ312" s="279"/>
      <c r="AK312" s="279"/>
      <c r="AL312" s="279"/>
      <c r="AM312" s="279"/>
      <c r="AN312" s="279"/>
      <c r="AO312" s="279"/>
      <c r="AP312" s="279"/>
      <c r="AQ312" s="279"/>
      <c r="AR312" s="279"/>
      <c r="AS312" s="279"/>
      <c r="AT312" s="279"/>
      <c r="AU312" s="279"/>
      <c r="AV312" s="279"/>
      <c r="AW312" s="279"/>
      <c r="AX312" s="279"/>
      <c r="AY312" s="279"/>
      <c r="AZ312" s="279"/>
      <c r="BA312" s="279"/>
      <c r="BB312" s="279"/>
      <c r="BC312" s="279"/>
      <c r="BD312" s="279"/>
      <c r="BE312" s="279"/>
      <c r="BF312" s="279"/>
      <c r="BG312" s="279"/>
      <c r="BH312" s="279"/>
      <c r="BI312" s="279"/>
      <c r="BJ312" s="279"/>
      <c r="BK312" s="279"/>
      <c r="BL312" s="279"/>
    </row>
    <row r="313" spans="1:64" ht="18.75" customHeight="1">
      <c r="A313" s="731" t="s">
        <v>938</v>
      </c>
      <c r="B313" s="732" t="s">
        <v>939</v>
      </c>
      <c r="C313" s="703"/>
      <c r="D313" s="709"/>
      <c r="E313" s="709"/>
      <c r="F313" s="709"/>
      <c r="G313" s="709"/>
      <c r="H313" s="709"/>
      <c r="I313" s="709"/>
      <c r="J313" s="709"/>
      <c r="K313" s="709"/>
      <c r="L313" s="313"/>
      <c r="M313" s="414"/>
      <c r="N313" s="295"/>
      <c r="O313" s="413"/>
      <c r="P313" s="342"/>
      <c r="Q313" s="296"/>
      <c r="R313" s="295"/>
      <c r="S313" s="295"/>
      <c r="T313" s="295"/>
      <c r="U313" s="279"/>
      <c r="V313" s="279"/>
      <c r="W313" s="279"/>
      <c r="X313" s="279"/>
      <c r="Y313" s="279"/>
      <c r="Z313" s="279"/>
      <c r="AA313" s="279"/>
      <c r="AB313" s="279"/>
      <c r="AC313" s="279"/>
      <c r="AD313" s="279"/>
      <c r="AE313" s="279"/>
      <c r="AF313" s="279"/>
      <c r="AG313" s="279"/>
      <c r="AH313" s="279"/>
      <c r="AI313" s="279"/>
      <c r="AJ313" s="279"/>
      <c r="AK313" s="279"/>
      <c r="AL313" s="279"/>
      <c r="AM313" s="279"/>
      <c r="AN313" s="279"/>
      <c r="AO313" s="279"/>
      <c r="AP313" s="279"/>
      <c r="AQ313" s="279"/>
      <c r="AR313" s="279"/>
      <c r="AS313" s="279"/>
      <c r="AT313" s="279"/>
      <c r="AU313" s="279"/>
      <c r="AV313" s="279"/>
      <c r="AW313" s="279"/>
      <c r="AX313" s="279"/>
      <c r="AY313" s="279"/>
      <c r="AZ313" s="279"/>
      <c r="BA313" s="279"/>
      <c r="BB313" s="279"/>
      <c r="BC313" s="279"/>
      <c r="BD313" s="279"/>
      <c r="BE313" s="279"/>
      <c r="BF313" s="279"/>
      <c r="BG313" s="279"/>
      <c r="BH313" s="279"/>
      <c r="BI313" s="279"/>
      <c r="BJ313" s="279"/>
      <c r="BK313" s="279"/>
      <c r="BL313" s="279"/>
    </row>
    <row r="314" spans="1:64" ht="18.75">
      <c r="A314" s="731"/>
      <c r="B314" s="732" t="s">
        <v>940</v>
      </c>
      <c r="C314" s="703"/>
      <c r="D314" s="709"/>
      <c r="E314" s="709"/>
      <c r="F314" s="709"/>
      <c r="G314" s="709"/>
      <c r="H314" s="709"/>
      <c r="I314" s="709"/>
      <c r="J314" s="709"/>
      <c r="K314" s="709"/>
      <c r="L314" s="313"/>
      <c r="M314" s="414"/>
      <c r="N314" s="295"/>
      <c r="O314" s="413"/>
      <c r="P314" s="342"/>
      <c r="Q314" s="296"/>
      <c r="R314" s="295"/>
      <c r="S314" s="295"/>
      <c r="T314" s="295"/>
      <c r="U314" s="279"/>
      <c r="V314" s="279"/>
      <c r="W314" s="279"/>
      <c r="X314" s="279"/>
      <c r="Y314" s="279"/>
      <c r="Z314" s="279"/>
      <c r="AA314" s="279"/>
      <c r="AB314" s="279"/>
      <c r="AC314" s="279"/>
      <c r="AD314" s="279"/>
      <c r="AE314" s="279"/>
      <c r="AF314" s="279"/>
      <c r="AG314" s="279"/>
      <c r="AH314" s="279"/>
      <c r="AI314" s="279"/>
      <c r="AJ314" s="279"/>
      <c r="AK314" s="279"/>
      <c r="AL314" s="279"/>
      <c r="AM314" s="279"/>
      <c r="AN314" s="279"/>
      <c r="AO314" s="279"/>
      <c r="AP314" s="279"/>
      <c r="AQ314" s="279"/>
      <c r="AR314" s="279"/>
      <c r="AS314" s="279"/>
      <c r="AT314" s="279"/>
      <c r="AU314" s="279"/>
      <c r="AV314" s="279"/>
      <c r="AW314" s="279"/>
      <c r="AX314" s="279"/>
      <c r="AY314" s="279"/>
      <c r="AZ314" s="279"/>
      <c r="BA314" s="279"/>
      <c r="BB314" s="279"/>
      <c r="BC314" s="279"/>
      <c r="BD314" s="279"/>
      <c r="BE314" s="279"/>
      <c r="BF314" s="279"/>
      <c r="BG314" s="279"/>
      <c r="BH314" s="279"/>
      <c r="BI314" s="279"/>
      <c r="BJ314" s="279"/>
      <c r="BK314" s="279"/>
      <c r="BL314" s="279"/>
    </row>
    <row r="315" spans="1:64" ht="30.75" customHeight="1">
      <c r="A315" s="731" t="s">
        <v>941</v>
      </c>
      <c r="B315" s="732" t="s">
        <v>942</v>
      </c>
      <c r="C315" s="703"/>
      <c r="D315" s="713"/>
      <c r="E315" s="713"/>
      <c r="F315" s="713"/>
      <c r="G315" s="713"/>
      <c r="H315" s="713"/>
      <c r="I315" s="713"/>
      <c r="J315" s="713"/>
      <c r="K315" s="713"/>
      <c r="L315" s="313"/>
      <c r="M315" s="414"/>
      <c r="N315" s="295"/>
      <c r="O315" s="413"/>
      <c r="P315" s="342"/>
      <c r="Q315" s="296"/>
      <c r="R315" s="295"/>
      <c r="S315" s="295"/>
      <c r="T315" s="295"/>
      <c r="U315" s="279"/>
      <c r="V315" s="279"/>
      <c r="W315" s="279"/>
      <c r="X315" s="279"/>
      <c r="Y315" s="279"/>
      <c r="Z315" s="279"/>
      <c r="AA315" s="279"/>
      <c r="AB315" s="279"/>
      <c r="AC315" s="279"/>
      <c r="AD315" s="279"/>
      <c r="AE315" s="279"/>
      <c r="AF315" s="279"/>
      <c r="AG315" s="279"/>
      <c r="AH315" s="279"/>
      <c r="AI315" s="279"/>
      <c r="AJ315" s="279"/>
      <c r="AK315" s="279"/>
      <c r="AL315" s="279"/>
      <c r="AM315" s="279"/>
      <c r="AN315" s="279"/>
      <c r="AO315" s="279"/>
      <c r="AP315" s="279"/>
      <c r="AQ315" s="279"/>
      <c r="AR315" s="279"/>
      <c r="AS315" s="279"/>
      <c r="AT315" s="279"/>
      <c r="AU315" s="279"/>
      <c r="AV315" s="279"/>
      <c r="AW315" s="279"/>
      <c r="AX315" s="279"/>
      <c r="AY315" s="279"/>
      <c r="AZ315" s="279"/>
      <c r="BA315" s="279"/>
      <c r="BB315" s="279"/>
      <c r="BC315" s="279"/>
      <c r="BD315" s="279"/>
      <c r="BE315" s="279"/>
      <c r="BF315" s="279"/>
      <c r="BG315" s="279"/>
      <c r="BH315" s="279"/>
      <c r="BI315" s="279"/>
      <c r="BJ315" s="279"/>
      <c r="BK315" s="279"/>
      <c r="BL315" s="279"/>
    </row>
    <row r="316" spans="1:64" ht="27.75" customHeight="1">
      <c r="A316" s="731"/>
      <c r="B316" s="732" t="s">
        <v>943</v>
      </c>
      <c r="C316" s="703"/>
      <c r="D316" s="713"/>
      <c r="E316" s="713"/>
      <c r="F316" s="713"/>
      <c r="G316" s="713"/>
      <c r="H316" s="713"/>
      <c r="I316" s="713"/>
      <c r="J316" s="713"/>
      <c r="K316" s="713"/>
      <c r="L316" s="313"/>
      <c r="M316" s="414"/>
      <c r="N316" s="295"/>
      <c r="O316" s="413"/>
      <c r="P316" s="342"/>
      <c r="Q316" s="296"/>
      <c r="R316" s="295"/>
      <c r="S316" s="295"/>
      <c r="T316" s="295"/>
      <c r="U316" s="279"/>
      <c r="V316" s="279"/>
      <c r="W316" s="279"/>
      <c r="X316" s="279"/>
      <c r="Y316" s="279"/>
      <c r="Z316" s="279"/>
      <c r="AA316" s="279"/>
      <c r="AB316" s="279"/>
      <c r="AC316" s="279"/>
      <c r="AD316" s="279"/>
      <c r="AE316" s="279"/>
      <c r="AF316" s="279"/>
      <c r="AG316" s="279"/>
      <c r="AH316" s="279"/>
      <c r="AI316" s="279"/>
      <c r="AJ316" s="279"/>
      <c r="AK316" s="279"/>
      <c r="AL316" s="279"/>
      <c r="AM316" s="279"/>
      <c r="AN316" s="279"/>
      <c r="AO316" s="279"/>
      <c r="AP316" s="279"/>
      <c r="AQ316" s="279"/>
      <c r="AR316" s="279"/>
      <c r="AS316" s="279"/>
      <c r="AT316" s="279"/>
      <c r="AU316" s="279"/>
      <c r="AV316" s="279"/>
      <c r="AW316" s="279"/>
      <c r="AX316" s="279"/>
      <c r="AY316" s="279"/>
      <c r="AZ316" s="279"/>
      <c r="BA316" s="279"/>
      <c r="BB316" s="279"/>
      <c r="BC316" s="279"/>
      <c r="BD316" s="279"/>
      <c r="BE316" s="279"/>
      <c r="BF316" s="279"/>
      <c r="BG316" s="279"/>
      <c r="BH316" s="279"/>
      <c r="BI316" s="279"/>
      <c r="BJ316" s="279"/>
      <c r="BK316" s="279"/>
      <c r="BL316" s="279"/>
    </row>
    <row r="317" spans="1:64" ht="26.25" customHeight="1">
      <c r="A317"/>
      <c r="B317"/>
      <c r="C317"/>
      <c r="D317"/>
      <c r="E317"/>
      <c r="F317"/>
      <c r="G317"/>
      <c r="H317"/>
      <c r="I317"/>
      <c r="J317"/>
      <c r="K317"/>
      <c r="L317" s="313"/>
      <c r="M317" s="414"/>
      <c r="N317" s="295"/>
      <c r="O317" s="413"/>
      <c r="P317" s="296"/>
      <c r="Q317" s="296"/>
      <c r="R317" s="295"/>
      <c r="S317" s="295"/>
      <c r="T317" s="295"/>
      <c r="U317" s="279"/>
      <c r="V317" s="279"/>
      <c r="W317" s="279"/>
      <c r="X317" s="279"/>
      <c r="Y317" s="279"/>
      <c r="Z317" s="279"/>
      <c r="AA317" s="279"/>
      <c r="AB317" s="279"/>
      <c r="AC317" s="279"/>
      <c r="AD317" s="279"/>
      <c r="AE317" s="279"/>
      <c r="AF317" s="279"/>
      <c r="AG317" s="279"/>
      <c r="AH317" s="279"/>
      <c r="AI317" s="279"/>
      <c r="AJ317" s="279"/>
      <c r="AK317" s="279"/>
      <c r="AL317" s="279"/>
      <c r="AM317" s="279"/>
      <c r="AN317" s="279"/>
      <c r="AO317" s="279"/>
      <c r="AP317" s="279"/>
      <c r="AQ317" s="279"/>
      <c r="AR317" s="279"/>
      <c r="AS317" s="279"/>
      <c r="AT317" s="279"/>
      <c r="AU317" s="279"/>
      <c r="AV317" s="279"/>
      <c r="AW317" s="279"/>
      <c r="AX317" s="279"/>
      <c r="AY317" s="279"/>
      <c r="AZ317" s="279"/>
      <c r="BA317" s="279"/>
      <c r="BB317" s="279"/>
      <c r="BC317" s="279"/>
      <c r="BD317" s="279"/>
      <c r="BE317" s="279"/>
      <c r="BF317" s="279"/>
      <c r="BG317" s="279"/>
      <c r="BH317" s="279"/>
      <c r="BI317" s="279"/>
      <c r="BJ317" s="279"/>
      <c r="BK317" s="279"/>
      <c r="BL317" s="279"/>
    </row>
    <row r="318" spans="1:64" ht="30.75" customHeight="1">
      <c r="A318"/>
      <c r="B318"/>
      <c r="C318"/>
      <c r="D318"/>
      <c r="E318"/>
      <c r="F318"/>
      <c r="G318"/>
      <c r="H318"/>
      <c r="I318"/>
      <c r="J318"/>
      <c r="K318"/>
      <c r="L318" s="313"/>
      <c r="M318" s="414"/>
      <c r="N318" s="295"/>
      <c r="O318" s="413"/>
      <c r="P318" s="296"/>
      <c r="Q318" s="296"/>
      <c r="R318" s="295"/>
      <c r="S318" s="295"/>
      <c r="T318" s="295"/>
      <c r="U318" s="279"/>
      <c r="V318" s="279"/>
      <c r="W318" s="279"/>
      <c r="X318" s="279"/>
      <c r="Y318" s="279"/>
      <c r="Z318" s="279"/>
      <c r="AA318" s="279"/>
      <c r="AB318" s="279"/>
      <c r="AC318" s="279"/>
      <c r="AD318" s="279"/>
      <c r="AE318" s="279"/>
      <c r="AF318" s="279"/>
      <c r="AG318" s="279"/>
      <c r="AH318" s="279"/>
      <c r="AI318" s="279"/>
      <c r="AJ318" s="279"/>
      <c r="AK318" s="279"/>
      <c r="AL318" s="279"/>
      <c r="AM318" s="279"/>
      <c r="AN318" s="279"/>
      <c r="AO318" s="279"/>
      <c r="AP318" s="279"/>
      <c r="AQ318" s="279"/>
      <c r="AR318" s="279"/>
      <c r="AS318" s="279"/>
      <c r="AT318" s="279"/>
      <c r="AU318" s="279"/>
      <c r="AV318" s="279"/>
      <c r="AW318" s="279"/>
      <c r="AX318" s="279"/>
      <c r="AY318" s="279"/>
      <c r="AZ318" s="279"/>
      <c r="BA318" s="279"/>
      <c r="BB318" s="279"/>
      <c r="BC318" s="279"/>
      <c r="BD318" s="279"/>
      <c r="BE318" s="279"/>
      <c r="BF318" s="279"/>
      <c r="BG318" s="279"/>
      <c r="BH318" s="279"/>
      <c r="BI318" s="279"/>
      <c r="BJ318" s="279"/>
      <c r="BK318" s="279"/>
      <c r="BL318" s="279"/>
    </row>
    <row r="319" spans="1:64" ht="34.5" customHeight="1">
      <c r="A319"/>
      <c r="B319"/>
      <c r="C319"/>
      <c r="D319"/>
      <c r="E319"/>
      <c r="F319"/>
      <c r="G319"/>
      <c r="H319"/>
      <c r="I319"/>
      <c r="J319"/>
      <c r="K319"/>
      <c r="L319" s="313"/>
      <c r="M319" s="414"/>
      <c r="N319" s="295"/>
      <c r="O319" s="413"/>
      <c r="P319" s="296"/>
      <c r="Q319" s="296"/>
      <c r="R319" s="295"/>
      <c r="S319" s="295"/>
      <c r="T319" s="295"/>
      <c r="U319" s="279"/>
      <c r="V319" s="279"/>
      <c r="W319" s="279"/>
      <c r="X319" s="279"/>
      <c r="Y319" s="279"/>
      <c r="Z319" s="279"/>
      <c r="AA319" s="279"/>
      <c r="AB319" s="279"/>
      <c r="AC319" s="279"/>
      <c r="AD319" s="279"/>
      <c r="AE319" s="279"/>
      <c r="AF319" s="279"/>
      <c r="AG319" s="279"/>
      <c r="AH319" s="279"/>
      <c r="AI319" s="279"/>
      <c r="AJ319" s="279"/>
      <c r="AK319" s="279"/>
      <c r="AL319" s="279"/>
      <c r="AM319" s="279"/>
      <c r="AN319" s="279"/>
      <c r="AO319" s="279"/>
      <c r="AP319" s="279"/>
      <c r="AQ319" s="279"/>
      <c r="AR319" s="279"/>
      <c r="AS319" s="279"/>
      <c r="AT319" s="279"/>
      <c r="AU319" s="279"/>
      <c r="AV319" s="279"/>
      <c r="AW319" s="279"/>
      <c r="AX319" s="279"/>
      <c r="AY319" s="279"/>
      <c r="AZ319" s="279"/>
      <c r="BA319" s="279"/>
      <c r="BB319" s="279"/>
      <c r="BC319" s="279"/>
      <c r="BD319" s="279"/>
      <c r="BE319" s="279"/>
      <c r="BF319" s="279"/>
      <c r="BG319" s="279"/>
      <c r="BH319" s="279"/>
      <c r="BI319" s="279"/>
      <c r="BJ319" s="279"/>
      <c r="BK319" s="279"/>
      <c r="BL319" s="279"/>
    </row>
    <row r="320" spans="1:64" ht="18.75">
      <c r="A320"/>
      <c r="B320"/>
      <c r="C320"/>
      <c r="D320"/>
      <c r="E320"/>
      <c r="F320"/>
      <c r="G320"/>
      <c r="H320"/>
      <c r="I320"/>
      <c r="J320"/>
      <c r="K320"/>
      <c r="L320" s="313"/>
      <c r="M320" s="414"/>
      <c r="N320" s="295"/>
      <c r="O320" s="413"/>
      <c r="P320" s="296"/>
      <c r="Q320" s="296"/>
      <c r="R320" s="295"/>
      <c r="S320" s="295"/>
      <c r="T320" s="295"/>
      <c r="U320" s="279"/>
      <c r="V320" s="279"/>
      <c r="W320" s="279"/>
      <c r="X320" s="279"/>
      <c r="Y320" s="279"/>
      <c r="Z320" s="279"/>
      <c r="AA320" s="279"/>
      <c r="AB320" s="279"/>
      <c r="AC320" s="279"/>
      <c r="AD320" s="279"/>
      <c r="AE320" s="279"/>
      <c r="AF320" s="279"/>
      <c r="AG320" s="279"/>
      <c r="AH320" s="279"/>
      <c r="AI320" s="279"/>
      <c r="AJ320" s="279"/>
      <c r="AK320" s="279"/>
      <c r="AL320" s="279"/>
      <c r="AM320" s="279"/>
      <c r="AN320" s="279"/>
      <c r="AO320" s="279"/>
      <c r="AP320" s="279"/>
      <c r="AQ320" s="279"/>
      <c r="AR320" s="279"/>
      <c r="AS320" s="279"/>
      <c r="AT320" s="279"/>
      <c r="AU320" s="279"/>
      <c r="AV320" s="279"/>
      <c r="AW320" s="279"/>
      <c r="AX320" s="279"/>
      <c r="AY320" s="279"/>
      <c r="AZ320" s="279"/>
      <c r="BA320" s="279"/>
      <c r="BB320" s="279"/>
      <c r="BC320" s="279"/>
      <c r="BD320" s="279"/>
      <c r="BE320" s="279"/>
      <c r="BF320" s="279"/>
      <c r="BG320" s="279"/>
      <c r="BH320" s="279"/>
      <c r="BI320" s="279"/>
      <c r="BJ320" s="279"/>
      <c r="BK320" s="279"/>
      <c r="BL320" s="279"/>
    </row>
    <row r="321" spans="1:64" ht="18.75">
      <c r="A321"/>
      <c r="B321"/>
      <c r="C321"/>
      <c r="D321"/>
      <c r="E321"/>
      <c r="F321"/>
      <c r="G321"/>
      <c r="H321"/>
      <c r="I321"/>
      <c r="J321"/>
      <c r="K321"/>
      <c r="L321" s="313"/>
      <c r="M321" s="414"/>
      <c r="N321" s="295"/>
      <c r="O321" s="413"/>
      <c r="P321" s="296"/>
      <c r="Q321" s="296"/>
      <c r="R321" s="295"/>
      <c r="S321" s="295"/>
      <c r="T321" s="295"/>
      <c r="U321" s="279"/>
      <c r="V321" s="279"/>
      <c r="W321" s="279"/>
      <c r="X321" s="279"/>
      <c r="Y321" s="279"/>
      <c r="Z321" s="279"/>
      <c r="AA321" s="279"/>
      <c r="AB321" s="279"/>
      <c r="AC321" s="279"/>
      <c r="AD321" s="279"/>
      <c r="AE321" s="279"/>
      <c r="AF321" s="279"/>
      <c r="AG321" s="279"/>
      <c r="AH321" s="279"/>
      <c r="AI321" s="279"/>
      <c r="AJ321" s="279"/>
      <c r="AK321" s="279"/>
      <c r="AL321" s="279"/>
      <c r="AM321" s="279"/>
      <c r="AN321" s="279"/>
      <c r="AO321" s="279"/>
      <c r="AP321" s="279"/>
      <c r="AQ321" s="279"/>
      <c r="AR321" s="279"/>
      <c r="AS321" s="279"/>
      <c r="AT321" s="279"/>
      <c r="AU321" s="279"/>
      <c r="AV321" s="279"/>
      <c r="AW321" s="279"/>
      <c r="AX321" s="279"/>
      <c r="AY321" s="279"/>
      <c r="AZ321" s="279"/>
      <c r="BA321" s="279"/>
      <c r="BB321" s="279"/>
      <c r="BC321" s="279"/>
      <c r="BD321" s="279"/>
      <c r="BE321" s="279"/>
      <c r="BF321" s="279"/>
      <c r="BG321" s="279"/>
      <c r="BH321" s="279"/>
      <c r="BI321" s="279"/>
      <c r="BJ321" s="279"/>
      <c r="BK321" s="279"/>
      <c r="BL321" s="279"/>
    </row>
    <row r="322" spans="1:64" ht="30" customHeight="1">
      <c r="A322"/>
      <c r="B322"/>
      <c r="C322"/>
      <c r="D322"/>
      <c r="E322"/>
      <c r="F322"/>
      <c r="G322"/>
      <c r="H322"/>
      <c r="I322"/>
      <c r="J322"/>
      <c r="K322"/>
      <c r="L322" s="313"/>
      <c r="M322" s="620"/>
      <c r="N322" s="295"/>
      <c r="O322" s="413"/>
      <c r="P322" s="296"/>
      <c r="Q322" s="296"/>
      <c r="R322" s="295"/>
      <c r="S322" s="295"/>
      <c r="T322" s="295"/>
      <c r="U322" s="279"/>
      <c r="V322" s="279"/>
      <c r="W322" s="279"/>
      <c r="X322" s="279"/>
      <c r="Y322" s="279"/>
      <c r="Z322" s="279"/>
      <c r="AA322" s="279"/>
      <c r="AB322" s="279"/>
      <c r="AC322" s="279"/>
      <c r="AD322" s="279"/>
      <c r="AE322" s="279"/>
      <c r="AF322" s="279"/>
      <c r="AG322" s="279"/>
      <c r="AH322" s="279"/>
      <c r="AI322" s="279"/>
      <c r="AJ322" s="279"/>
      <c r="AK322" s="279"/>
      <c r="AL322" s="279"/>
      <c r="AM322" s="279"/>
      <c r="AN322" s="279"/>
      <c r="AO322" s="279"/>
      <c r="AP322" s="279"/>
      <c r="AQ322" s="279"/>
      <c r="AR322" s="279"/>
      <c r="AS322" s="279"/>
      <c r="AT322" s="279"/>
      <c r="AU322" s="279"/>
      <c r="AV322" s="279"/>
      <c r="AW322" s="279"/>
      <c r="AX322" s="279"/>
      <c r="AY322" s="279"/>
      <c r="AZ322" s="279"/>
      <c r="BA322" s="279"/>
      <c r="BB322" s="279"/>
      <c r="BC322" s="279"/>
      <c r="BD322" s="279"/>
      <c r="BE322" s="279"/>
      <c r="BF322" s="279"/>
      <c r="BG322" s="279"/>
      <c r="BH322" s="279"/>
      <c r="BI322" s="279"/>
      <c r="BJ322" s="279"/>
      <c r="BK322" s="279"/>
      <c r="BL322" s="279"/>
    </row>
    <row r="323" spans="1:64" ht="28.5" customHeight="1">
      <c r="A323"/>
      <c r="B323"/>
      <c r="C323"/>
      <c r="D323"/>
      <c r="E323"/>
      <c r="F323"/>
      <c r="G323"/>
      <c r="H323"/>
      <c r="I323"/>
      <c r="J323"/>
      <c r="K323"/>
      <c r="L323" s="622"/>
      <c r="M323" s="620"/>
      <c r="N323" s="295"/>
      <c r="O323" s="413"/>
      <c r="P323" s="296"/>
      <c r="Q323" s="296"/>
      <c r="R323" s="295"/>
      <c r="S323" s="295"/>
      <c r="T323" s="295"/>
      <c r="U323" s="279"/>
      <c r="V323" s="279"/>
      <c r="W323" s="279"/>
      <c r="X323" s="279"/>
      <c r="Y323" s="279"/>
      <c r="Z323" s="279"/>
      <c r="AA323" s="279"/>
      <c r="AB323" s="279"/>
      <c r="AC323" s="279"/>
      <c r="AD323" s="279"/>
      <c r="AE323" s="279"/>
      <c r="AF323" s="279"/>
      <c r="AG323" s="279"/>
      <c r="AH323" s="279"/>
      <c r="AI323" s="279"/>
      <c r="AJ323" s="279"/>
      <c r="AK323" s="279"/>
      <c r="AL323" s="279"/>
      <c r="AM323" s="279"/>
      <c r="AN323" s="279"/>
      <c r="AO323" s="279"/>
      <c r="AP323" s="279"/>
      <c r="AQ323" s="279"/>
      <c r="AR323" s="279"/>
      <c r="AS323" s="279"/>
      <c r="AT323" s="279"/>
      <c r="AU323" s="279"/>
      <c r="AV323" s="279"/>
      <c r="AW323" s="279"/>
      <c r="AX323" s="279"/>
      <c r="AY323" s="279"/>
      <c r="AZ323" s="279"/>
      <c r="BA323" s="279"/>
      <c r="BB323" s="279"/>
      <c r="BC323" s="279"/>
      <c r="BD323" s="279"/>
      <c r="BE323" s="279"/>
      <c r="BF323" s="279"/>
      <c r="BG323" s="279"/>
      <c r="BH323" s="279"/>
      <c r="BI323" s="279"/>
      <c r="BJ323" s="279"/>
      <c r="BK323" s="279"/>
      <c r="BL323" s="279"/>
    </row>
    <row r="324" spans="1:64" ht="37.5" customHeight="1">
      <c r="A324"/>
      <c r="B324"/>
      <c r="C324"/>
      <c r="D324"/>
      <c r="E324"/>
      <c r="F324"/>
      <c r="G324"/>
      <c r="H324"/>
      <c r="I324"/>
      <c r="J324"/>
      <c r="K324"/>
      <c r="L324" s="407"/>
      <c r="M324" s="621"/>
      <c r="N324" s="295"/>
      <c r="O324" s="413"/>
      <c r="P324" s="296"/>
      <c r="Q324" s="296"/>
      <c r="R324" s="295"/>
      <c r="S324" s="295"/>
      <c r="T324" s="295"/>
      <c r="U324" s="279"/>
      <c r="V324" s="279"/>
      <c r="W324" s="279"/>
      <c r="X324" s="279"/>
      <c r="Y324" s="279"/>
      <c r="Z324" s="279"/>
      <c r="AA324" s="279"/>
      <c r="AB324" s="279"/>
      <c r="AC324" s="279"/>
      <c r="AD324" s="279"/>
      <c r="AE324" s="279"/>
      <c r="AF324" s="279"/>
      <c r="AG324" s="279"/>
      <c r="AH324" s="279"/>
      <c r="AI324" s="279"/>
      <c r="AJ324" s="279"/>
      <c r="AK324" s="279"/>
      <c r="AL324" s="279"/>
      <c r="AM324" s="279"/>
      <c r="AN324" s="279"/>
      <c r="AO324" s="279"/>
      <c r="AP324" s="279"/>
      <c r="AQ324" s="279"/>
      <c r="AR324" s="279"/>
      <c r="AS324" s="279"/>
      <c r="AT324" s="279"/>
      <c r="AU324" s="279"/>
      <c r="AV324" s="279"/>
      <c r="AW324" s="279"/>
      <c r="AX324" s="279"/>
      <c r="AY324" s="279"/>
      <c r="AZ324" s="279"/>
      <c r="BA324" s="279"/>
      <c r="BB324" s="279"/>
      <c r="BC324" s="279"/>
      <c r="BD324" s="279"/>
      <c r="BE324" s="279"/>
      <c r="BF324" s="279"/>
      <c r="BG324" s="279"/>
      <c r="BH324" s="279"/>
      <c r="BI324" s="279"/>
      <c r="BJ324" s="279"/>
      <c r="BK324" s="279"/>
      <c r="BL324" s="279"/>
    </row>
    <row r="325" spans="1:64" ht="36" customHeight="1">
      <c r="A325"/>
      <c r="B325"/>
      <c r="C325"/>
      <c r="D325"/>
      <c r="E325"/>
      <c r="F325"/>
      <c r="G325"/>
      <c r="H325"/>
      <c r="I325"/>
      <c r="J325"/>
      <c r="K325"/>
      <c r="L325" s="407"/>
      <c r="M325" s="419"/>
      <c r="N325" s="295"/>
      <c r="O325" s="413"/>
      <c r="P325" s="296"/>
      <c r="Q325" s="296"/>
      <c r="R325" s="295"/>
      <c r="S325" s="295"/>
      <c r="T325" s="295"/>
      <c r="U325" s="279"/>
      <c r="V325" s="279"/>
      <c r="W325" s="279"/>
      <c r="X325" s="279"/>
      <c r="Y325" s="279"/>
      <c r="Z325" s="279"/>
      <c r="AA325" s="279"/>
      <c r="AB325" s="279"/>
      <c r="AC325" s="279"/>
      <c r="AD325" s="279"/>
      <c r="AE325" s="279"/>
      <c r="AF325" s="279"/>
      <c r="AG325" s="279"/>
      <c r="AH325" s="279"/>
      <c r="AI325" s="279"/>
      <c r="AJ325" s="279"/>
      <c r="AK325" s="279"/>
      <c r="AL325" s="279"/>
      <c r="AM325" s="279"/>
      <c r="AN325" s="279"/>
      <c r="AO325" s="279"/>
      <c r="AP325" s="279"/>
      <c r="AQ325" s="279"/>
      <c r="AR325" s="279"/>
      <c r="AS325" s="279"/>
      <c r="AT325" s="279"/>
      <c r="AU325" s="279"/>
      <c r="AV325" s="279"/>
      <c r="AW325" s="279"/>
      <c r="AX325" s="279"/>
      <c r="AY325" s="279"/>
      <c r="AZ325" s="279"/>
      <c r="BA325" s="279"/>
      <c r="BB325" s="279"/>
      <c r="BC325" s="279"/>
      <c r="BD325" s="279"/>
      <c r="BE325" s="279"/>
      <c r="BF325" s="279"/>
      <c r="BG325" s="279"/>
      <c r="BH325" s="279"/>
      <c r="BI325" s="279"/>
      <c r="BJ325" s="279"/>
      <c r="BK325" s="279"/>
      <c r="BL325" s="279"/>
    </row>
    <row r="326" spans="1:64" ht="18.75">
      <c r="A326"/>
      <c r="B326"/>
      <c r="C326"/>
      <c r="D326"/>
      <c r="E326"/>
      <c r="F326"/>
      <c r="G326"/>
      <c r="H326"/>
      <c r="I326"/>
      <c r="J326"/>
      <c r="K326"/>
      <c r="L326" s="407"/>
      <c r="M326" s="419"/>
      <c r="N326" s="295"/>
      <c r="O326" s="413"/>
      <c r="P326" s="296"/>
      <c r="Q326" s="296"/>
      <c r="R326" s="295"/>
      <c r="S326" s="295"/>
      <c r="T326" s="295"/>
      <c r="U326" s="279"/>
      <c r="V326" s="279"/>
      <c r="W326" s="279"/>
      <c r="X326" s="279"/>
      <c r="Y326" s="279"/>
      <c r="Z326" s="279"/>
      <c r="AA326" s="279"/>
      <c r="AB326" s="279"/>
      <c r="AC326" s="279"/>
      <c r="AD326" s="279"/>
      <c r="AE326" s="279"/>
      <c r="AF326" s="279"/>
      <c r="AG326" s="279"/>
      <c r="AH326" s="279"/>
      <c r="AI326" s="279"/>
      <c r="AJ326" s="279"/>
      <c r="AK326" s="279"/>
      <c r="AL326" s="279"/>
      <c r="AM326" s="279"/>
      <c r="AN326" s="279"/>
      <c r="AO326" s="279"/>
      <c r="AP326" s="279"/>
      <c r="AQ326" s="279"/>
      <c r="AR326" s="279"/>
      <c r="AS326" s="279"/>
      <c r="AT326" s="279"/>
      <c r="AU326" s="279"/>
      <c r="AV326" s="279"/>
      <c r="AW326" s="279"/>
      <c r="AX326" s="279"/>
      <c r="AY326" s="279"/>
      <c r="AZ326" s="279"/>
      <c r="BA326" s="279"/>
      <c r="BB326" s="279"/>
      <c r="BC326" s="279"/>
      <c r="BD326" s="279"/>
      <c r="BE326" s="279"/>
      <c r="BF326" s="279"/>
      <c r="BG326" s="279"/>
      <c r="BH326" s="279"/>
      <c r="BI326" s="279"/>
      <c r="BJ326" s="279"/>
      <c r="BK326" s="279"/>
      <c r="BL326" s="279"/>
    </row>
    <row r="327" spans="1:64" ht="33.75" customHeight="1">
      <c r="A327"/>
      <c r="B327"/>
      <c r="C327"/>
      <c r="D327"/>
      <c r="E327"/>
      <c r="F327"/>
      <c r="G327"/>
      <c r="H327"/>
      <c r="I327"/>
      <c r="J327"/>
      <c r="K327"/>
      <c r="L327" s="407"/>
      <c r="M327" s="419"/>
      <c r="N327" s="420"/>
      <c r="O327" s="413"/>
      <c r="P327" s="296"/>
      <c r="Q327" s="296"/>
      <c r="R327" s="295"/>
      <c r="S327" s="295"/>
      <c r="T327" s="295"/>
      <c r="U327" s="279"/>
      <c r="V327" s="279"/>
      <c r="W327" s="279"/>
      <c r="X327" s="279"/>
      <c r="Y327" s="279"/>
      <c r="Z327" s="279"/>
      <c r="AA327" s="279"/>
      <c r="AB327" s="279"/>
      <c r="AC327" s="279"/>
      <c r="AD327" s="279"/>
      <c r="AE327" s="279"/>
      <c r="AF327" s="279"/>
      <c r="AG327" s="279"/>
      <c r="AH327" s="279"/>
      <c r="AI327" s="279"/>
      <c r="AJ327" s="279"/>
      <c r="AK327" s="279"/>
      <c r="AL327" s="279"/>
      <c r="AM327" s="279"/>
      <c r="AN327" s="279"/>
      <c r="AO327" s="279"/>
      <c r="AP327" s="279"/>
      <c r="AQ327" s="279"/>
      <c r="AR327" s="279"/>
      <c r="AS327" s="279"/>
      <c r="AT327" s="279"/>
      <c r="AU327" s="279"/>
      <c r="AV327" s="279"/>
      <c r="AW327" s="279"/>
      <c r="AX327" s="279"/>
      <c r="AY327" s="279"/>
      <c r="AZ327" s="279"/>
      <c r="BA327" s="279"/>
      <c r="BB327" s="279"/>
      <c r="BC327" s="279"/>
      <c r="BD327" s="279"/>
      <c r="BE327" s="279"/>
      <c r="BF327" s="279"/>
      <c r="BG327" s="279"/>
      <c r="BH327" s="279"/>
      <c r="BI327" s="279"/>
      <c r="BJ327" s="279"/>
      <c r="BK327" s="279"/>
      <c r="BL327" s="279"/>
    </row>
    <row r="328" spans="1:64" ht="26.25" customHeight="1">
      <c r="A328"/>
      <c r="B328"/>
      <c r="C328"/>
      <c r="D328"/>
      <c r="E328"/>
      <c r="F328"/>
      <c r="G328"/>
      <c r="H328"/>
      <c r="I328"/>
      <c r="J328"/>
      <c r="K328"/>
      <c r="L328" s="407"/>
      <c r="M328" s="419"/>
      <c r="N328" s="420"/>
      <c r="O328" s="413"/>
      <c r="P328" s="296"/>
      <c r="Q328" s="296"/>
      <c r="R328" s="295"/>
      <c r="S328" s="295"/>
      <c r="T328" s="295"/>
      <c r="U328" s="279"/>
      <c r="V328" s="279"/>
      <c r="W328" s="279"/>
      <c r="X328" s="279"/>
      <c r="Y328" s="279"/>
      <c r="Z328" s="279"/>
      <c r="AA328" s="279"/>
      <c r="AB328" s="279"/>
      <c r="AC328" s="279"/>
      <c r="AD328" s="279"/>
      <c r="AE328" s="279"/>
      <c r="AF328" s="279"/>
      <c r="AG328" s="279"/>
      <c r="AH328" s="279"/>
      <c r="AI328" s="279"/>
      <c r="AJ328" s="279"/>
      <c r="AK328" s="279"/>
      <c r="AL328" s="279"/>
      <c r="AM328" s="279"/>
      <c r="AN328" s="279"/>
      <c r="AO328" s="279"/>
      <c r="AP328" s="279"/>
      <c r="AQ328" s="279"/>
      <c r="AR328" s="279"/>
      <c r="AS328" s="279"/>
      <c r="AT328" s="279"/>
      <c r="AU328" s="279"/>
      <c r="AV328" s="279"/>
      <c r="AW328" s="279"/>
      <c r="AX328" s="279"/>
      <c r="AY328" s="279"/>
      <c r="AZ328" s="279"/>
      <c r="BA328" s="279"/>
      <c r="BB328" s="279"/>
      <c r="BC328" s="279"/>
      <c r="BD328" s="279"/>
      <c r="BE328" s="279"/>
      <c r="BF328" s="279"/>
      <c r="BG328" s="279"/>
      <c r="BH328" s="279"/>
      <c r="BI328" s="279"/>
      <c r="BJ328" s="279"/>
      <c r="BK328" s="279"/>
      <c r="BL328" s="279"/>
    </row>
    <row r="329" spans="1:64" ht="18.75">
      <c r="A329"/>
      <c r="B329"/>
      <c r="C329"/>
      <c r="D329"/>
      <c r="E329"/>
      <c r="F329"/>
      <c r="G329"/>
      <c r="H329"/>
      <c r="I329"/>
      <c r="J329"/>
      <c r="K329"/>
      <c r="L329" s="407"/>
      <c r="M329" s="419"/>
      <c r="N329" s="420"/>
      <c r="O329" s="413"/>
      <c r="P329" s="296"/>
      <c r="Q329" s="296"/>
      <c r="R329" s="295"/>
      <c r="S329" s="295"/>
      <c r="T329" s="295"/>
      <c r="U329" s="279"/>
      <c r="V329" s="279"/>
      <c r="W329" s="279"/>
      <c r="X329" s="279"/>
      <c r="Y329" s="279"/>
      <c r="Z329" s="279"/>
      <c r="AA329" s="279"/>
      <c r="AB329" s="279"/>
      <c r="AC329" s="279"/>
      <c r="AD329" s="279"/>
      <c r="AE329" s="279"/>
      <c r="AF329" s="279"/>
      <c r="AG329" s="279"/>
      <c r="AH329" s="279"/>
      <c r="AI329" s="279"/>
      <c r="AJ329" s="279"/>
      <c r="AK329" s="279"/>
      <c r="AL329" s="279"/>
      <c r="AM329" s="279"/>
      <c r="AN329" s="279"/>
      <c r="AO329" s="279"/>
      <c r="AP329" s="279"/>
      <c r="AQ329" s="279"/>
      <c r="AR329" s="279"/>
      <c r="AS329" s="279"/>
      <c r="AT329" s="279"/>
      <c r="AU329" s="279"/>
      <c r="AV329" s="279"/>
      <c r="AW329" s="279"/>
      <c r="AX329" s="279"/>
      <c r="AY329" s="279"/>
      <c r="AZ329" s="279"/>
      <c r="BA329" s="279"/>
      <c r="BB329" s="279"/>
      <c r="BC329" s="279"/>
      <c r="BD329" s="279"/>
      <c r="BE329" s="279"/>
      <c r="BF329" s="279"/>
      <c r="BG329" s="279"/>
      <c r="BH329" s="279"/>
      <c r="BI329" s="279"/>
      <c r="BJ329" s="279"/>
      <c r="BK329" s="279"/>
      <c r="BL329" s="279"/>
    </row>
    <row r="330" spans="1:64" ht="18.75">
      <c r="A330"/>
      <c r="B330"/>
      <c r="C330"/>
      <c r="D330"/>
      <c r="E330"/>
      <c r="F330"/>
      <c r="G330"/>
      <c r="H330"/>
      <c r="I330"/>
      <c r="J330"/>
      <c r="K330"/>
      <c r="L330" s="407"/>
      <c r="M330" s="419"/>
      <c r="N330" s="420"/>
      <c r="O330" s="421"/>
      <c r="P330" s="296"/>
      <c r="Q330" s="296"/>
      <c r="R330" s="295"/>
      <c r="S330" s="295"/>
      <c r="T330" s="295"/>
      <c r="U330" s="279"/>
      <c r="V330" s="279"/>
      <c r="W330" s="279"/>
      <c r="X330" s="279"/>
      <c r="Y330" s="279"/>
      <c r="Z330" s="279"/>
      <c r="AA330" s="279"/>
      <c r="AB330" s="279"/>
      <c r="AC330" s="279"/>
      <c r="AD330" s="279"/>
      <c r="AE330" s="279"/>
      <c r="AF330" s="279"/>
      <c r="AG330" s="279"/>
      <c r="AH330" s="279"/>
      <c r="AI330" s="279"/>
      <c r="AJ330" s="279"/>
      <c r="AK330" s="279"/>
      <c r="AL330" s="279"/>
      <c r="AM330" s="279"/>
      <c r="AN330" s="279"/>
      <c r="AO330" s="279"/>
      <c r="AP330" s="279"/>
      <c r="AQ330" s="279"/>
      <c r="AR330" s="279"/>
      <c r="AS330" s="279"/>
      <c r="AT330" s="279"/>
      <c r="AU330" s="279"/>
      <c r="AV330" s="279"/>
      <c r="AW330" s="279"/>
      <c r="AX330" s="279"/>
      <c r="AY330" s="279"/>
      <c r="AZ330" s="279"/>
      <c r="BA330" s="279"/>
      <c r="BB330" s="279"/>
      <c r="BC330" s="279"/>
      <c r="BD330" s="279"/>
      <c r="BE330" s="279"/>
      <c r="BF330" s="279"/>
      <c r="BG330" s="279"/>
      <c r="BH330" s="279"/>
      <c r="BI330" s="279"/>
      <c r="BJ330" s="279"/>
      <c r="BK330" s="279"/>
      <c r="BL330" s="279"/>
    </row>
    <row r="331" spans="1:64" ht="18.75">
      <c r="A331"/>
      <c r="B331"/>
      <c r="C331"/>
      <c r="D331"/>
      <c r="E331"/>
      <c r="F331"/>
      <c r="G331"/>
      <c r="H331"/>
      <c r="I331"/>
      <c r="J331"/>
      <c r="K331"/>
      <c r="L331" s="313"/>
      <c r="M331" s="414"/>
      <c r="N331" s="420"/>
      <c r="O331" s="421"/>
      <c r="P331" s="296"/>
      <c r="Q331" s="296"/>
      <c r="R331" s="295"/>
      <c r="S331" s="295"/>
      <c r="T331" s="295"/>
      <c r="U331" s="279"/>
      <c r="V331" s="279"/>
      <c r="W331" s="279"/>
      <c r="X331" s="279"/>
      <c r="Y331" s="279"/>
      <c r="Z331" s="279"/>
      <c r="AA331" s="279"/>
      <c r="AB331" s="279"/>
      <c r="AC331" s="279"/>
      <c r="AD331" s="279"/>
      <c r="AE331" s="279"/>
      <c r="AF331" s="279"/>
      <c r="AG331" s="279"/>
      <c r="AH331" s="279"/>
      <c r="AI331" s="279"/>
      <c r="AJ331" s="279"/>
      <c r="AK331" s="279"/>
      <c r="AL331" s="279"/>
      <c r="AM331" s="279"/>
      <c r="AN331" s="279"/>
      <c r="AO331" s="279"/>
      <c r="AP331" s="279"/>
      <c r="AQ331" s="279"/>
      <c r="AR331" s="279"/>
      <c r="AS331" s="279"/>
      <c r="AT331" s="279"/>
      <c r="AU331" s="279"/>
      <c r="AV331" s="279"/>
      <c r="AW331" s="279"/>
      <c r="AX331" s="279"/>
      <c r="AY331" s="279"/>
      <c r="AZ331" s="279"/>
      <c r="BA331" s="279"/>
      <c r="BB331" s="279"/>
      <c r="BC331" s="279"/>
      <c r="BD331" s="279"/>
      <c r="BE331" s="279"/>
      <c r="BF331" s="279"/>
      <c r="BG331" s="279"/>
      <c r="BH331" s="279"/>
      <c r="BI331" s="279"/>
      <c r="BJ331" s="279"/>
      <c r="BK331" s="279"/>
      <c r="BL331" s="279"/>
    </row>
    <row r="332" spans="1:64" ht="30" customHeight="1">
      <c r="A332" s="416"/>
      <c r="B332" s="415"/>
      <c r="C332" s="415"/>
      <c r="D332" s="415"/>
      <c r="E332" s="415"/>
      <c r="F332" s="415"/>
      <c r="G332" s="415"/>
      <c r="H332" s="415"/>
      <c r="I332" s="415"/>
      <c r="J332" s="415"/>
      <c r="K332" s="315"/>
      <c r="L332" s="313"/>
      <c r="M332" s="414"/>
      <c r="N332" s="420"/>
      <c r="O332" s="413"/>
      <c r="P332" s="296"/>
      <c r="Q332" s="296"/>
      <c r="R332" s="295"/>
      <c r="S332" s="295"/>
      <c r="T332" s="295"/>
      <c r="U332" s="279"/>
      <c r="V332" s="279"/>
      <c r="W332" s="279"/>
      <c r="X332" s="279"/>
      <c r="Y332" s="279"/>
      <c r="Z332" s="279"/>
      <c r="AA332" s="279"/>
      <c r="AB332" s="279"/>
      <c r="AC332" s="279"/>
      <c r="AD332" s="279"/>
      <c r="AE332" s="279"/>
      <c r="AF332" s="279"/>
      <c r="AG332" s="279"/>
      <c r="AH332" s="279"/>
      <c r="AI332" s="279"/>
      <c r="AJ332" s="279"/>
      <c r="AK332" s="279"/>
      <c r="AL332" s="279"/>
      <c r="AM332" s="279"/>
      <c r="AN332" s="279"/>
      <c r="AO332" s="279"/>
      <c r="AP332" s="279"/>
      <c r="AQ332" s="279"/>
      <c r="AR332" s="279"/>
      <c r="AS332" s="279"/>
      <c r="AT332" s="279"/>
      <c r="AU332" s="279"/>
      <c r="AV332" s="279"/>
      <c r="AW332" s="279"/>
      <c r="AX332" s="279"/>
      <c r="AY332" s="279"/>
      <c r="AZ332" s="279"/>
      <c r="BA332" s="279"/>
      <c r="BB332" s="279"/>
      <c r="BC332" s="279"/>
      <c r="BD332" s="279"/>
      <c r="BE332" s="279"/>
      <c r="BF332" s="279"/>
      <c r="BG332" s="279"/>
      <c r="BH332" s="279"/>
      <c r="BI332" s="279"/>
      <c r="BJ332" s="279"/>
      <c r="BK332" s="279"/>
      <c r="BL332" s="279"/>
    </row>
    <row r="333" spans="1:64" ht="18.75">
      <c r="A333" s="417"/>
      <c r="B333" s="418"/>
      <c r="C333" s="418"/>
      <c r="D333" s="418"/>
      <c r="E333" s="418"/>
      <c r="F333" s="418"/>
      <c r="G333" s="418"/>
      <c r="H333" s="418"/>
      <c r="I333" s="418"/>
      <c r="J333" s="418"/>
      <c r="K333" s="408"/>
      <c r="L333" s="407"/>
      <c r="M333" s="419"/>
      <c r="N333" s="295"/>
      <c r="O333" s="413"/>
      <c r="P333" s="296"/>
      <c r="Q333" s="296"/>
      <c r="R333" s="295"/>
      <c r="S333" s="295"/>
      <c r="T333" s="295"/>
      <c r="U333" s="279"/>
      <c r="V333" s="279"/>
      <c r="W333" s="279"/>
      <c r="X333" s="279"/>
      <c r="Y333" s="279"/>
      <c r="Z333" s="279"/>
      <c r="AA333" s="279"/>
      <c r="AB333" s="279"/>
      <c r="AC333" s="279"/>
      <c r="AD333" s="279"/>
      <c r="AE333" s="279"/>
      <c r="AF333" s="279"/>
      <c r="AG333" s="279"/>
      <c r="AH333" s="279"/>
      <c r="AI333" s="279"/>
      <c r="AJ333" s="279"/>
      <c r="AK333" s="279"/>
      <c r="AL333" s="279"/>
      <c r="AM333" s="279"/>
      <c r="AN333" s="279"/>
      <c r="AO333" s="279"/>
      <c r="AP333" s="279"/>
      <c r="AQ333" s="279"/>
      <c r="AR333" s="279"/>
      <c r="AS333" s="279"/>
      <c r="AT333" s="279"/>
      <c r="AU333" s="279"/>
      <c r="AV333" s="279"/>
      <c r="AW333" s="279"/>
      <c r="AX333" s="279"/>
      <c r="AY333" s="279"/>
      <c r="AZ333" s="279"/>
      <c r="BA333" s="279"/>
      <c r="BB333" s="279"/>
      <c r="BC333" s="279"/>
      <c r="BD333" s="279"/>
      <c r="BE333" s="279"/>
      <c r="BF333" s="279"/>
      <c r="BG333" s="279"/>
      <c r="BH333" s="279"/>
      <c r="BI333" s="279"/>
      <c r="BJ333" s="279"/>
      <c r="BK333" s="279"/>
      <c r="BL333" s="279"/>
    </row>
    <row r="334" spans="1:64" ht="18.75">
      <c r="A334" s="416"/>
      <c r="B334" s="415"/>
      <c r="C334" s="415"/>
      <c r="D334" s="415"/>
      <c r="E334" s="415"/>
      <c r="F334" s="415"/>
      <c r="G334" s="415"/>
      <c r="H334" s="415"/>
      <c r="I334" s="415"/>
      <c r="J334" s="415"/>
      <c r="K334" s="408"/>
      <c r="L334" s="407"/>
      <c r="M334" s="419"/>
      <c r="N334" s="295"/>
      <c r="O334" s="413"/>
      <c r="P334" s="296"/>
      <c r="Q334" s="296"/>
      <c r="R334" s="295"/>
      <c r="S334" s="295"/>
      <c r="T334" s="295"/>
      <c r="U334" s="279"/>
      <c r="V334" s="279"/>
      <c r="W334" s="279"/>
      <c r="X334" s="279"/>
      <c r="Y334" s="279"/>
      <c r="Z334" s="279"/>
      <c r="AA334" s="279"/>
      <c r="AB334" s="279"/>
      <c r="AC334" s="279"/>
      <c r="AD334" s="279"/>
      <c r="AE334" s="279"/>
      <c r="AF334" s="279"/>
      <c r="AG334" s="279"/>
      <c r="AH334" s="279"/>
      <c r="AI334" s="279"/>
      <c r="AJ334" s="279"/>
      <c r="AK334" s="279"/>
      <c r="AL334" s="279"/>
      <c r="AM334" s="279"/>
      <c r="AN334" s="279"/>
      <c r="AO334" s="279"/>
      <c r="AP334" s="279"/>
      <c r="AQ334" s="279"/>
      <c r="AR334" s="279"/>
      <c r="AS334" s="279"/>
      <c r="AT334" s="279"/>
      <c r="AU334" s="279"/>
      <c r="AV334" s="279"/>
      <c r="AW334" s="279"/>
      <c r="AX334" s="279"/>
      <c r="AY334" s="279"/>
      <c r="AZ334" s="279"/>
      <c r="BA334" s="279"/>
      <c r="BB334" s="279"/>
      <c r="BC334" s="279"/>
      <c r="BD334" s="279"/>
      <c r="BE334" s="279"/>
      <c r="BF334" s="279"/>
      <c r="BG334" s="279"/>
      <c r="BH334" s="279"/>
      <c r="BI334" s="279"/>
      <c r="BJ334" s="279"/>
      <c r="BK334" s="279"/>
      <c r="BL334" s="279"/>
    </row>
    <row r="335" spans="1:64" ht="18.75">
      <c r="A335" s="416"/>
      <c r="B335" s="415"/>
      <c r="C335" s="415"/>
      <c r="D335" s="415"/>
      <c r="E335" s="415"/>
      <c r="F335" s="415"/>
      <c r="G335" s="415"/>
      <c r="H335" s="415"/>
      <c r="I335" s="415"/>
      <c r="J335" s="415"/>
      <c r="K335" s="315"/>
      <c r="L335" s="313"/>
      <c r="M335" s="419"/>
      <c r="N335" s="420"/>
      <c r="O335" s="413"/>
      <c r="P335" s="296"/>
      <c r="Q335" s="296"/>
      <c r="R335" s="295"/>
      <c r="S335" s="295"/>
      <c r="T335" s="295"/>
      <c r="U335" s="279"/>
      <c r="V335" s="279"/>
      <c r="W335" s="279"/>
      <c r="X335" s="279"/>
      <c r="Y335" s="279"/>
      <c r="Z335" s="279"/>
      <c r="AA335" s="279"/>
      <c r="AB335" s="279"/>
      <c r="AC335" s="279"/>
      <c r="AD335" s="279"/>
      <c r="AE335" s="279"/>
      <c r="AF335" s="279"/>
      <c r="AG335" s="279"/>
      <c r="AH335" s="279"/>
      <c r="AI335" s="279"/>
      <c r="AJ335" s="279"/>
      <c r="AK335" s="279"/>
      <c r="AL335" s="279"/>
      <c r="AM335" s="279"/>
      <c r="AN335" s="279"/>
      <c r="AO335" s="279"/>
      <c r="AP335" s="279"/>
      <c r="AQ335" s="279"/>
      <c r="AR335" s="279"/>
      <c r="AS335" s="279"/>
      <c r="AT335" s="279"/>
      <c r="AU335" s="279"/>
      <c r="AV335" s="279"/>
      <c r="AW335" s="279"/>
      <c r="AX335" s="279"/>
      <c r="AY335" s="279"/>
      <c r="AZ335" s="279"/>
      <c r="BA335" s="279"/>
      <c r="BB335" s="279"/>
      <c r="BC335" s="279"/>
      <c r="BD335" s="279"/>
      <c r="BE335" s="279"/>
      <c r="BF335" s="279"/>
      <c r="BG335" s="279"/>
      <c r="BH335" s="279"/>
      <c r="BI335" s="279"/>
      <c r="BJ335" s="279"/>
      <c r="BK335" s="279"/>
      <c r="BL335" s="279"/>
    </row>
    <row r="336" spans="1:64" ht="18.75">
      <c r="A336" s="416"/>
      <c r="B336" s="415"/>
      <c r="C336" s="415"/>
      <c r="D336" s="415"/>
      <c r="E336" s="415"/>
      <c r="F336" s="415"/>
      <c r="G336" s="415"/>
      <c r="H336" s="415"/>
      <c r="I336" s="415"/>
      <c r="J336" s="415"/>
      <c r="K336" s="315"/>
      <c r="L336" s="313"/>
      <c r="M336" s="419"/>
      <c r="N336" s="420"/>
      <c r="O336" s="413"/>
      <c r="P336" s="296"/>
      <c r="Q336" s="296"/>
      <c r="R336" s="295"/>
      <c r="S336" s="295"/>
      <c r="T336" s="295"/>
      <c r="U336" s="279"/>
      <c r="V336" s="279"/>
      <c r="W336" s="279"/>
      <c r="X336" s="279"/>
      <c r="Y336" s="279"/>
      <c r="Z336" s="279"/>
      <c r="AA336" s="279"/>
      <c r="AB336" s="279"/>
      <c r="AC336" s="279"/>
      <c r="AD336" s="279"/>
      <c r="AE336" s="279"/>
      <c r="AF336" s="279"/>
      <c r="AG336" s="279"/>
      <c r="AH336" s="279"/>
      <c r="AI336" s="279"/>
      <c r="AJ336" s="279"/>
      <c r="AK336" s="279"/>
      <c r="AL336" s="279"/>
      <c r="AM336" s="279"/>
      <c r="AN336" s="279"/>
      <c r="AO336" s="279"/>
      <c r="AP336" s="279"/>
      <c r="AQ336" s="279"/>
      <c r="AR336" s="279"/>
      <c r="AS336" s="279"/>
      <c r="AT336" s="279"/>
      <c r="AU336" s="279"/>
      <c r="AV336" s="279"/>
      <c r="AW336" s="279"/>
      <c r="AX336" s="279"/>
      <c r="AY336" s="279"/>
      <c r="AZ336" s="279"/>
      <c r="BA336" s="279"/>
      <c r="BB336" s="279"/>
      <c r="BC336" s="279"/>
      <c r="BD336" s="279"/>
      <c r="BE336" s="279"/>
      <c r="BF336" s="279"/>
      <c r="BG336" s="279"/>
      <c r="BH336" s="279"/>
      <c r="BI336" s="279"/>
      <c r="BJ336" s="279"/>
      <c r="BK336" s="279"/>
      <c r="BL336" s="279"/>
    </row>
    <row r="337" spans="1:64" ht="18.75">
      <c r="A337" s="313"/>
      <c r="B337" s="315"/>
      <c r="C337" s="315"/>
      <c r="D337" s="315"/>
      <c r="E337" s="315"/>
      <c r="F337" s="315"/>
      <c r="G337" s="315"/>
      <c r="H337" s="316"/>
      <c r="I337" s="372"/>
      <c r="J337" s="422"/>
      <c r="K337" s="315"/>
      <c r="L337" s="313"/>
      <c r="M337" s="419"/>
      <c r="N337" s="420"/>
      <c r="O337" s="413"/>
      <c r="P337" s="296"/>
      <c r="Q337" s="296"/>
      <c r="R337" s="295"/>
      <c r="S337" s="295"/>
      <c r="T337" s="295"/>
      <c r="U337" s="279"/>
      <c r="V337" s="279"/>
      <c r="W337" s="279"/>
      <c r="X337" s="279"/>
      <c r="Y337" s="279"/>
      <c r="Z337" s="279"/>
      <c r="AA337" s="279"/>
      <c r="AB337" s="279"/>
      <c r="AC337" s="279"/>
      <c r="AD337" s="279"/>
      <c r="AE337" s="279"/>
      <c r="AF337" s="279"/>
      <c r="AG337" s="279"/>
      <c r="AH337" s="279"/>
      <c r="AI337" s="279"/>
      <c r="AJ337" s="279"/>
      <c r="AK337" s="279"/>
      <c r="AL337" s="279"/>
      <c r="AM337" s="279"/>
      <c r="AN337" s="279"/>
      <c r="AO337" s="279"/>
      <c r="AP337" s="279"/>
      <c r="AQ337" s="279"/>
      <c r="AR337" s="279"/>
      <c r="AS337" s="279"/>
      <c r="AT337" s="279"/>
      <c r="AU337" s="279"/>
      <c r="AV337" s="279"/>
      <c r="AW337" s="279"/>
      <c r="AX337" s="279"/>
      <c r="AY337" s="279"/>
      <c r="AZ337" s="279"/>
      <c r="BA337" s="279"/>
      <c r="BB337" s="279"/>
      <c r="BC337" s="279"/>
      <c r="BD337" s="279"/>
      <c r="BE337" s="279"/>
      <c r="BF337" s="279"/>
      <c r="BG337" s="279"/>
      <c r="BH337" s="279"/>
      <c r="BI337" s="279"/>
      <c r="BJ337" s="279"/>
      <c r="BK337" s="279"/>
      <c r="BL337" s="279"/>
    </row>
    <row r="338" spans="1:64" ht="18.75">
      <c r="A338" s="313"/>
      <c r="B338" s="315"/>
      <c r="C338" s="315"/>
      <c r="D338" s="315"/>
      <c r="E338" s="315"/>
      <c r="F338" s="315"/>
      <c r="G338" s="315"/>
      <c r="H338" s="316"/>
      <c r="I338" s="315"/>
      <c r="J338" s="317"/>
      <c r="K338" s="315"/>
      <c r="L338" s="313"/>
      <c r="M338" s="419"/>
      <c r="N338" s="420"/>
      <c r="O338" s="421"/>
      <c r="P338" s="296"/>
      <c r="Q338" s="296"/>
      <c r="R338" s="295"/>
      <c r="S338" s="295"/>
      <c r="T338" s="295"/>
      <c r="U338" s="279"/>
      <c r="V338" s="279"/>
      <c r="W338" s="279"/>
      <c r="X338" s="279"/>
      <c r="Y338" s="279"/>
      <c r="Z338" s="279"/>
      <c r="AA338" s="279"/>
      <c r="AB338" s="279"/>
      <c r="AC338" s="279"/>
      <c r="AD338" s="279"/>
      <c r="AE338" s="279"/>
      <c r="AF338" s="279"/>
      <c r="AG338" s="279"/>
      <c r="AH338" s="279"/>
      <c r="AI338" s="279"/>
      <c r="AJ338" s="279"/>
      <c r="AK338" s="279"/>
      <c r="AL338" s="279"/>
      <c r="AM338" s="279"/>
      <c r="AN338" s="279"/>
      <c r="AO338" s="279"/>
      <c r="AP338" s="279"/>
      <c r="AQ338" s="279"/>
      <c r="AR338" s="279"/>
      <c r="AS338" s="279"/>
      <c r="AT338" s="279"/>
      <c r="AU338" s="279"/>
      <c r="AV338" s="279"/>
      <c r="AW338" s="279"/>
      <c r="AX338" s="279"/>
      <c r="AY338" s="279"/>
      <c r="AZ338" s="279"/>
      <c r="BA338" s="279"/>
      <c r="BB338" s="279"/>
      <c r="BC338" s="279"/>
      <c r="BD338" s="279"/>
      <c r="BE338" s="279"/>
      <c r="BF338" s="279"/>
      <c r="BG338" s="279"/>
      <c r="BH338" s="279"/>
      <c r="BI338" s="279"/>
      <c r="BJ338" s="279"/>
      <c r="BK338" s="279"/>
      <c r="BL338" s="279"/>
    </row>
    <row r="339" spans="1:64" ht="20.25">
      <c r="A339" s="423"/>
      <c r="B339" s="424"/>
      <c r="C339" s="424"/>
      <c r="D339" s="424"/>
      <c r="E339" s="424"/>
      <c r="F339" s="424"/>
      <c r="G339" s="424"/>
      <c r="H339" s="424"/>
      <c r="I339" s="424"/>
      <c r="J339" s="412"/>
      <c r="K339" s="412"/>
      <c r="L339" s="412"/>
      <c r="M339" s="414"/>
      <c r="N339" s="420"/>
      <c r="O339" s="421"/>
      <c r="P339" s="296"/>
      <c r="Q339" s="296"/>
      <c r="R339" s="295"/>
      <c r="S339" s="295"/>
      <c r="T339" s="295"/>
      <c r="U339" s="279"/>
      <c r="V339" s="279"/>
      <c r="W339" s="279"/>
      <c r="X339" s="279"/>
      <c r="Y339" s="279"/>
      <c r="Z339" s="279"/>
      <c r="AA339" s="279"/>
      <c r="AB339" s="279"/>
      <c r="AC339" s="279"/>
      <c r="AD339" s="279"/>
      <c r="AE339" s="279"/>
      <c r="AF339" s="279"/>
      <c r="AG339" s="279"/>
      <c r="AH339" s="279"/>
      <c r="AI339" s="279"/>
      <c r="AJ339" s="279"/>
      <c r="AK339" s="279"/>
      <c r="AL339" s="279"/>
      <c r="AM339" s="279"/>
      <c r="AN339" s="279"/>
      <c r="AO339" s="279"/>
      <c r="AP339" s="279"/>
      <c r="AQ339" s="279"/>
      <c r="AR339" s="279"/>
      <c r="AS339" s="279"/>
      <c r="AT339" s="279"/>
      <c r="AU339" s="279"/>
      <c r="AV339" s="279"/>
      <c r="AW339" s="279"/>
      <c r="AX339" s="279"/>
      <c r="AY339" s="279"/>
      <c r="AZ339" s="279"/>
      <c r="BA339" s="279"/>
      <c r="BB339" s="279"/>
      <c r="BC339" s="279"/>
      <c r="BD339" s="279"/>
      <c r="BE339" s="279"/>
      <c r="BF339" s="279"/>
      <c r="BG339" s="279"/>
      <c r="BH339" s="279"/>
      <c r="BI339" s="279"/>
      <c r="BJ339" s="279"/>
      <c r="BK339" s="279"/>
      <c r="BL339" s="279"/>
    </row>
    <row r="340" spans="1:64" ht="20.25">
      <c r="A340" s="423"/>
      <c r="B340" s="424"/>
      <c r="C340" s="424"/>
      <c r="D340" s="424"/>
      <c r="E340" s="424"/>
      <c r="F340" s="424"/>
      <c r="G340" s="424"/>
      <c r="H340" s="424"/>
      <c r="I340" s="424"/>
      <c r="J340" s="412"/>
      <c r="K340" s="412"/>
      <c r="L340" s="412"/>
      <c r="M340" s="414"/>
      <c r="N340" s="420"/>
      <c r="O340" s="413"/>
      <c r="P340" s="296"/>
      <c r="Q340" s="296"/>
      <c r="R340" s="295"/>
      <c r="S340" s="295"/>
      <c r="T340" s="295"/>
      <c r="U340" s="279"/>
      <c r="V340" s="279"/>
      <c r="W340" s="279"/>
      <c r="X340" s="279"/>
      <c r="Y340" s="279"/>
      <c r="Z340" s="279"/>
      <c r="AA340" s="279"/>
      <c r="AB340" s="279"/>
      <c r="AC340" s="279"/>
      <c r="AD340" s="279"/>
      <c r="AE340" s="279"/>
      <c r="AF340" s="279"/>
      <c r="AG340" s="279"/>
      <c r="AH340" s="279"/>
      <c r="AI340" s="279"/>
      <c r="AJ340" s="279"/>
      <c r="AK340" s="279"/>
      <c r="AL340" s="279"/>
      <c r="AM340" s="279"/>
      <c r="AN340" s="279"/>
      <c r="AO340" s="279"/>
      <c r="AP340" s="279"/>
      <c r="AQ340" s="279"/>
      <c r="AR340" s="279"/>
      <c r="AS340" s="279"/>
      <c r="AT340" s="279"/>
      <c r="AU340" s="279"/>
      <c r="AV340" s="279"/>
      <c r="AW340" s="279"/>
      <c r="AX340" s="279"/>
      <c r="AY340" s="279"/>
      <c r="AZ340" s="279"/>
      <c r="BA340" s="279"/>
      <c r="BB340" s="279"/>
      <c r="BC340" s="279"/>
      <c r="BD340" s="279"/>
      <c r="BE340" s="279"/>
      <c r="BF340" s="279"/>
      <c r="BG340" s="279"/>
      <c r="BH340" s="279"/>
      <c r="BI340" s="279"/>
      <c r="BJ340" s="279"/>
      <c r="BK340" s="279"/>
      <c r="BL340" s="279"/>
    </row>
    <row r="341" spans="1:64" ht="20.25">
      <c r="A341" s="423"/>
      <c r="B341" s="424"/>
      <c r="C341" s="424"/>
      <c r="D341" s="424"/>
      <c r="E341" s="424"/>
      <c r="F341" s="424"/>
      <c r="G341" s="424"/>
      <c r="H341" s="424"/>
      <c r="I341" s="424"/>
      <c r="J341" s="412"/>
      <c r="K341" s="412"/>
      <c r="L341" s="412"/>
      <c r="M341" s="414"/>
      <c r="N341" s="420"/>
      <c r="O341" s="413"/>
      <c r="P341" s="296"/>
      <c r="Q341" s="296"/>
      <c r="R341" s="295"/>
      <c r="S341" s="295"/>
      <c r="T341" s="295"/>
      <c r="U341" s="279"/>
      <c r="V341" s="279"/>
      <c r="W341" s="279"/>
      <c r="X341" s="279"/>
      <c r="Y341" s="279"/>
      <c r="Z341" s="279"/>
      <c r="AA341" s="279"/>
      <c r="AB341" s="279"/>
      <c r="AC341" s="279"/>
      <c r="AD341" s="279"/>
      <c r="AE341" s="279"/>
      <c r="AF341" s="279"/>
      <c r="AG341" s="279"/>
      <c r="AH341" s="279"/>
      <c r="AI341" s="279"/>
      <c r="AJ341" s="279"/>
      <c r="AK341" s="279"/>
      <c r="AL341" s="279"/>
      <c r="AM341" s="279"/>
      <c r="AN341" s="279"/>
      <c r="AO341" s="279"/>
      <c r="AP341" s="279"/>
      <c r="AQ341" s="279"/>
      <c r="AR341" s="279"/>
      <c r="AS341" s="279"/>
      <c r="AT341" s="279"/>
      <c r="AU341" s="279"/>
      <c r="AV341" s="279"/>
      <c r="AW341" s="279"/>
      <c r="AX341" s="279"/>
      <c r="AY341" s="279"/>
      <c r="AZ341" s="279"/>
      <c r="BA341" s="279"/>
      <c r="BB341" s="279"/>
      <c r="BC341" s="279"/>
      <c r="BD341" s="279"/>
      <c r="BE341" s="279"/>
      <c r="BF341" s="279"/>
      <c r="BG341" s="279"/>
      <c r="BH341" s="279"/>
      <c r="BI341" s="279"/>
      <c r="BJ341" s="279"/>
      <c r="BK341" s="279"/>
      <c r="BL341" s="279"/>
    </row>
    <row r="342" spans="1:64" ht="20.25">
      <c r="A342" s="423"/>
      <c r="B342" s="424"/>
      <c r="C342" s="424"/>
      <c r="D342" s="424"/>
      <c r="E342" s="424"/>
      <c r="F342" s="424"/>
      <c r="G342" s="424"/>
      <c r="H342" s="424"/>
      <c r="I342" s="424"/>
      <c r="J342" s="412"/>
      <c r="K342" s="412"/>
      <c r="L342" s="412"/>
      <c r="M342" s="372"/>
      <c r="N342" s="420"/>
      <c r="O342" s="413"/>
      <c r="P342" s="296"/>
      <c r="Q342" s="296"/>
      <c r="R342" s="295"/>
      <c r="S342" s="295"/>
      <c r="T342" s="295"/>
      <c r="U342" s="279"/>
      <c r="V342" s="279"/>
      <c r="W342" s="279"/>
      <c r="X342" s="279"/>
      <c r="Y342" s="279"/>
      <c r="Z342" s="279"/>
      <c r="AA342" s="279"/>
      <c r="AB342" s="279"/>
      <c r="AC342" s="279"/>
      <c r="AD342" s="279"/>
      <c r="AE342" s="279"/>
      <c r="AF342" s="279"/>
      <c r="AG342" s="279"/>
      <c r="AH342" s="279"/>
      <c r="AI342" s="279"/>
      <c r="AJ342" s="279"/>
      <c r="AK342" s="279"/>
      <c r="AL342" s="279"/>
      <c r="AM342" s="279"/>
      <c r="AN342" s="279"/>
      <c r="AO342" s="279"/>
      <c r="AP342" s="279"/>
      <c r="AQ342" s="279"/>
      <c r="AR342" s="279"/>
      <c r="AS342" s="279"/>
      <c r="AT342" s="279"/>
      <c r="AU342" s="279"/>
      <c r="AV342" s="279"/>
      <c r="AW342" s="279"/>
      <c r="AX342" s="279"/>
      <c r="AY342" s="279"/>
      <c r="AZ342" s="279"/>
      <c r="BA342" s="279"/>
      <c r="BB342" s="279"/>
      <c r="BC342" s="279"/>
      <c r="BD342" s="279"/>
      <c r="BE342" s="279"/>
      <c r="BF342" s="279"/>
      <c r="BG342" s="279"/>
      <c r="BH342" s="279"/>
      <c r="BI342" s="279"/>
      <c r="BJ342" s="279"/>
      <c r="BK342" s="279"/>
      <c r="BL342" s="279"/>
    </row>
    <row r="343" spans="1:64" ht="20.25">
      <c r="A343" s="423"/>
      <c r="B343" s="424"/>
      <c r="C343" s="424"/>
      <c r="D343" s="424"/>
      <c r="E343" s="424"/>
      <c r="F343" s="424"/>
      <c r="G343" s="424"/>
      <c r="H343" s="424"/>
      <c r="I343" s="424"/>
      <c r="J343" s="412"/>
      <c r="K343" s="412"/>
      <c r="L343" s="412"/>
      <c r="M343" s="420"/>
      <c r="N343" s="420"/>
      <c r="O343" s="413"/>
      <c r="P343" s="296"/>
      <c r="Q343" s="296"/>
      <c r="R343" s="295"/>
      <c r="S343" s="295"/>
      <c r="T343" s="295"/>
      <c r="U343" s="279"/>
      <c r="V343" s="279"/>
      <c r="W343" s="279"/>
      <c r="X343" s="279"/>
      <c r="Y343" s="279"/>
      <c r="Z343" s="279"/>
      <c r="AA343" s="279"/>
      <c r="AB343" s="279"/>
      <c r="AC343" s="279"/>
      <c r="AD343" s="279"/>
      <c r="AE343" s="279"/>
      <c r="AF343" s="279"/>
      <c r="AG343" s="279"/>
      <c r="AH343" s="279"/>
      <c r="AI343" s="279"/>
      <c r="AJ343" s="279"/>
      <c r="AK343" s="279"/>
      <c r="AL343" s="279"/>
      <c r="AM343" s="279"/>
      <c r="AN343" s="279"/>
      <c r="AO343" s="279"/>
      <c r="AP343" s="279"/>
      <c r="AQ343" s="279"/>
      <c r="AR343" s="279"/>
      <c r="AS343" s="279"/>
      <c r="AT343" s="279"/>
      <c r="AU343" s="279"/>
      <c r="AV343" s="279"/>
      <c r="AW343" s="279"/>
      <c r="AX343" s="279"/>
      <c r="AY343" s="279"/>
      <c r="AZ343" s="279"/>
      <c r="BA343" s="279"/>
      <c r="BB343" s="279"/>
      <c r="BC343" s="279"/>
      <c r="BD343" s="279"/>
      <c r="BE343" s="279"/>
      <c r="BF343" s="279"/>
      <c r="BG343" s="279"/>
      <c r="BH343" s="279"/>
      <c r="BI343" s="279"/>
      <c r="BJ343" s="279"/>
      <c r="BK343" s="279"/>
      <c r="BL343" s="279"/>
    </row>
    <row r="344" spans="1:64" ht="20.25">
      <c r="A344" s="423"/>
      <c r="B344" s="424"/>
      <c r="C344" s="424"/>
      <c r="D344" s="424"/>
      <c r="E344" s="424"/>
      <c r="F344" s="424"/>
      <c r="G344" s="424"/>
      <c r="H344" s="424"/>
      <c r="I344" s="424"/>
      <c r="J344" s="412"/>
      <c r="K344" s="412"/>
      <c r="L344" s="412"/>
      <c r="M344" s="420"/>
      <c r="N344" s="420"/>
      <c r="O344" s="413"/>
      <c r="P344" s="296"/>
      <c r="Q344" s="296"/>
      <c r="R344" s="295"/>
      <c r="S344" s="295"/>
      <c r="T344" s="295"/>
      <c r="U344" s="279"/>
      <c r="V344" s="279"/>
      <c r="W344" s="279"/>
      <c r="X344" s="279"/>
      <c r="Y344" s="279"/>
      <c r="Z344" s="279"/>
      <c r="AA344" s="279"/>
      <c r="AB344" s="279"/>
      <c r="AC344" s="279"/>
      <c r="AD344" s="279"/>
      <c r="AE344" s="279"/>
      <c r="AF344" s="279"/>
      <c r="AG344" s="279"/>
      <c r="AH344" s="279"/>
      <c r="AI344" s="279"/>
      <c r="AJ344" s="279"/>
      <c r="AK344" s="279"/>
      <c r="AL344" s="279"/>
      <c r="AM344" s="279"/>
      <c r="AN344" s="279"/>
      <c r="AO344" s="279"/>
      <c r="AP344" s="279"/>
      <c r="AQ344" s="279"/>
      <c r="AR344" s="279"/>
      <c r="AS344" s="279"/>
      <c r="AT344" s="279"/>
      <c r="AU344" s="279"/>
      <c r="AV344" s="279"/>
      <c r="AW344" s="279"/>
      <c r="AX344" s="279"/>
      <c r="AY344" s="279"/>
      <c r="AZ344" s="279"/>
      <c r="BA344" s="279"/>
      <c r="BB344" s="279"/>
      <c r="BC344" s="279"/>
      <c r="BD344" s="279"/>
      <c r="BE344" s="279"/>
      <c r="BF344" s="279"/>
      <c r="BG344" s="279"/>
      <c r="BH344" s="279"/>
      <c r="BI344" s="279"/>
      <c r="BJ344" s="279"/>
      <c r="BK344" s="279"/>
      <c r="BL344" s="279"/>
    </row>
    <row r="345" spans="1:64" ht="20.25">
      <c r="A345" s="423"/>
      <c r="B345" s="424"/>
      <c r="C345" s="424"/>
      <c r="D345" s="424"/>
      <c r="E345" s="424"/>
      <c r="F345" s="424"/>
      <c r="G345" s="424"/>
      <c r="H345" s="424"/>
      <c r="I345" s="424"/>
      <c r="J345" s="412"/>
      <c r="K345" s="412"/>
      <c r="L345" s="412"/>
      <c r="M345" s="420"/>
      <c r="N345" s="420"/>
      <c r="O345" s="413"/>
      <c r="P345" s="296"/>
      <c r="Q345" s="296"/>
      <c r="R345" s="295"/>
      <c r="S345" s="295"/>
      <c r="T345" s="295"/>
      <c r="U345" s="279"/>
      <c r="V345" s="279"/>
      <c r="W345" s="279"/>
      <c r="X345" s="279"/>
      <c r="Y345" s="279"/>
      <c r="Z345" s="279"/>
      <c r="AA345" s="279"/>
      <c r="AB345" s="279"/>
      <c r="AC345" s="279"/>
      <c r="AD345" s="279"/>
      <c r="AE345" s="279"/>
      <c r="AF345" s="279"/>
      <c r="AG345" s="279"/>
      <c r="AH345" s="279"/>
      <c r="AI345" s="279"/>
      <c r="AJ345" s="279"/>
      <c r="AK345" s="279"/>
      <c r="AL345" s="279"/>
      <c r="AM345" s="279"/>
      <c r="AN345" s="279"/>
      <c r="AO345" s="279"/>
      <c r="AP345" s="279"/>
      <c r="AQ345" s="279"/>
      <c r="AR345" s="279"/>
      <c r="AS345" s="279"/>
      <c r="AT345" s="279"/>
      <c r="AU345" s="279"/>
      <c r="AV345" s="279"/>
      <c r="AW345" s="279"/>
      <c r="AX345" s="279"/>
      <c r="AY345" s="279"/>
      <c r="AZ345" s="279"/>
      <c r="BA345" s="279"/>
      <c r="BB345" s="279"/>
      <c r="BC345" s="279"/>
      <c r="BD345" s="279"/>
      <c r="BE345" s="279"/>
      <c r="BF345" s="279"/>
      <c r="BG345" s="279"/>
      <c r="BH345" s="279"/>
      <c r="BI345" s="279"/>
      <c r="BJ345" s="279"/>
      <c r="BK345" s="279"/>
      <c r="BL345" s="279"/>
    </row>
    <row r="346" spans="1:64" ht="20.25">
      <c r="A346" s="423"/>
      <c r="B346" s="424"/>
      <c r="C346" s="424"/>
      <c r="D346" s="424"/>
      <c r="E346" s="424"/>
      <c r="F346" s="424"/>
      <c r="G346" s="424"/>
      <c r="H346" s="424"/>
      <c r="I346" s="424"/>
      <c r="J346" s="412"/>
      <c r="K346" s="412"/>
      <c r="L346" s="412"/>
      <c r="M346" s="420"/>
      <c r="N346" s="420"/>
      <c r="O346" s="413"/>
      <c r="P346" s="296"/>
      <c r="Q346" s="296"/>
      <c r="R346" s="295"/>
      <c r="S346" s="295"/>
      <c r="T346" s="295"/>
      <c r="U346" s="279"/>
      <c r="V346" s="279"/>
      <c r="W346" s="279"/>
      <c r="X346" s="279"/>
      <c r="Y346" s="279"/>
      <c r="Z346" s="279"/>
      <c r="AA346" s="279"/>
      <c r="AB346" s="279"/>
      <c r="AC346" s="279"/>
      <c r="AD346" s="279"/>
      <c r="AE346" s="279"/>
      <c r="AF346" s="279"/>
      <c r="AG346" s="279"/>
      <c r="AH346" s="279"/>
      <c r="AI346" s="279"/>
      <c r="AJ346" s="279"/>
      <c r="AK346" s="279"/>
      <c r="AL346" s="279"/>
      <c r="AM346" s="279"/>
      <c r="AN346" s="279"/>
      <c r="AO346" s="279"/>
      <c r="AP346" s="279"/>
      <c r="AQ346" s="279"/>
      <c r="AR346" s="279"/>
      <c r="AS346" s="279"/>
      <c r="AT346" s="279"/>
      <c r="AU346" s="279"/>
      <c r="AV346" s="279"/>
      <c r="AW346" s="279"/>
      <c r="AX346" s="279"/>
      <c r="AY346" s="279"/>
      <c r="AZ346" s="279"/>
      <c r="BA346" s="279"/>
      <c r="BB346" s="279"/>
      <c r="BC346" s="279"/>
      <c r="BD346" s="279"/>
      <c r="BE346" s="279"/>
      <c r="BF346" s="279"/>
      <c r="BG346" s="279"/>
      <c r="BH346" s="279"/>
      <c r="BI346" s="279"/>
      <c r="BJ346" s="279"/>
      <c r="BK346" s="279"/>
      <c r="BL346" s="279"/>
    </row>
    <row r="347" spans="1:64" ht="20.25">
      <c r="A347" s="423"/>
      <c r="B347" s="424"/>
      <c r="C347" s="424"/>
      <c r="D347" s="424"/>
      <c r="E347" s="424"/>
      <c r="F347" s="424"/>
      <c r="G347" s="424"/>
      <c r="H347" s="424"/>
      <c r="I347" s="424"/>
      <c r="J347" s="412"/>
      <c r="K347" s="412"/>
      <c r="L347" s="412"/>
      <c r="M347" s="420"/>
      <c r="N347" s="420"/>
      <c r="O347" s="413"/>
      <c r="P347" s="296"/>
      <c r="Q347" s="296"/>
      <c r="R347" s="295"/>
      <c r="S347" s="295"/>
      <c r="T347" s="295"/>
      <c r="U347" s="279"/>
      <c r="V347" s="279"/>
      <c r="W347" s="279"/>
      <c r="X347" s="279"/>
      <c r="Y347" s="279"/>
      <c r="Z347" s="279"/>
      <c r="AA347" s="279"/>
      <c r="AB347" s="279"/>
      <c r="AC347" s="279"/>
      <c r="AD347" s="279"/>
      <c r="AE347" s="279"/>
      <c r="AF347" s="279"/>
      <c r="AG347" s="279"/>
      <c r="AH347" s="279"/>
      <c r="AI347" s="279"/>
      <c r="AJ347" s="279"/>
      <c r="AK347" s="279"/>
      <c r="AL347" s="279"/>
      <c r="AM347" s="279"/>
      <c r="AN347" s="279"/>
      <c r="AO347" s="279"/>
      <c r="AP347" s="279"/>
      <c r="AQ347" s="279"/>
      <c r="AR347" s="279"/>
      <c r="AS347" s="279"/>
      <c r="AT347" s="279"/>
      <c r="AU347" s="279"/>
      <c r="AV347" s="279"/>
      <c r="AW347" s="279"/>
      <c r="AX347" s="279"/>
      <c r="AY347" s="279"/>
      <c r="AZ347" s="279"/>
      <c r="BA347" s="279"/>
      <c r="BB347" s="279"/>
      <c r="BC347" s="279"/>
      <c r="BD347" s="279"/>
      <c r="BE347" s="279"/>
      <c r="BF347" s="279"/>
      <c r="BG347" s="279"/>
      <c r="BH347" s="279"/>
      <c r="BI347" s="279"/>
      <c r="BJ347" s="279"/>
      <c r="BK347" s="279"/>
      <c r="BL347" s="279"/>
    </row>
    <row r="348" spans="1:64" ht="20.25">
      <c r="A348" s="423"/>
      <c r="B348" s="424"/>
      <c r="C348" s="424"/>
      <c r="D348" s="424"/>
      <c r="E348" s="424"/>
      <c r="F348" s="424"/>
      <c r="G348" s="424"/>
      <c r="H348" s="424"/>
      <c r="I348" s="424"/>
      <c r="J348" s="412"/>
      <c r="K348" s="412"/>
      <c r="L348" s="412"/>
      <c r="M348" s="420"/>
      <c r="N348" s="420"/>
      <c r="O348" s="413"/>
      <c r="P348" s="296"/>
      <c r="Q348" s="296"/>
      <c r="R348" s="295"/>
      <c r="S348" s="295"/>
      <c r="T348" s="295"/>
      <c r="U348" s="279"/>
      <c r="V348" s="279"/>
      <c r="W348" s="279"/>
      <c r="X348" s="279"/>
      <c r="Y348" s="279"/>
      <c r="Z348" s="279"/>
      <c r="AA348" s="279"/>
      <c r="AB348" s="279"/>
      <c r="AC348" s="279"/>
      <c r="AD348" s="279"/>
      <c r="AE348" s="279"/>
      <c r="AF348" s="279"/>
      <c r="AG348" s="279"/>
      <c r="AH348" s="279"/>
      <c r="AI348" s="279"/>
      <c r="AJ348" s="279"/>
      <c r="AK348" s="279"/>
      <c r="AL348" s="279"/>
      <c r="AM348" s="279"/>
      <c r="AN348" s="279"/>
      <c r="AO348" s="279"/>
      <c r="AP348" s="279"/>
      <c r="AQ348" s="279"/>
      <c r="AR348" s="279"/>
      <c r="AS348" s="279"/>
      <c r="AT348" s="279"/>
      <c r="AU348" s="279"/>
      <c r="AV348" s="279"/>
      <c r="AW348" s="279"/>
      <c r="AX348" s="279"/>
      <c r="AY348" s="279"/>
      <c r="AZ348" s="279"/>
      <c r="BA348" s="279"/>
      <c r="BB348" s="279"/>
      <c r="BC348" s="279"/>
      <c r="BD348" s="279"/>
      <c r="BE348" s="279"/>
      <c r="BF348" s="279"/>
      <c r="BG348" s="279"/>
      <c r="BH348" s="279"/>
      <c r="BI348" s="279"/>
      <c r="BJ348" s="279"/>
      <c r="BK348" s="279"/>
      <c r="BL348" s="279"/>
    </row>
    <row r="349" spans="1:64" ht="20.25">
      <c r="A349" s="423"/>
      <c r="B349" s="424"/>
      <c r="C349" s="424"/>
      <c r="D349" s="424"/>
      <c r="E349" s="424"/>
      <c r="F349" s="424"/>
      <c r="G349" s="424"/>
      <c r="H349" s="424"/>
      <c r="I349" s="424"/>
      <c r="J349" s="412"/>
      <c r="K349" s="412"/>
      <c r="L349" s="412"/>
      <c r="M349" s="420"/>
      <c r="N349" s="420"/>
      <c r="O349" s="413"/>
      <c r="P349" s="296"/>
      <c r="Q349" s="296"/>
      <c r="R349" s="295"/>
      <c r="S349" s="295"/>
      <c r="T349" s="295"/>
      <c r="U349" s="279"/>
      <c r="V349" s="279"/>
      <c r="W349" s="279"/>
      <c r="X349" s="279"/>
      <c r="Y349" s="279"/>
      <c r="Z349" s="279"/>
      <c r="AA349" s="279"/>
      <c r="AB349" s="279"/>
      <c r="AC349" s="279"/>
      <c r="AD349" s="279"/>
      <c r="AE349" s="279"/>
      <c r="AF349" s="279"/>
      <c r="AG349" s="279"/>
      <c r="AH349" s="279"/>
      <c r="AI349" s="279"/>
      <c r="AJ349" s="279"/>
      <c r="AK349" s="279"/>
      <c r="AL349" s="279"/>
      <c r="AM349" s="279"/>
      <c r="AN349" s="279"/>
      <c r="AO349" s="279"/>
      <c r="AP349" s="279"/>
      <c r="AQ349" s="279"/>
      <c r="AR349" s="279"/>
      <c r="AS349" s="279"/>
      <c r="AT349" s="279"/>
      <c r="AU349" s="279"/>
      <c r="AV349" s="279"/>
      <c r="AW349" s="279"/>
      <c r="AX349" s="279"/>
      <c r="AY349" s="279"/>
      <c r="AZ349" s="279"/>
      <c r="BA349" s="279"/>
      <c r="BB349" s="279"/>
      <c r="BC349" s="279"/>
      <c r="BD349" s="279"/>
      <c r="BE349" s="279"/>
      <c r="BF349" s="279"/>
      <c r="BG349" s="279"/>
      <c r="BH349" s="279"/>
      <c r="BI349" s="279"/>
      <c r="BJ349" s="279"/>
      <c r="BK349" s="279"/>
      <c r="BL349" s="279"/>
    </row>
    <row r="350" spans="1:64" ht="20.25">
      <c r="A350" s="423"/>
      <c r="B350" s="424"/>
      <c r="C350" s="424"/>
      <c r="D350" s="424"/>
      <c r="E350" s="424"/>
      <c r="F350" s="424"/>
      <c r="G350" s="424"/>
      <c r="H350" s="424"/>
      <c r="I350" s="424"/>
      <c r="J350" s="412"/>
      <c r="K350" s="412"/>
      <c r="L350" s="412"/>
      <c r="M350" s="420"/>
      <c r="N350" s="420"/>
      <c r="O350" s="413"/>
      <c r="P350" s="296"/>
      <c r="Q350" s="296"/>
      <c r="R350" s="295"/>
      <c r="S350" s="295"/>
      <c r="T350" s="295"/>
      <c r="U350" s="279"/>
      <c r="V350" s="279"/>
      <c r="W350" s="279"/>
      <c r="X350" s="279"/>
      <c r="Y350" s="279"/>
      <c r="Z350" s="279"/>
      <c r="AA350" s="279"/>
      <c r="AB350" s="279"/>
      <c r="AC350" s="279"/>
      <c r="AD350" s="279"/>
      <c r="AE350" s="279"/>
      <c r="AF350" s="279"/>
      <c r="AG350" s="279"/>
      <c r="AH350" s="279"/>
      <c r="AI350" s="279"/>
      <c r="AJ350" s="279"/>
      <c r="AK350" s="279"/>
      <c r="AL350" s="279"/>
      <c r="AM350" s="279"/>
      <c r="AN350" s="279"/>
      <c r="AO350" s="279"/>
      <c r="AP350" s="279"/>
      <c r="AQ350" s="279"/>
      <c r="AR350" s="279"/>
      <c r="AS350" s="279"/>
      <c r="AT350" s="279"/>
      <c r="AU350" s="279"/>
      <c r="AV350" s="279"/>
      <c r="AW350" s="279"/>
      <c r="AX350" s="279"/>
      <c r="AY350" s="279"/>
      <c r="AZ350" s="279"/>
      <c r="BA350" s="279"/>
      <c r="BB350" s="279"/>
      <c r="BC350" s="279"/>
      <c r="BD350" s="279"/>
      <c r="BE350" s="279"/>
      <c r="BF350" s="279"/>
      <c r="BG350" s="279"/>
      <c r="BH350" s="279"/>
      <c r="BI350" s="279"/>
      <c r="BJ350" s="279"/>
      <c r="BK350" s="279"/>
      <c r="BL350" s="279"/>
    </row>
    <row r="351" spans="1:64" ht="20.25">
      <c r="A351" s="423"/>
      <c r="B351" s="424"/>
      <c r="C351" s="424"/>
      <c r="D351" s="424"/>
      <c r="E351" s="424"/>
      <c r="F351" s="424"/>
      <c r="G351" s="424"/>
      <c r="H351" s="424"/>
      <c r="I351" s="424"/>
      <c r="J351" s="412"/>
      <c r="K351" s="412"/>
      <c r="L351" s="412"/>
      <c r="M351" s="420"/>
      <c r="N351" s="420"/>
      <c r="O351" s="413"/>
      <c r="P351" s="296"/>
      <c r="Q351" s="296"/>
      <c r="R351" s="295"/>
      <c r="S351" s="295"/>
      <c r="T351" s="295"/>
      <c r="U351" s="279"/>
      <c r="V351" s="279"/>
      <c r="W351" s="279"/>
      <c r="X351" s="279"/>
      <c r="Y351" s="279"/>
      <c r="Z351" s="279"/>
      <c r="AA351" s="279"/>
      <c r="AB351" s="279"/>
      <c r="AC351" s="279"/>
      <c r="AD351" s="279"/>
      <c r="AE351" s="279"/>
      <c r="AF351" s="279"/>
      <c r="AG351" s="279"/>
      <c r="AH351" s="279"/>
      <c r="AI351" s="279"/>
      <c r="AJ351" s="279"/>
      <c r="AK351" s="279"/>
      <c r="AL351" s="279"/>
      <c r="AM351" s="279"/>
      <c r="AN351" s="279"/>
      <c r="AO351" s="279"/>
      <c r="AP351" s="279"/>
      <c r="AQ351" s="279"/>
      <c r="AR351" s="279"/>
      <c r="AS351" s="279"/>
      <c r="AT351" s="279"/>
      <c r="AU351" s="279"/>
      <c r="AV351" s="279"/>
      <c r="AW351" s="279"/>
      <c r="AX351" s="279"/>
      <c r="AY351" s="279"/>
      <c r="AZ351" s="279"/>
      <c r="BA351" s="279"/>
      <c r="BB351" s="279"/>
      <c r="BC351" s="279"/>
      <c r="BD351" s="279"/>
      <c r="BE351" s="279"/>
      <c r="BF351" s="279"/>
      <c r="BG351" s="279"/>
      <c r="BH351" s="279"/>
      <c r="BI351" s="279"/>
      <c r="BJ351" s="279"/>
      <c r="BK351" s="279"/>
      <c r="BL351" s="279"/>
    </row>
    <row r="352" spans="1:64" ht="20.25">
      <c r="A352" s="423"/>
      <c r="B352" s="424"/>
      <c r="C352" s="424"/>
      <c r="D352" s="424"/>
      <c r="E352" s="424"/>
      <c r="F352" s="424"/>
      <c r="G352" s="424"/>
      <c r="H352" s="424"/>
      <c r="I352" s="424"/>
      <c r="J352" s="412"/>
      <c r="K352" s="412"/>
      <c r="L352" s="412"/>
      <c r="M352" s="420"/>
      <c r="N352" s="420"/>
      <c r="O352" s="413"/>
      <c r="P352" s="296"/>
      <c r="Q352" s="296"/>
      <c r="R352" s="295"/>
      <c r="S352" s="295"/>
      <c r="T352" s="295"/>
      <c r="U352" s="279"/>
      <c r="V352" s="279"/>
      <c r="W352" s="279"/>
      <c r="X352" s="279"/>
      <c r="Y352" s="279"/>
      <c r="Z352" s="279"/>
      <c r="AA352" s="279"/>
      <c r="AB352" s="279"/>
      <c r="AC352" s="279"/>
      <c r="AD352" s="279"/>
      <c r="AE352" s="279"/>
      <c r="AF352" s="279"/>
      <c r="AG352" s="279"/>
      <c r="AH352" s="279"/>
      <c r="AI352" s="279"/>
      <c r="AJ352" s="279"/>
      <c r="AK352" s="279"/>
      <c r="AL352" s="279"/>
      <c r="AM352" s="279"/>
      <c r="AN352" s="279"/>
      <c r="AO352" s="279"/>
      <c r="AP352" s="279"/>
      <c r="AQ352" s="279"/>
      <c r="AR352" s="279"/>
      <c r="AS352" s="279"/>
      <c r="AT352" s="279"/>
      <c r="AU352" s="279"/>
      <c r="AV352" s="279"/>
      <c r="AW352" s="279"/>
      <c r="AX352" s="279"/>
      <c r="AY352" s="279"/>
      <c r="AZ352" s="279"/>
      <c r="BA352" s="279"/>
      <c r="BB352" s="279"/>
      <c r="BC352" s="279"/>
      <c r="BD352" s="279"/>
      <c r="BE352" s="279"/>
      <c r="BF352" s="279"/>
      <c r="BG352" s="279"/>
      <c r="BH352" s="279"/>
      <c r="BI352" s="279"/>
      <c r="BJ352" s="279"/>
      <c r="BK352" s="279"/>
      <c r="BL352" s="279"/>
    </row>
    <row r="353" spans="1:64" ht="20.25">
      <c r="A353" s="423"/>
      <c r="B353" s="424"/>
      <c r="C353" s="424"/>
      <c r="D353" s="424"/>
      <c r="E353" s="424"/>
      <c r="F353" s="424"/>
      <c r="G353" s="424"/>
      <c r="H353" s="424"/>
      <c r="I353" s="424"/>
      <c r="J353" s="412"/>
      <c r="K353" s="412"/>
      <c r="L353" s="412"/>
      <c r="M353" s="420"/>
      <c r="N353" s="420"/>
      <c r="O353" s="413"/>
      <c r="P353" s="296"/>
      <c r="Q353" s="296"/>
      <c r="R353" s="295"/>
      <c r="S353" s="295"/>
      <c r="T353" s="295"/>
      <c r="U353" s="279"/>
      <c r="V353" s="279"/>
      <c r="W353" s="279"/>
      <c r="X353" s="279"/>
      <c r="Y353" s="279"/>
      <c r="Z353" s="279"/>
      <c r="AA353" s="279"/>
      <c r="AB353" s="279"/>
      <c r="AC353" s="279"/>
      <c r="AD353" s="279"/>
      <c r="AE353" s="279"/>
      <c r="AF353" s="279"/>
      <c r="AG353" s="279"/>
      <c r="AH353" s="279"/>
      <c r="AI353" s="279"/>
      <c r="AJ353" s="279"/>
      <c r="AK353" s="279"/>
      <c r="AL353" s="279"/>
      <c r="AM353" s="279"/>
      <c r="AN353" s="279"/>
      <c r="AO353" s="279"/>
      <c r="AP353" s="279"/>
      <c r="AQ353" s="279"/>
      <c r="AR353" s="279"/>
      <c r="AS353" s="279"/>
      <c r="AT353" s="279"/>
      <c r="AU353" s="279"/>
      <c r="AV353" s="279"/>
      <c r="AW353" s="279"/>
      <c r="AX353" s="279"/>
      <c r="AY353" s="279"/>
      <c r="AZ353" s="279"/>
      <c r="BA353" s="279"/>
      <c r="BB353" s="279"/>
      <c r="BC353" s="279"/>
      <c r="BD353" s="279"/>
      <c r="BE353" s="279"/>
      <c r="BF353" s="279"/>
      <c r="BG353" s="279"/>
      <c r="BH353" s="279"/>
      <c r="BI353" s="279"/>
      <c r="BJ353" s="279"/>
      <c r="BK353" s="279"/>
      <c r="BL353" s="279"/>
    </row>
    <row r="354" spans="1:64" ht="20.25">
      <c r="A354" s="423"/>
      <c r="B354" s="424"/>
      <c r="C354" s="424"/>
      <c r="D354" s="424"/>
      <c r="E354" s="424"/>
      <c r="F354" s="424"/>
      <c r="G354" s="424"/>
      <c r="H354" s="424"/>
      <c r="I354" s="424"/>
      <c r="J354" s="412"/>
      <c r="K354" s="412"/>
      <c r="L354" s="412"/>
      <c r="M354" s="420"/>
      <c r="N354" s="420"/>
      <c r="O354" s="413"/>
      <c r="P354" s="296"/>
      <c r="Q354" s="296"/>
      <c r="R354" s="295"/>
      <c r="S354" s="295"/>
      <c r="T354" s="295"/>
      <c r="U354" s="279"/>
      <c r="V354" s="279"/>
      <c r="W354" s="279"/>
      <c r="X354" s="279"/>
      <c r="Y354" s="279"/>
      <c r="Z354" s="279"/>
      <c r="AA354" s="279"/>
      <c r="AB354" s="279"/>
      <c r="AC354" s="279"/>
      <c r="AD354" s="279"/>
      <c r="AE354" s="279"/>
      <c r="AF354" s="279"/>
      <c r="AG354" s="279"/>
      <c r="AH354" s="279"/>
      <c r="AI354" s="279"/>
      <c r="AJ354" s="279"/>
      <c r="AK354" s="279"/>
      <c r="AL354" s="279"/>
      <c r="AM354" s="279"/>
      <c r="AN354" s="279"/>
      <c r="AO354" s="279"/>
      <c r="AP354" s="279"/>
      <c r="AQ354" s="279"/>
      <c r="AR354" s="279"/>
      <c r="AS354" s="279"/>
      <c r="AT354" s="279"/>
      <c r="AU354" s="279"/>
      <c r="AV354" s="279"/>
      <c r="AW354" s="279"/>
      <c r="AX354" s="279"/>
      <c r="AY354" s="279"/>
      <c r="AZ354" s="279"/>
      <c r="BA354" s="279"/>
      <c r="BB354" s="279"/>
      <c r="BC354" s="279"/>
      <c r="BD354" s="279"/>
      <c r="BE354" s="279"/>
      <c r="BF354" s="279"/>
      <c r="BG354" s="279"/>
      <c r="BH354" s="279"/>
      <c r="BI354" s="279"/>
      <c r="BJ354" s="279"/>
      <c r="BK354" s="279"/>
      <c r="BL354" s="279"/>
    </row>
    <row r="355" spans="1:64" ht="20.25">
      <c r="A355" s="423"/>
      <c r="B355" s="424"/>
      <c r="C355" s="424"/>
      <c r="D355" s="424"/>
      <c r="E355" s="424"/>
      <c r="F355" s="424"/>
      <c r="G355" s="424"/>
      <c r="H355" s="424"/>
      <c r="I355" s="424"/>
      <c r="J355" s="412"/>
      <c r="K355" s="412"/>
      <c r="L355" s="412"/>
      <c r="M355" s="420"/>
      <c r="N355" s="420"/>
      <c r="O355" s="413"/>
      <c r="P355" s="296"/>
      <c r="Q355" s="296"/>
      <c r="R355" s="295"/>
      <c r="S355" s="295"/>
      <c r="T355" s="295"/>
      <c r="U355" s="279"/>
      <c r="V355" s="279"/>
      <c r="W355" s="279"/>
      <c r="X355" s="279"/>
      <c r="Y355" s="279"/>
      <c r="Z355" s="279"/>
      <c r="AA355" s="279"/>
      <c r="AB355" s="279"/>
      <c r="AC355" s="279"/>
      <c r="AD355" s="279"/>
      <c r="AE355" s="279"/>
      <c r="AF355" s="279"/>
      <c r="AG355" s="279"/>
      <c r="AH355" s="279"/>
      <c r="AI355" s="279"/>
      <c r="AJ355" s="279"/>
      <c r="AK355" s="279"/>
      <c r="AL355" s="279"/>
      <c r="AM355" s="279"/>
      <c r="AN355" s="279"/>
      <c r="AO355" s="279"/>
      <c r="AP355" s="279"/>
      <c r="AQ355" s="279"/>
      <c r="AR355" s="279"/>
      <c r="AS355" s="279"/>
      <c r="AT355" s="279"/>
      <c r="AU355" s="279"/>
      <c r="AV355" s="279"/>
      <c r="AW355" s="279"/>
      <c r="AX355" s="279"/>
      <c r="AY355" s="279"/>
      <c r="AZ355" s="279"/>
      <c r="BA355" s="279"/>
      <c r="BB355" s="279"/>
      <c r="BC355" s="279"/>
      <c r="BD355" s="279"/>
      <c r="BE355" s="279"/>
      <c r="BF355" s="279"/>
      <c r="BG355" s="279"/>
      <c r="BH355" s="279"/>
      <c r="BI355" s="279"/>
      <c r="BJ355" s="279"/>
      <c r="BK355" s="279"/>
      <c r="BL355" s="279"/>
    </row>
    <row r="356" spans="1:64" ht="18.75">
      <c r="A356" s="284"/>
      <c r="B356" s="346"/>
      <c r="C356" s="346"/>
      <c r="D356" s="346"/>
      <c r="E356" s="346"/>
      <c r="F356" s="346"/>
      <c r="G356" s="346"/>
      <c r="H356" s="346"/>
      <c r="I356" s="346"/>
      <c r="J356" s="346"/>
      <c r="K356" s="346"/>
      <c r="L356" s="346"/>
      <c r="M356" s="420"/>
      <c r="N356" s="420"/>
      <c r="O356" s="413"/>
      <c r="P356" s="296"/>
      <c r="Q356" s="296"/>
      <c r="R356" s="295"/>
      <c r="S356" s="295"/>
      <c r="T356" s="295"/>
      <c r="U356" s="279"/>
      <c r="V356" s="279"/>
      <c r="W356" s="279"/>
      <c r="X356" s="279"/>
      <c r="Y356" s="279"/>
      <c r="Z356" s="279"/>
      <c r="AA356" s="279"/>
      <c r="AB356" s="279"/>
      <c r="AC356" s="279"/>
      <c r="AD356" s="279"/>
      <c r="AE356" s="279"/>
      <c r="AF356" s="279"/>
      <c r="AG356" s="279"/>
      <c r="AH356" s="279"/>
      <c r="AI356" s="279"/>
      <c r="AJ356" s="279"/>
      <c r="AK356" s="279"/>
      <c r="AL356" s="279"/>
      <c r="AM356" s="279"/>
      <c r="AN356" s="279"/>
      <c r="AO356" s="279"/>
      <c r="AP356" s="279"/>
      <c r="AQ356" s="279"/>
      <c r="AR356" s="279"/>
      <c r="AS356" s="279"/>
      <c r="AT356" s="279"/>
      <c r="AU356" s="279"/>
      <c r="AV356" s="279"/>
      <c r="AW356" s="279"/>
      <c r="AX356" s="279"/>
      <c r="AY356" s="279"/>
      <c r="AZ356" s="279"/>
      <c r="BA356" s="279"/>
      <c r="BB356" s="279"/>
      <c r="BC356" s="279"/>
      <c r="BD356" s="279"/>
      <c r="BE356" s="279"/>
      <c r="BF356" s="279"/>
      <c r="BG356" s="279"/>
      <c r="BH356" s="279"/>
      <c r="BI356" s="279"/>
      <c r="BJ356" s="279"/>
      <c r="BK356" s="279"/>
      <c r="BL356" s="279"/>
    </row>
    <row r="357" spans="1:64" ht="18.75">
      <c r="A357" s="284"/>
      <c r="B357" s="346"/>
      <c r="C357" s="346"/>
      <c r="D357" s="346"/>
      <c r="E357" s="346"/>
      <c r="F357" s="346"/>
      <c r="G357" s="346"/>
      <c r="H357" s="346"/>
      <c r="I357" s="346"/>
      <c r="J357" s="346"/>
      <c r="K357" s="346"/>
      <c r="L357" s="346"/>
      <c r="M357" s="420"/>
      <c r="N357" s="420"/>
      <c r="O357" s="413"/>
      <c r="P357" s="296"/>
      <c r="Q357" s="296"/>
      <c r="R357" s="295"/>
      <c r="S357" s="295"/>
      <c r="T357" s="295"/>
      <c r="U357" s="279"/>
      <c r="V357" s="279"/>
      <c r="W357" s="279"/>
      <c r="X357" s="279"/>
      <c r="Y357" s="279"/>
      <c r="Z357" s="279"/>
      <c r="AA357" s="279"/>
      <c r="AB357" s="279"/>
      <c r="AC357" s="279"/>
      <c r="AD357" s="279"/>
      <c r="AE357" s="279"/>
      <c r="AF357" s="279"/>
      <c r="AG357" s="279"/>
      <c r="AH357" s="279"/>
      <c r="AI357" s="279"/>
      <c r="AJ357" s="279"/>
      <c r="AK357" s="279"/>
      <c r="AL357" s="279"/>
      <c r="AM357" s="279"/>
      <c r="AN357" s="279"/>
      <c r="AO357" s="279"/>
      <c r="AP357" s="279"/>
      <c r="AQ357" s="279"/>
      <c r="AR357" s="279"/>
      <c r="AS357" s="279"/>
      <c r="AT357" s="279"/>
      <c r="AU357" s="279"/>
      <c r="AV357" s="279"/>
      <c r="AW357" s="279"/>
      <c r="AX357" s="279"/>
      <c r="AY357" s="279"/>
      <c r="AZ357" s="279"/>
      <c r="BA357" s="279"/>
      <c r="BB357" s="279"/>
      <c r="BC357" s="279"/>
      <c r="BD357" s="279"/>
      <c r="BE357" s="279"/>
      <c r="BF357" s="279"/>
      <c r="BG357" s="279"/>
      <c r="BH357" s="279"/>
      <c r="BI357" s="279"/>
      <c r="BJ357" s="279"/>
      <c r="BK357" s="279"/>
      <c r="BL357" s="279"/>
    </row>
    <row r="358" spans="1:64" ht="18.75">
      <c r="B358" s="278"/>
      <c r="C358" s="278"/>
      <c r="D358" s="278"/>
      <c r="E358" s="278"/>
      <c r="F358" s="278"/>
      <c r="G358" s="278"/>
      <c r="H358" s="278"/>
      <c r="I358" s="278"/>
      <c r="J358" s="278"/>
      <c r="K358" s="278"/>
      <c r="L358" s="278"/>
      <c r="M358" s="420"/>
      <c r="N358" s="420"/>
      <c r="O358" s="413"/>
      <c r="P358" s="296"/>
      <c r="Q358" s="296"/>
      <c r="R358" s="295"/>
      <c r="S358" s="295"/>
      <c r="T358" s="295"/>
      <c r="U358" s="279"/>
      <c r="V358" s="279"/>
      <c r="W358" s="279"/>
      <c r="X358" s="279"/>
      <c r="Y358" s="279"/>
      <c r="Z358" s="279"/>
      <c r="AA358" s="279"/>
      <c r="AB358" s="279"/>
      <c r="AC358" s="279"/>
      <c r="AD358" s="279"/>
      <c r="AE358" s="279"/>
      <c r="AF358" s="279"/>
      <c r="AG358" s="279"/>
      <c r="AH358" s="279"/>
      <c r="AI358" s="279"/>
      <c r="AJ358" s="279"/>
      <c r="AK358" s="279"/>
      <c r="AL358" s="279"/>
      <c r="AM358" s="279"/>
      <c r="AN358" s="279"/>
      <c r="AO358" s="279"/>
      <c r="AP358" s="279"/>
      <c r="AQ358" s="279"/>
      <c r="AR358" s="279"/>
      <c r="AS358" s="279"/>
      <c r="AT358" s="279"/>
      <c r="AU358" s="279"/>
      <c r="AV358" s="279"/>
      <c r="AW358" s="279"/>
      <c r="AX358" s="279"/>
      <c r="AY358" s="279"/>
      <c r="AZ358" s="279"/>
      <c r="BA358" s="279"/>
      <c r="BB358" s="279"/>
      <c r="BC358" s="279"/>
      <c r="BD358" s="279"/>
      <c r="BE358" s="279"/>
      <c r="BF358" s="279"/>
      <c r="BG358" s="279"/>
      <c r="BH358" s="279"/>
      <c r="BI358" s="279"/>
      <c r="BJ358" s="279"/>
      <c r="BK358" s="279"/>
      <c r="BL358" s="279"/>
    </row>
    <row r="359" spans="1:64" ht="18.75">
      <c r="B359" s="278"/>
      <c r="C359" s="278"/>
      <c r="D359" s="278"/>
      <c r="E359" s="278"/>
      <c r="F359" s="278"/>
      <c r="G359" s="278"/>
      <c r="H359" s="278"/>
      <c r="I359" s="278"/>
      <c r="J359" s="278"/>
      <c r="K359" s="278"/>
      <c r="L359" s="278"/>
      <c r="M359" s="420"/>
      <c r="N359" s="420"/>
      <c r="O359" s="413"/>
      <c r="P359" s="296"/>
      <c r="Q359" s="296"/>
      <c r="R359" s="295"/>
      <c r="S359" s="295"/>
      <c r="T359" s="295"/>
      <c r="U359" s="279"/>
      <c r="V359" s="279"/>
      <c r="W359" s="279"/>
      <c r="X359" s="279"/>
      <c r="Y359" s="279"/>
      <c r="Z359" s="279"/>
      <c r="AA359" s="279"/>
      <c r="AB359" s="279"/>
      <c r="AC359" s="279"/>
      <c r="AD359" s="279"/>
      <c r="AE359" s="279"/>
      <c r="AF359" s="279"/>
      <c r="AG359" s="279"/>
      <c r="AH359" s="279"/>
      <c r="AI359" s="279"/>
      <c r="AJ359" s="279"/>
      <c r="AK359" s="279"/>
      <c r="AL359" s="279"/>
      <c r="AM359" s="279"/>
      <c r="AN359" s="279"/>
      <c r="AO359" s="279"/>
      <c r="AP359" s="279"/>
      <c r="AQ359" s="279"/>
      <c r="AR359" s="279"/>
      <c r="AS359" s="279"/>
      <c r="AT359" s="279"/>
      <c r="AU359" s="279"/>
      <c r="AV359" s="279"/>
      <c r="AW359" s="279"/>
      <c r="AX359" s="279"/>
      <c r="AY359" s="279"/>
      <c r="AZ359" s="279"/>
      <c r="BA359" s="279"/>
      <c r="BB359" s="279"/>
      <c r="BC359" s="279"/>
      <c r="BD359" s="279"/>
      <c r="BE359" s="279"/>
      <c r="BF359" s="279"/>
      <c r="BG359" s="279"/>
      <c r="BH359" s="279"/>
      <c r="BI359" s="279"/>
      <c r="BJ359" s="279"/>
      <c r="BK359" s="279"/>
      <c r="BL359" s="279"/>
    </row>
    <row r="360" spans="1:64" ht="15.75">
      <c r="B360" s="278"/>
      <c r="C360" s="278"/>
      <c r="D360" s="278"/>
      <c r="E360" s="278"/>
      <c r="F360" s="278"/>
      <c r="G360" s="278"/>
      <c r="H360" s="278"/>
      <c r="I360" s="278"/>
      <c r="J360" s="278"/>
      <c r="K360" s="278"/>
      <c r="L360" s="278"/>
      <c r="M360" s="420"/>
      <c r="N360" s="420"/>
      <c r="O360" s="411"/>
      <c r="P360" s="296"/>
      <c r="Q360" s="296"/>
      <c r="R360" s="295"/>
      <c r="S360" s="295"/>
      <c r="T360" s="295"/>
      <c r="U360" s="279"/>
      <c r="V360" s="279"/>
      <c r="W360" s="279"/>
      <c r="X360" s="279"/>
      <c r="Y360" s="279"/>
      <c r="Z360" s="279"/>
      <c r="AA360" s="279"/>
      <c r="AB360" s="279"/>
      <c r="AC360" s="279"/>
      <c r="AD360" s="279"/>
      <c r="AE360" s="279"/>
      <c r="AF360" s="279"/>
      <c r="AG360" s="279"/>
      <c r="AH360" s="279"/>
      <c r="AI360" s="279"/>
      <c r="AJ360" s="279"/>
      <c r="AK360" s="279"/>
      <c r="AL360" s="279"/>
      <c r="AM360" s="279"/>
      <c r="AN360" s="279"/>
      <c r="AO360" s="279"/>
      <c r="AP360" s="279"/>
      <c r="AQ360" s="279"/>
      <c r="AR360" s="279"/>
      <c r="AS360" s="279"/>
      <c r="AT360" s="279"/>
      <c r="AU360" s="279"/>
      <c r="AV360" s="279"/>
      <c r="AW360" s="279"/>
      <c r="AX360" s="279"/>
      <c r="AY360" s="279"/>
      <c r="AZ360" s="279"/>
      <c r="BA360" s="279"/>
      <c r="BB360" s="279"/>
      <c r="BC360" s="279"/>
      <c r="BD360" s="279"/>
      <c r="BE360" s="279"/>
      <c r="BF360" s="279"/>
      <c r="BG360" s="279"/>
      <c r="BH360" s="279"/>
      <c r="BI360" s="279"/>
      <c r="BJ360" s="279"/>
      <c r="BK360" s="279"/>
      <c r="BL360" s="279"/>
    </row>
    <row r="361" spans="1:64" ht="15.75">
      <c r="B361" s="425"/>
      <c r="C361" s="425"/>
      <c r="D361" s="425"/>
      <c r="E361" s="425"/>
      <c r="F361" s="425"/>
      <c r="G361" s="425"/>
      <c r="H361" s="425"/>
      <c r="I361" s="425"/>
      <c r="J361" s="425"/>
      <c r="K361" s="425"/>
      <c r="L361" s="425"/>
      <c r="M361" s="420"/>
      <c r="N361" s="420"/>
      <c r="O361" s="411"/>
      <c r="P361" s="296"/>
      <c r="Q361" s="296"/>
      <c r="R361" s="295"/>
      <c r="S361" s="295"/>
      <c r="T361" s="295"/>
      <c r="U361" s="279"/>
      <c r="V361" s="279"/>
      <c r="W361" s="279"/>
      <c r="X361" s="279"/>
      <c r="Y361" s="279"/>
      <c r="Z361" s="279"/>
      <c r="AA361" s="279"/>
      <c r="AB361" s="279"/>
      <c r="AC361" s="279"/>
      <c r="AD361" s="279"/>
      <c r="AE361" s="279"/>
      <c r="AF361" s="279"/>
      <c r="AG361" s="279"/>
      <c r="AH361" s="279"/>
      <c r="AI361" s="279"/>
      <c r="AJ361" s="279"/>
      <c r="AK361" s="279"/>
      <c r="AL361" s="279"/>
      <c r="AM361" s="279"/>
      <c r="AN361" s="279"/>
      <c r="AO361" s="279"/>
      <c r="AP361" s="279"/>
      <c r="AQ361" s="279"/>
      <c r="AR361" s="279"/>
      <c r="AS361" s="279"/>
      <c r="AT361" s="279"/>
      <c r="AU361" s="279"/>
      <c r="AV361" s="279"/>
      <c r="AW361" s="279"/>
      <c r="AX361" s="279"/>
      <c r="AY361" s="279"/>
      <c r="AZ361" s="279"/>
      <c r="BA361" s="279"/>
      <c r="BB361" s="279"/>
      <c r="BC361" s="279"/>
      <c r="BD361" s="279"/>
      <c r="BE361" s="279"/>
      <c r="BF361" s="279"/>
      <c r="BG361" s="279"/>
      <c r="BH361" s="279"/>
      <c r="BI361" s="279"/>
      <c r="BJ361" s="279"/>
      <c r="BK361" s="279"/>
      <c r="BL361" s="279"/>
    </row>
    <row r="362" spans="1:64" ht="15">
      <c r="B362" s="425"/>
      <c r="C362" s="425"/>
      <c r="D362" s="425"/>
      <c r="E362" s="425"/>
      <c r="F362" s="425"/>
      <c r="G362" s="425"/>
      <c r="H362" s="425"/>
      <c r="I362" s="425"/>
      <c r="J362" s="425"/>
      <c r="K362" s="425"/>
      <c r="L362" s="425"/>
      <c r="M362" s="420"/>
      <c r="N362" s="420"/>
      <c r="O362" s="296"/>
      <c r="P362" s="296"/>
      <c r="Q362" s="296"/>
      <c r="R362" s="295"/>
      <c r="S362" s="295"/>
      <c r="T362" s="295"/>
      <c r="U362" s="279"/>
      <c r="V362" s="279"/>
      <c r="W362" s="279"/>
      <c r="X362" s="279"/>
      <c r="Y362" s="279"/>
      <c r="Z362" s="279"/>
      <c r="AA362" s="279"/>
      <c r="AB362" s="279"/>
      <c r="AC362" s="279"/>
      <c r="AD362" s="279"/>
      <c r="AE362" s="279"/>
      <c r="AF362" s="279"/>
      <c r="AG362" s="279"/>
      <c r="AH362" s="279"/>
      <c r="AI362" s="279"/>
      <c r="AJ362" s="279"/>
      <c r="AK362" s="279"/>
      <c r="AL362" s="279"/>
      <c r="AM362" s="279"/>
      <c r="AN362" s="279"/>
      <c r="AO362" s="279"/>
      <c r="AP362" s="279"/>
      <c r="AQ362" s="279"/>
      <c r="AR362" s="279"/>
      <c r="AS362" s="279"/>
      <c r="AT362" s="279"/>
      <c r="AU362" s="279"/>
      <c r="AV362" s="279"/>
      <c r="AW362" s="279"/>
      <c r="AX362" s="279"/>
      <c r="AY362" s="279"/>
      <c r="AZ362" s="279"/>
      <c r="BA362" s="279"/>
      <c r="BB362" s="279"/>
      <c r="BC362" s="279"/>
      <c r="BD362" s="279"/>
      <c r="BE362" s="279"/>
      <c r="BF362" s="279"/>
      <c r="BG362" s="279"/>
      <c r="BH362" s="279"/>
      <c r="BI362" s="279"/>
      <c r="BJ362" s="279"/>
      <c r="BK362" s="279"/>
      <c r="BL362" s="279"/>
    </row>
    <row r="363" spans="1:64" ht="15">
      <c r="B363" s="425"/>
      <c r="C363" s="425"/>
      <c r="D363" s="425"/>
      <c r="E363" s="425"/>
      <c r="F363" s="425"/>
      <c r="G363" s="425"/>
      <c r="H363" s="425"/>
      <c r="I363" s="425"/>
      <c r="J363" s="425"/>
      <c r="K363" s="425"/>
      <c r="L363" s="425"/>
      <c r="M363" s="420"/>
      <c r="N363" s="420"/>
      <c r="O363" s="296"/>
      <c r="P363" s="296"/>
      <c r="Q363" s="296"/>
      <c r="R363" s="295"/>
      <c r="S363" s="295"/>
      <c r="T363" s="295"/>
      <c r="U363" s="279"/>
      <c r="V363" s="279"/>
      <c r="W363" s="279"/>
      <c r="X363" s="279"/>
      <c r="Y363" s="279"/>
      <c r="Z363" s="279"/>
      <c r="AA363" s="279"/>
      <c r="AB363" s="279"/>
      <c r="AC363" s="279"/>
      <c r="AD363" s="279"/>
      <c r="AE363" s="279"/>
      <c r="AF363" s="279"/>
      <c r="AG363" s="279"/>
      <c r="AH363" s="279"/>
      <c r="AI363" s="279"/>
      <c r="AJ363" s="279"/>
      <c r="AK363" s="279"/>
      <c r="AL363" s="279"/>
      <c r="AM363" s="279"/>
      <c r="AN363" s="279"/>
      <c r="AO363" s="279"/>
      <c r="AP363" s="279"/>
      <c r="AQ363" s="279"/>
      <c r="AR363" s="279"/>
      <c r="AS363" s="279"/>
      <c r="AT363" s="279"/>
      <c r="AU363" s="279"/>
      <c r="AV363" s="279"/>
      <c r="AW363" s="279"/>
      <c r="AX363" s="279"/>
      <c r="AY363" s="279"/>
      <c r="AZ363" s="279"/>
      <c r="BA363" s="279"/>
      <c r="BB363" s="279"/>
      <c r="BC363" s="279"/>
      <c r="BD363" s="279"/>
      <c r="BE363" s="279"/>
      <c r="BF363" s="279"/>
      <c r="BG363" s="279"/>
      <c r="BH363" s="279"/>
      <c r="BI363" s="279"/>
      <c r="BJ363" s="279"/>
      <c r="BK363" s="279"/>
      <c r="BL363" s="279"/>
    </row>
    <row r="364" spans="1:64" ht="15">
      <c r="B364" s="425"/>
      <c r="C364" s="425"/>
      <c r="D364" s="425"/>
      <c r="E364" s="425"/>
      <c r="F364" s="425"/>
      <c r="G364" s="425"/>
      <c r="H364" s="425"/>
      <c r="I364" s="425"/>
      <c r="J364" s="425"/>
      <c r="K364" s="425"/>
      <c r="L364" s="425"/>
      <c r="M364" s="420"/>
      <c r="N364" s="420"/>
      <c r="O364" s="296"/>
      <c r="P364" s="296"/>
      <c r="Q364" s="296"/>
      <c r="R364" s="295"/>
      <c r="S364" s="295"/>
      <c r="T364" s="295"/>
      <c r="U364" s="279"/>
      <c r="V364" s="279"/>
      <c r="W364" s="279"/>
      <c r="X364" s="279"/>
      <c r="Y364" s="279"/>
      <c r="Z364" s="279"/>
      <c r="AA364" s="279"/>
      <c r="AB364" s="279"/>
      <c r="AC364" s="279"/>
      <c r="AD364" s="279"/>
      <c r="AE364" s="279"/>
      <c r="AF364" s="279"/>
      <c r="AG364" s="279"/>
      <c r="AH364" s="279"/>
      <c r="AI364" s="279"/>
      <c r="AJ364" s="279"/>
      <c r="AK364" s="279"/>
      <c r="AL364" s="279"/>
      <c r="AM364" s="279"/>
      <c r="AN364" s="279"/>
      <c r="AO364" s="279"/>
      <c r="AP364" s="279"/>
      <c r="AQ364" s="279"/>
      <c r="AR364" s="279"/>
      <c r="AS364" s="279"/>
      <c r="AT364" s="279"/>
      <c r="AU364" s="279"/>
      <c r="AV364" s="279"/>
      <c r="AW364" s="279"/>
      <c r="AX364" s="279"/>
      <c r="AY364" s="279"/>
      <c r="AZ364" s="279"/>
      <c r="BA364" s="279"/>
      <c r="BB364" s="279"/>
      <c r="BC364" s="279"/>
      <c r="BD364" s="279"/>
      <c r="BE364" s="279"/>
      <c r="BF364" s="279"/>
      <c r="BG364" s="279"/>
      <c r="BH364" s="279"/>
      <c r="BI364" s="279"/>
      <c r="BJ364" s="279"/>
      <c r="BK364" s="279"/>
      <c r="BL364" s="279"/>
    </row>
    <row r="365" spans="1:64">
      <c r="B365" s="425"/>
      <c r="C365" s="425"/>
      <c r="D365" s="425"/>
      <c r="E365" s="425"/>
      <c r="F365" s="425"/>
      <c r="G365" s="425"/>
      <c r="H365" s="425"/>
      <c r="I365" s="425"/>
      <c r="J365" s="425"/>
      <c r="K365" s="425"/>
      <c r="L365" s="425"/>
      <c r="M365" s="420"/>
      <c r="N365" s="420"/>
      <c r="O365" s="426"/>
      <c r="P365" s="426"/>
      <c r="Q365" s="426"/>
      <c r="R365" s="420"/>
      <c r="S365" s="420"/>
      <c r="T365" s="420"/>
    </row>
    <row r="366" spans="1:64">
      <c r="B366" s="425"/>
      <c r="C366" s="425"/>
      <c r="D366" s="425"/>
      <c r="E366" s="425"/>
      <c r="F366" s="425"/>
      <c r="G366" s="425"/>
      <c r="H366" s="425"/>
      <c r="I366" s="425"/>
      <c r="J366" s="425"/>
      <c r="K366" s="425"/>
      <c r="L366" s="425"/>
      <c r="M366" s="420"/>
      <c r="N366" s="420"/>
      <c r="O366" s="426"/>
      <c r="P366" s="426"/>
      <c r="Q366" s="426"/>
      <c r="R366" s="420"/>
      <c r="S366" s="420"/>
      <c r="T366" s="420"/>
    </row>
    <row r="367" spans="1:64">
      <c r="B367" s="427"/>
      <c r="C367" s="427"/>
      <c r="D367" s="427"/>
      <c r="E367" s="427"/>
      <c r="F367" s="427"/>
      <c r="G367" s="427"/>
      <c r="H367" s="427"/>
      <c r="I367" s="427"/>
      <c r="J367" s="427"/>
      <c r="K367" s="427"/>
      <c r="L367" s="427"/>
      <c r="M367" s="420"/>
      <c r="N367" s="420"/>
      <c r="O367" s="426"/>
      <c r="P367" s="426"/>
      <c r="Q367" s="426"/>
      <c r="R367" s="420"/>
      <c r="S367" s="420"/>
      <c r="T367" s="420"/>
    </row>
    <row r="368" spans="1:64">
      <c r="B368" s="427"/>
      <c r="C368" s="427"/>
      <c r="D368" s="427"/>
      <c r="E368" s="427"/>
      <c r="F368" s="427"/>
      <c r="G368" s="427"/>
      <c r="H368" s="427"/>
      <c r="I368" s="427"/>
      <c r="J368" s="427"/>
      <c r="K368" s="427"/>
      <c r="L368" s="427"/>
      <c r="M368" s="420"/>
      <c r="N368" s="420"/>
      <c r="O368" s="426"/>
      <c r="P368" s="426"/>
      <c r="Q368" s="426"/>
      <c r="R368" s="420"/>
      <c r="S368" s="420"/>
      <c r="T368" s="420"/>
    </row>
    <row r="369" spans="2:20">
      <c r="B369" s="427"/>
      <c r="C369" s="427"/>
      <c r="D369" s="427"/>
      <c r="E369" s="427"/>
      <c r="F369" s="427"/>
      <c r="G369" s="427"/>
      <c r="H369" s="427"/>
      <c r="I369" s="427"/>
      <c r="J369" s="427"/>
      <c r="K369" s="427"/>
      <c r="L369" s="427"/>
      <c r="M369" s="420"/>
      <c r="N369" s="420"/>
      <c r="O369" s="426"/>
      <c r="P369" s="426"/>
      <c r="Q369" s="426"/>
      <c r="R369" s="420"/>
      <c r="S369" s="420"/>
      <c r="T369" s="420"/>
    </row>
    <row r="370" spans="2:20">
      <c r="B370" s="427"/>
      <c r="C370" s="427"/>
      <c r="D370" s="427"/>
      <c r="E370" s="427"/>
      <c r="F370" s="427"/>
      <c r="G370" s="427"/>
      <c r="H370" s="427"/>
      <c r="I370" s="427"/>
      <c r="J370" s="427"/>
      <c r="K370" s="427"/>
      <c r="L370" s="427"/>
      <c r="M370" s="420"/>
      <c r="N370" s="420"/>
      <c r="O370" s="426"/>
      <c r="P370" s="426"/>
      <c r="Q370" s="426"/>
      <c r="R370" s="420"/>
      <c r="S370" s="420"/>
      <c r="T370" s="420"/>
    </row>
    <row r="371" spans="2:20">
      <c r="B371" s="427"/>
      <c r="C371" s="427"/>
      <c r="D371" s="427"/>
      <c r="E371" s="427"/>
      <c r="F371" s="427"/>
      <c r="G371" s="427"/>
      <c r="H371" s="427"/>
      <c r="I371" s="427"/>
      <c r="J371" s="427"/>
      <c r="K371" s="427"/>
      <c r="L371" s="427"/>
      <c r="M371" s="420"/>
      <c r="N371" s="420"/>
      <c r="O371" s="420"/>
      <c r="P371" s="420"/>
      <c r="Q371" s="420"/>
      <c r="R371" s="420"/>
      <c r="S371" s="420"/>
      <c r="T371" s="420"/>
    </row>
    <row r="372" spans="2:20">
      <c r="B372" s="427"/>
      <c r="C372" s="427"/>
      <c r="D372" s="427"/>
      <c r="E372" s="427"/>
      <c r="F372" s="427"/>
      <c r="G372" s="427"/>
      <c r="H372" s="427"/>
      <c r="I372" s="427"/>
      <c r="J372" s="427"/>
      <c r="K372" s="427"/>
      <c r="L372" s="427"/>
      <c r="M372" s="420"/>
      <c r="N372" s="420"/>
      <c r="O372" s="420"/>
      <c r="P372" s="420"/>
      <c r="Q372" s="420"/>
      <c r="R372" s="420"/>
      <c r="S372" s="420"/>
      <c r="T372" s="420"/>
    </row>
    <row r="373" spans="2:20">
      <c r="B373" s="427"/>
      <c r="C373" s="427"/>
      <c r="D373" s="427"/>
      <c r="E373" s="427"/>
      <c r="F373" s="427"/>
      <c r="G373" s="427"/>
      <c r="H373" s="427"/>
      <c r="I373" s="427"/>
      <c r="J373" s="427"/>
      <c r="K373" s="427"/>
      <c r="L373" s="427"/>
      <c r="M373" s="420"/>
      <c r="N373" s="420"/>
      <c r="O373" s="420"/>
      <c r="P373" s="420"/>
      <c r="Q373" s="420"/>
      <c r="R373" s="420"/>
      <c r="S373" s="420"/>
      <c r="T373" s="420"/>
    </row>
    <row r="374" spans="2:20">
      <c r="B374" s="427"/>
      <c r="C374" s="427"/>
      <c r="D374" s="427"/>
      <c r="E374" s="427"/>
      <c r="F374" s="427"/>
      <c r="G374" s="427"/>
      <c r="H374" s="427"/>
      <c r="I374" s="427"/>
      <c r="J374" s="427"/>
      <c r="K374" s="427"/>
      <c r="L374" s="427"/>
      <c r="M374" s="420"/>
      <c r="N374" s="420"/>
      <c r="O374" s="420"/>
      <c r="P374" s="420"/>
      <c r="Q374" s="420"/>
      <c r="R374" s="420"/>
      <c r="S374" s="420"/>
      <c r="T374" s="420"/>
    </row>
    <row r="375" spans="2:20">
      <c r="B375" s="427"/>
      <c r="C375" s="427"/>
      <c r="D375" s="427"/>
      <c r="E375" s="427"/>
      <c r="F375" s="427"/>
      <c r="G375" s="427"/>
      <c r="H375" s="427"/>
      <c r="I375" s="427"/>
      <c r="J375" s="427"/>
      <c r="K375" s="427"/>
      <c r="L375" s="427"/>
      <c r="M375" s="420"/>
      <c r="N375" s="420"/>
      <c r="O375" s="420"/>
      <c r="P375" s="420"/>
      <c r="Q375" s="420"/>
      <c r="R375" s="420"/>
      <c r="S375" s="420"/>
      <c r="T375" s="420"/>
    </row>
    <row r="376" spans="2:20">
      <c r="B376" s="427"/>
      <c r="C376" s="427"/>
      <c r="D376" s="427"/>
      <c r="E376" s="427"/>
      <c r="F376" s="427"/>
      <c r="G376" s="427"/>
      <c r="H376" s="427"/>
      <c r="I376" s="427"/>
      <c r="J376" s="427"/>
      <c r="K376" s="427"/>
      <c r="L376" s="427"/>
      <c r="M376" s="420"/>
      <c r="N376" s="420"/>
      <c r="O376" s="420"/>
      <c r="P376" s="420"/>
      <c r="Q376" s="420"/>
      <c r="R376" s="420"/>
      <c r="S376" s="420"/>
      <c r="T376" s="420"/>
    </row>
    <row r="377" spans="2:20">
      <c r="B377" s="427"/>
      <c r="C377" s="427"/>
      <c r="D377" s="427"/>
      <c r="E377" s="427"/>
      <c r="F377" s="427"/>
      <c r="G377" s="427"/>
      <c r="H377" s="427"/>
      <c r="I377" s="427"/>
      <c r="J377" s="427"/>
      <c r="K377" s="427"/>
      <c r="L377" s="427"/>
      <c r="M377" s="420"/>
      <c r="N377" s="420"/>
      <c r="O377" s="420"/>
      <c r="P377" s="420"/>
      <c r="Q377" s="420"/>
      <c r="R377" s="420"/>
      <c r="S377" s="420"/>
      <c r="T377" s="420"/>
    </row>
    <row r="378" spans="2:20">
      <c r="B378" s="427"/>
      <c r="C378" s="427"/>
      <c r="D378" s="427"/>
      <c r="E378" s="427"/>
      <c r="F378" s="427"/>
      <c r="G378" s="427"/>
      <c r="H378" s="427"/>
      <c r="I378" s="427"/>
      <c r="J378" s="427"/>
      <c r="K378" s="427"/>
      <c r="L378" s="427"/>
      <c r="M378" s="420"/>
      <c r="N378" s="420"/>
      <c r="O378" s="420"/>
      <c r="P378" s="420"/>
      <c r="Q378" s="420"/>
      <c r="R378" s="420"/>
      <c r="S378" s="420"/>
      <c r="T378" s="420"/>
    </row>
    <row r="379" spans="2:20">
      <c r="B379" s="427"/>
      <c r="C379" s="427"/>
      <c r="D379" s="427"/>
      <c r="E379" s="427"/>
      <c r="F379" s="427"/>
      <c r="G379" s="427"/>
      <c r="H379" s="427"/>
      <c r="I379" s="427"/>
      <c r="J379" s="427"/>
      <c r="K379" s="427"/>
      <c r="L379" s="427"/>
      <c r="M379" s="420"/>
      <c r="N379" s="420"/>
      <c r="O379" s="420"/>
      <c r="P379" s="420"/>
      <c r="Q379" s="420"/>
      <c r="R379" s="420"/>
      <c r="S379" s="420"/>
      <c r="T379" s="420"/>
    </row>
    <row r="380" spans="2:20">
      <c r="B380" s="427"/>
      <c r="C380" s="427"/>
      <c r="D380" s="427"/>
      <c r="E380" s="427"/>
      <c r="F380" s="427"/>
      <c r="G380" s="427"/>
      <c r="H380" s="427"/>
      <c r="I380" s="427"/>
      <c r="J380" s="427"/>
      <c r="K380" s="427"/>
      <c r="L380" s="427"/>
      <c r="M380" s="420"/>
      <c r="N380" s="420"/>
      <c r="O380" s="420"/>
      <c r="P380" s="420"/>
      <c r="Q380" s="420"/>
      <c r="R380" s="420"/>
      <c r="S380" s="420"/>
      <c r="T380" s="420"/>
    </row>
    <row r="381" spans="2:20">
      <c r="B381" s="427"/>
      <c r="C381" s="427"/>
      <c r="D381" s="427"/>
      <c r="E381" s="427"/>
      <c r="F381" s="427"/>
      <c r="G381" s="427"/>
      <c r="H381" s="427"/>
      <c r="I381" s="427"/>
      <c r="J381" s="427"/>
      <c r="K381" s="427"/>
      <c r="L381" s="427"/>
      <c r="M381" s="420"/>
      <c r="N381" s="420"/>
      <c r="O381" s="420"/>
      <c r="P381" s="420"/>
      <c r="Q381" s="420"/>
      <c r="R381" s="420"/>
      <c r="S381" s="420"/>
      <c r="T381" s="420"/>
    </row>
    <row r="382" spans="2:20">
      <c r="B382" s="427"/>
      <c r="C382" s="427"/>
      <c r="D382" s="427"/>
      <c r="E382" s="427"/>
      <c r="F382" s="427"/>
      <c r="G382" s="427"/>
      <c r="H382" s="427"/>
      <c r="I382" s="427"/>
      <c r="J382" s="427"/>
      <c r="K382" s="427"/>
      <c r="L382" s="427"/>
      <c r="M382" s="420"/>
      <c r="N382" s="420"/>
      <c r="O382" s="420"/>
      <c r="P382" s="420"/>
      <c r="Q382" s="420"/>
      <c r="R382" s="420"/>
      <c r="S382" s="420"/>
      <c r="T382" s="420"/>
    </row>
    <row r="383" spans="2:20">
      <c r="B383" s="427"/>
      <c r="C383" s="427"/>
      <c r="D383" s="427"/>
      <c r="E383" s="427"/>
      <c r="F383" s="427"/>
      <c r="G383" s="427"/>
      <c r="H383" s="427"/>
      <c r="I383" s="427"/>
      <c r="J383" s="427"/>
      <c r="K383" s="427"/>
      <c r="L383" s="427"/>
      <c r="M383" s="420"/>
      <c r="N383" s="420"/>
      <c r="O383" s="420"/>
      <c r="P383" s="420"/>
      <c r="Q383" s="420"/>
      <c r="R383" s="420"/>
      <c r="S383" s="420"/>
      <c r="T383" s="420"/>
    </row>
    <row r="384" spans="2:20">
      <c r="B384" s="427"/>
      <c r="C384" s="427"/>
      <c r="D384" s="427"/>
      <c r="E384" s="427"/>
      <c r="F384" s="427"/>
      <c r="G384" s="427"/>
      <c r="H384" s="427"/>
      <c r="I384" s="427"/>
      <c r="J384" s="427"/>
      <c r="K384" s="427"/>
      <c r="L384" s="427"/>
      <c r="M384" s="420"/>
      <c r="N384" s="420"/>
      <c r="O384" s="420"/>
      <c r="P384" s="420"/>
      <c r="Q384" s="420"/>
      <c r="R384" s="420"/>
      <c r="S384" s="420"/>
      <c r="T384" s="420"/>
    </row>
    <row r="385" spans="2:20">
      <c r="B385" s="427"/>
      <c r="C385" s="427"/>
      <c r="D385" s="427"/>
      <c r="E385" s="427"/>
      <c r="F385" s="427"/>
      <c r="G385" s="427"/>
      <c r="H385" s="427"/>
      <c r="I385" s="427"/>
      <c r="J385" s="427"/>
      <c r="K385" s="427"/>
      <c r="L385" s="427"/>
      <c r="M385" s="420"/>
      <c r="N385" s="420"/>
      <c r="O385" s="420"/>
      <c r="P385" s="420"/>
      <c r="Q385" s="420"/>
      <c r="R385" s="420"/>
      <c r="S385" s="420"/>
      <c r="T385" s="420"/>
    </row>
    <row r="386" spans="2:20">
      <c r="B386" s="427"/>
      <c r="C386" s="427"/>
      <c r="D386" s="427"/>
      <c r="E386" s="427"/>
      <c r="F386" s="427"/>
      <c r="G386" s="427"/>
      <c r="H386" s="427"/>
      <c r="I386" s="427"/>
      <c r="J386" s="427"/>
      <c r="K386" s="427"/>
      <c r="L386" s="427"/>
      <c r="M386" s="420"/>
      <c r="N386" s="420"/>
      <c r="O386" s="420"/>
      <c r="P386" s="420"/>
      <c r="Q386" s="420"/>
      <c r="R386" s="420"/>
      <c r="S386" s="420"/>
      <c r="T386" s="420"/>
    </row>
    <row r="387" spans="2:20">
      <c r="B387" s="427"/>
      <c r="C387" s="427"/>
      <c r="D387" s="427"/>
      <c r="E387" s="427"/>
      <c r="F387" s="427"/>
      <c r="G387" s="427"/>
      <c r="H387" s="427"/>
      <c r="I387" s="427"/>
      <c r="J387" s="427"/>
      <c r="K387" s="427"/>
      <c r="L387" s="427"/>
      <c r="M387" s="420"/>
      <c r="N387" s="420"/>
      <c r="O387" s="420"/>
      <c r="P387" s="420"/>
      <c r="Q387" s="420"/>
      <c r="R387" s="420"/>
      <c r="S387" s="420"/>
      <c r="T387" s="420"/>
    </row>
    <row r="388" spans="2:20">
      <c r="B388" s="427"/>
      <c r="C388" s="427"/>
      <c r="D388" s="427"/>
      <c r="E388" s="427"/>
      <c r="F388" s="427"/>
      <c r="G388" s="427"/>
      <c r="H388" s="427"/>
      <c r="I388" s="427"/>
      <c r="J388" s="427"/>
      <c r="K388" s="427"/>
      <c r="L388" s="427"/>
      <c r="M388" s="420"/>
      <c r="N388" s="420"/>
      <c r="O388" s="420"/>
      <c r="P388" s="420"/>
      <c r="Q388" s="420"/>
      <c r="R388" s="420"/>
      <c r="S388" s="420"/>
      <c r="T388" s="420"/>
    </row>
    <row r="389" spans="2:20">
      <c r="B389" s="427"/>
      <c r="C389" s="427"/>
      <c r="D389" s="427"/>
      <c r="E389" s="427"/>
      <c r="F389" s="427"/>
      <c r="G389" s="427"/>
      <c r="H389" s="427"/>
      <c r="I389" s="427"/>
      <c r="J389" s="427"/>
      <c r="K389" s="427"/>
      <c r="L389" s="427"/>
      <c r="M389" s="420"/>
      <c r="N389" s="420"/>
      <c r="O389" s="420"/>
      <c r="P389" s="420"/>
      <c r="Q389" s="420"/>
      <c r="R389" s="420"/>
      <c r="S389" s="420"/>
      <c r="T389" s="420"/>
    </row>
    <row r="390" spans="2:20">
      <c r="B390" s="427"/>
      <c r="C390" s="427"/>
      <c r="D390" s="427"/>
      <c r="E390" s="427"/>
      <c r="F390" s="427"/>
      <c r="G390" s="427"/>
      <c r="H390" s="427"/>
      <c r="I390" s="427"/>
      <c r="J390" s="427"/>
      <c r="K390" s="427"/>
      <c r="L390" s="427"/>
      <c r="M390" s="420"/>
      <c r="N390" s="420"/>
      <c r="O390" s="420"/>
      <c r="P390" s="420"/>
      <c r="Q390" s="420"/>
      <c r="R390" s="420"/>
      <c r="S390" s="420"/>
      <c r="T390" s="420"/>
    </row>
    <row r="391" spans="2:20">
      <c r="B391" s="427"/>
      <c r="C391" s="427"/>
      <c r="D391" s="427"/>
      <c r="E391" s="427"/>
      <c r="F391" s="427"/>
      <c r="G391" s="427"/>
      <c r="H391" s="427"/>
      <c r="I391" s="427"/>
      <c r="J391" s="427"/>
      <c r="K391" s="427"/>
      <c r="L391" s="427"/>
      <c r="M391" s="420"/>
      <c r="N391" s="420"/>
      <c r="O391" s="420"/>
      <c r="P391" s="420"/>
      <c r="Q391" s="420"/>
      <c r="R391" s="420"/>
      <c r="S391" s="420"/>
      <c r="T391" s="420"/>
    </row>
    <row r="392" spans="2:20">
      <c r="B392" s="427"/>
      <c r="C392" s="427"/>
      <c r="D392" s="427"/>
      <c r="E392" s="427"/>
      <c r="F392" s="427"/>
      <c r="G392" s="427"/>
      <c r="H392" s="427"/>
      <c r="I392" s="427"/>
      <c r="J392" s="427"/>
      <c r="K392" s="427"/>
      <c r="L392" s="427"/>
      <c r="M392" s="420"/>
      <c r="N392" s="420"/>
      <c r="O392" s="420"/>
      <c r="P392" s="420"/>
      <c r="Q392" s="420"/>
      <c r="R392" s="420"/>
      <c r="S392" s="420"/>
      <c r="T392" s="420"/>
    </row>
    <row r="393" spans="2:20">
      <c r="B393" s="427"/>
      <c r="C393" s="427"/>
      <c r="D393" s="427"/>
      <c r="E393" s="427"/>
      <c r="F393" s="427"/>
      <c r="G393" s="427"/>
      <c r="H393" s="427"/>
      <c r="I393" s="427"/>
      <c r="J393" s="427"/>
      <c r="K393" s="427"/>
      <c r="L393" s="427"/>
      <c r="M393" s="420"/>
      <c r="N393" s="420"/>
      <c r="O393" s="420"/>
      <c r="P393" s="420"/>
      <c r="Q393" s="420"/>
      <c r="R393" s="420"/>
      <c r="S393" s="420"/>
      <c r="T393" s="420"/>
    </row>
    <row r="394" spans="2:20">
      <c r="B394" s="427"/>
      <c r="C394" s="427"/>
      <c r="D394" s="427"/>
      <c r="E394" s="427"/>
      <c r="F394" s="427"/>
      <c r="G394" s="427"/>
      <c r="H394" s="427"/>
      <c r="I394" s="427"/>
      <c r="J394" s="427"/>
      <c r="K394" s="427"/>
      <c r="L394" s="427"/>
      <c r="M394" s="420"/>
      <c r="N394" s="420"/>
      <c r="O394" s="420"/>
      <c r="P394" s="420"/>
      <c r="Q394" s="420"/>
      <c r="R394" s="420"/>
      <c r="S394" s="420"/>
      <c r="T394" s="420"/>
    </row>
    <row r="395" spans="2:20">
      <c r="B395" s="427"/>
      <c r="C395" s="427"/>
      <c r="D395" s="427"/>
      <c r="E395" s="427"/>
      <c r="F395" s="427"/>
      <c r="G395" s="427"/>
      <c r="H395" s="427"/>
      <c r="I395" s="427"/>
      <c r="J395" s="427"/>
      <c r="K395" s="427"/>
      <c r="L395" s="427"/>
      <c r="M395" s="420"/>
      <c r="N395" s="420"/>
      <c r="O395" s="420"/>
      <c r="P395" s="420"/>
      <c r="Q395" s="420"/>
      <c r="R395" s="420"/>
      <c r="S395" s="420"/>
      <c r="T395" s="420"/>
    </row>
    <row r="396" spans="2:20">
      <c r="B396" s="427"/>
      <c r="C396" s="427"/>
      <c r="D396" s="427"/>
      <c r="E396" s="427"/>
      <c r="F396" s="427"/>
      <c r="G396" s="427"/>
      <c r="H396" s="427"/>
      <c r="I396" s="427"/>
      <c r="J396" s="427"/>
      <c r="K396" s="427"/>
      <c r="L396" s="427"/>
      <c r="M396" s="420"/>
      <c r="N396" s="420"/>
      <c r="O396" s="420"/>
      <c r="P396" s="420"/>
      <c r="Q396" s="420"/>
      <c r="R396" s="420"/>
      <c r="S396" s="420"/>
      <c r="T396" s="420"/>
    </row>
    <row r="397" spans="2:20">
      <c r="B397" s="427"/>
      <c r="C397" s="427"/>
      <c r="D397" s="427"/>
      <c r="E397" s="427"/>
      <c r="F397" s="427"/>
      <c r="G397" s="427"/>
      <c r="H397" s="427"/>
      <c r="I397" s="427"/>
      <c r="J397" s="427"/>
      <c r="K397" s="427"/>
      <c r="L397" s="427"/>
      <c r="M397" s="427"/>
      <c r="N397" s="427"/>
      <c r="O397" s="427"/>
      <c r="P397" s="427"/>
      <c r="Q397" s="427"/>
      <c r="R397" s="427"/>
      <c r="S397" s="427"/>
      <c r="T397" s="427"/>
    </row>
    <row r="398" spans="2:20">
      <c r="B398" s="427"/>
      <c r="C398" s="427"/>
      <c r="D398" s="427"/>
      <c r="E398" s="427"/>
      <c r="F398" s="427"/>
      <c r="G398" s="427"/>
      <c r="H398" s="427"/>
      <c r="I398" s="427"/>
      <c r="J398" s="427"/>
      <c r="K398" s="427"/>
      <c r="L398" s="427"/>
      <c r="M398" s="427"/>
      <c r="N398" s="427"/>
      <c r="O398" s="427"/>
      <c r="P398" s="427"/>
      <c r="Q398" s="427"/>
      <c r="R398" s="427"/>
      <c r="S398" s="427"/>
      <c r="T398" s="427"/>
    </row>
    <row r="399" spans="2:20">
      <c r="B399" s="427"/>
      <c r="C399" s="427"/>
      <c r="D399" s="427"/>
      <c r="E399" s="427"/>
      <c r="F399" s="427"/>
      <c r="G399" s="427"/>
      <c r="H399" s="427"/>
      <c r="I399" s="427"/>
      <c r="J399" s="427"/>
      <c r="K399" s="427"/>
      <c r="L399" s="427"/>
      <c r="M399" s="427"/>
      <c r="N399" s="427"/>
      <c r="O399" s="427"/>
      <c r="P399" s="427"/>
      <c r="Q399" s="427"/>
      <c r="R399" s="427"/>
      <c r="S399" s="427"/>
      <c r="T399" s="427"/>
    </row>
    <row r="400" spans="2:20">
      <c r="B400" s="427"/>
      <c r="C400" s="427"/>
      <c r="D400" s="427"/>
      <c r="E400" s="427"/>
      <c r="F400" s="427"/>
      <c r="G400" s="427"/>
      <c r="H400" s="427"/>
      <c r="I400" s="427"/>
      <c r="J400" s="427"/>
      <c r="K400" s="427"/>
      <c r="L400" s="427"/>
      <c r="M400" s="427"/>
      <c r="N400" s="427"/>
      <c r="O400" s="427"/>
      <c r="P400" s="427"/>
      <c r="Q400" s="427"/>
      <c r="R400" s="427"/>
      <c r="S400" s="427"/>
      <c r="T400" s="427"/>
    </row>
    <row r="401" spans="2:20">
      <c r="B401" s="427"/>
      <c r="C401" s="427"/>
      <c r="D401" s="427"/>
      <c r="E401" s="427"/>
      <c r="F401" s="427"/>
      <c r="G401" s="427"/>
      <c r="H401" s="427"/>
      <c r="I401" s="427"/>
      <c r="J401" s="427"/>
      <c r="K401" s="427"/>
      <c r="L401" s="427"/>
      <c r="M401" s="427"/>
      <c r="N401" s="427"/>
      <c r="O401" s="427"/>
      <c r="P401" s="427"/>
      <c r="Q401" s="427"/>
      <c r="R401" s="427"/>
      <c r="S401" s="427"/>
      <c r="T401" s="427"/>
    </row>
    <row r="402" spans="2:20">
      <c r="B402" s="427"/>
      <c r="C402" s="427"/>
      <c r="D402" s="427"/>
      <c r="E402" s="427"/>
      <c r="F402" s="427"/>
      <c r="G402" s="427"/>
      <c r="H402" s="427"/>
      <c r="I402" s="427"/>
      <c r="J402" s="427"/>
      <c r="K402" s="427"/>
      <c r="L402" s="427"/>
      <c r="M402" s="427"/>
      <c r="N402" s="427"/>
      <c r="O402" s="427"/>
      <c r="P402" s="427"/>
      <c r="Q402" s="427"/>
      <c r="R402" s="427"/>
      <c r="S402" s="427"/>
      <c r="T402" s="427"/>
    </row>
    <row r="403" spans="2:20">
      <c r="B403" s="427"/>
      <c r="C403" s="427"/>
      <c r="D403" s="427"/>
      <c r="E403" s="427"/>
      <c r="F403" s="427"/>
      <c r="G403" s="427"/>
      <c r="H403" s="427"/>
      <c r="I403" s="427"/>
      <c r="J403" s="427"/>
      <c r="K403" s="427"/>
      <c r="L403" s="427"/>
      <c r="M403" s="427"/>
      <c r="N403" s="427"/>
      <c r="O403" s="427"/>
      <c r="P403" s="427"/>
      <c r="Q403" s="427"/>
      <c r="R403" s="427"/>
      <c r="S403" s="427"/>
      <c r="T403" s="427"/>
    </row>
    <row r="404" spans="2:20">
      <c r="B404" s="427"/>
      <c r="C404" s="427"/>
      <c r="D404" s="427"/>
      <c r="E404" s="427"/>
      <c r="F404" s="427"/>
      <c r="G404" s="427"/>
      <c r="H404" s="427"/>
      <c r="I404" s="427"/>
      <c r="J404" s="427"/>
      <c r="K404" s="427"/>
      <c r="L404" s="427"/>
      <c r="M404" s="427"/>
      <c r="N404" s="427"/>
      <c r="O404" s="427"/>
      <c r="P404" s="427"/>
      <c r="Q404" s="427"/>
      <c r="R404" s="427"/>
      <c r="S404" s="427"/>
      <c r="T404" s="427"/>
    </row>
    <row r="405" spans="2:20">
      <c r="B405" s="427"/>
      <c r="C405" s="427"/>
      <c r="D405" s="427"/>
      <c r="E405" s="427"/>
      <c r="F405" s="427"/>
      <c r="G405" s="427"/>
      <c r="H405" s="427"/>
      <c r="I405" s="427"/>
      <c r="J405" s="427"/>
      <c r="K405" s="427"/>
      <c r="L405" s="427"/>
      <c r="M405" s="427"/>
      <c r="N405" s="427"/>
      <c r="O405" s="427"/>
      <c r="P405" s="427"/>
      <c r="Q405" s="427"/>
      <c r="R405" s="427"/>
      <c r="S405" s="427"/>
      <c r="T405" s="427"/>
    </row>
    <row r="406" spans="2:20">
      <c r="B406" s="427"/>
      <c r="C406" s="427"/>
      <c r="D406" s="427"/>
      <c r="E406" s="427"/>
      <c r="F406" s="427"/>
      <c r="G406" s="427"/>
      <c r="H406" s="427"/>
      <c r="I406" s="427"/>
      <c r="J406" s="427"/>
      <c r="K406" s="427"/>
      <c r="L406" s="427"/>
      <c r="M406" s="427"/>
      <c r="N406" s="427"/>
      <c r="O406" s="427"/>
      <c r="P406" s="427"/>
      <c r="Q406" s="427"/>
      <c r="R406" s="427"/>
      <c r="S406" s="427"/>
      <c r="T406" s="427"/>
    </row>
    <row r="407" spans="2:20">
      <c r="B407" s="427"/>
      <c r="C407" s="427"/>
      <c r="D407" s="427"/>
      <c r="E407" s="427"/>
      <c r="F407" s="427"/>
      <c r="G407" s="427"/>
      <c r="H407" s="427"/>
      <c r="I407" s="427"/>
      <c r="J407" s="427"/>
      <c r="K407" s="427"/>
      <c r="L407" s="427"/>
      <c r="M407" s="427"/>
      <c r="N407" s="427"/>
      <c r="O407" s="427"/>
      <c r="P407" s="427"/>
      <c r="Q407" s="427"/>
      <c r="R407" s="427"/>
      <c r="S407" s="427"/>
      <c r="T407" s="427"/>
    </row>
    <row r="408" spans="2:20">
      <c r="B408" s="427"/>
      <c r="C408" s="427"/>
      <c r="D408" s="427"/>
      <c r="E408" s="427"/>
      <c r="F408" s="427"/>
      <c r="G408" s="427"/>
      <c r="H408" s="427"/>
      <c r="I408" s="427"/>
      <c r="J408" s="427"/>
      <c r="K408" s="427"/>
      <c r="L408" s="427"/>
      <c r="M408" s="427"/>
      <c r="N408" s="427"/>
      <c r="O408" s="427"/>
      <c r="P408" s="427"/>
      <c r="Q408" s="427"/>
      <c r="R408" s="427"/>
      <c r="S408" s="427"/>
      <c r="T408" s="427"/>
    </row>
    <row r="409" spans="2:20">
      <c r="B409" s="427"/>
      <c r="C409" s="427"/>
      <c r="D409" s="427"/>
      <c r="E409" s="427"/>
      <c r="F409" s="427"/>
      <c r="G409" s="427"/>
      <c r="H409" s="427"/>
      <c r="I409" s="427"/>
      <c r="J409" s="427"/>
      <c r="K409" s="427"/>
      <c r="L409" s="427"/>
      <c r="M409" s="427"/>
      <c r="N409" s="427"/>
      <c r="O409" s="427"/>
      <c r="P409" s="427"/>
      <c r="Q409" s="427"/>
      <c r="R409" s="427"/>
      <c r="S409" s="427"/>
      <c r="T409" s="427"/>
    </row>
    <row r="410" spans="2:20">
      <c r="B410" s="427"/>
      <c r="C410" s="427"/>
      <c r="D410" s="427"/>
      <c r="E410" s="427"/>
      <c r="F410" s="427"/>
      <c r="G410" s="427"/>
      <c r="H410" s="427"/>
      <c r="I410" s="427"/>
      <c r="J410" s="427"/>
      <c r="K410" s="427"/>
      <c r="L410" s="427"/>
      <c r="M410" s="427"/>
      <c r="N410" s="427"/>
      <c r="O410" s="427"/>
      <c r="P410" s="427"/>
      <c r="Q410" s="427"/>
      <c r="R410" s="427"/>
      <c r="S410" s="427"/>
      <c r="T410" s="427"/>
    </row>
    <row r="411" spans="2:20">
      <c r="B411" s="427"/>
      <c r="C411" s="427"/>
      <c r="D411" s="427"/>
      <c r="E411" s="427"/>
      <c r="F411" s="427"/>
      <c r="G411" s="427"/>
      <c r="H411" s="427"/>
      <c r="I411" s="427"/>
      <c r="J411" s="427"/>
      <c r="K411" s="427"/>
      <c r="L411" s="427"/>
      <c r="M411" s="427"/>
      <c r="N411" s="427"/>
      <c r="O411" s="427"/>
      <c r="P411" s="427"/>
      <c r="Q411" s="427"/>
      <c r="R411" s="427"/>
      <c r="S411" s="427"/>
      <c r="T411" s="427"/>
    </row>
    <row r="412" spans="2:20">
      <c r="B412" s="427"/>
      <c r="C412" s="427"/>
      <c r="D412" s="427"/>
      <c r="E412" s="427"/>
      <c r="F412" s="427"/>
      <c r="G412" s="427"/>
      <c r="H412" s="427"/>
      <c r="I412" s="427"/>
      <c r="J412" s="427"/>
      <c r="K412" s="427"/>
      <c r="L412" s="427"/>
      <c r="M412" s="427"/>
      <c r="N412" s="427"/>
      <c r="O412" s="427"/>
      <c r="P412" s="427"/>
      <c r="Q412" s="427"/>
      <c r="R412" s="427"/>
      <c r="S412" s="427"/>
      <c r="T412" s="427"/>
    </row>
    <row r="413" spans="2:20">
      <c r="B413" s="427"/>
      <c r="C413" s="427"/>
      <c r="D413" s="427"/>
      <c r="E413" s="427"/>
      <c r="F413" s="427"/>
      <c r="G413" s="427"/>
      <c r="H413" s="427"/>
      <c r="I413" s="427"/>
      <c r="J413" s="427"/>
      <c r="K413" s="427"/>
      <c r="L413" s="427"/>
      <c r="M413" s="427"/>
      <c r="N413" s="427"/>
      <c r="O413" s="427"/>
      <c r="P413" s="427"/>
      <c r="Q413" s="427"/>
      <c r="R413" s="427"/>
      <c r="S413" s="427"/>
      <c r="T413" s="427"/>
    </row>
    <row r="414" spans="2:20">
      <c r="B414" s="427"/>
      <c r="C414" s="427"/>
      <c r="D414" s="427"/>
      <c r="E414" s="427"/>
      <c r="F414" s="427"/>
      <c r="G414" s="427"/>
      <c r="H414" s="427"/>
      <c r="I414" s="427"/>
      <c r="J414" s="427"/>
      <c r="K414" s="427"/>
      <c r="L414" s="427"/>
      <c r="M414" s="427"/>
      <c r="N414" s="427"/>
      <c r="O414" s="427"/>
      <c r="P414" s="427"/>
      <c r="Q414" s="427"/>
      <c r="R414" s="427"/>
      <c r="S414" s="427"/>
      <c r="T414" s="427"/>
    </row>
    <row r="415" spans="2:20">
      <c r="B415" s="427"/>
      <c r="C415" s="427"/>
      <c r="D415" s="427"/>
      <c r="E415" s="427"/>
      <c r="F415" s="427"/>
      <c r="G415" s="427"/>
      <c r="H415" s="427"/>
      <c r="I415" s="427"/>
      <c r="J415" s="427"/>
      <c r="K415" s="427"/>
      <c r="L415" s="427"/>
      <c r="M415" s="427"/>
      <c r="N415" s="427"/>
      <c r="O415" s="427"/>
      <c r="P415" s="427"/>
      <c r="Q415" s="427"/>
      <c r="R415" s="427"/>
      <c r="S415" s="427"/>
      <c r="T415" s="427"/>
    </row>
    <row r="416" spans="2:20">
      <c r="B416" s="427"/>
      <c r="C416" s="427"/>
      <c r="D416" s="427"/>
      <c r="E416" s="427"/>
      <c r="F416" s="427"/>
      <c r="G416" s="427"/>
      <c r="H416" s="427"/>
      <c r="I416" s="427"/>
      <c r="J416" s="427"/>
      <c r="K416" s="427"/>
      <c r="L416" s="427"/>
      <c r="M416" s="427"/>
      <c r="N416" s="427"/>
      <c r="O416" s="427"/>
      <c r="P416" s="427"/>
      <c r="Q416" s="427"/>
      <c r="R416" s="427"/>
      <c r="S416" s="427"/>
      <c r="T416" s="427"/>
    </row>
    <row r="417" spans="2:20">
      <c r="B417" s="427"/>
      <c r="C417" s="427"/>
      <c r="D417" s="427"/>
      <c r="E417" s="427"/>
      <c r="F417" s="427"/>
      <c r="G417" s="427"/>
      <c r="H417" s="427"/>
      <c r="I417" s="427"/>
      <c r="J417" s="427"/>
      <c r="K417" s="427"/>
      <c r="L417" s="427"/>
      <c r="M417" s="427"/>
      <c r="N417" s="427"/>
      <c r="O417" s="427"/>
      <c r="P417" s="427"/>
      <c r="Q417" s="427"/>
      <c r="R417" s="427"/>
      <c r="S417" s="427"/>
      <c r="T417" s="427"/>
    </row>
    <row r="418" spans="2:20">
      <c r="B418" s="427"/>
      <c r="C418" s="427"/>
      <c r="D418" s="427"/>
      <c r="E418" s="427"/>
      <c r="F418" s="427"/>
      <c r="G418" s="427"/>
      <c r="H418" s="427"/>
      <c r="I418" s="427"/>
      <c r="J418" s="427"/>
      <c r="K418" s="427"/>
      <c r="L418" s="427"/>
      <c r="M418" s="427"/>
      <c r="N418" s="427"/>
      <c r="O418" s="427"/>
      <c r="P418" s="427"/>
      <c r="Q418" s="427"/>
      <c r="R418" s="427"/>
      <c r="S418" s="427"/>
      <c r="T418" s="427"/>
    </row>
    <row r="419" spans="2:20">
      <c r="B419" s="427"/>
      <c r="C419" s="427"/>
      <c r="D419" s="427"/>
      <c r="E419" s="427"/>
      <c r="F419" s="427"/>
      <c r="G419" s="427"/>
      <c r="H419" s="427"/>
      <c r="I419" s="427"/>
      <c r="J419" s="427"/>
      <c r="K419" s="427"/>
      <c r="L419" s="427"/>
      <c r="M419" s="427"/>
      <c r="N419" s="427"/>
      <c r="O419" s="427"/>
      <c r="P419" s="427"/>
      <c r="Q419" s="427"/>
      <c r="R419" s="427"/>
      <c r="S419" s="427"/>
      <c r="T419" s="427"/>
    </row>
    <row r="420" spans="2:20">
      <c r="B420" s="427"/>
      <c r="C420" s="427"/>
      <c r="D420" s="427"/>
      <c r="E420" s="427"/>
      <c r="F420" s="427"/>
      <c r="G420" s="427"/>
      <c r="H420" s="427"/>
      <c r="I420" s="427"/>
      <c r="J420" s="427"/>
      <c r="K420" s="427"/>
      <c r="L420" s="427"/>
      <c r="M420" s="427"/>
      <c r="N420" s="427"/>
      <c r="O420" s="427"/>
      <c r="P420" s="427"/>
      <c r="Q420" s="427"/>
      <c r="R420" s="427"/>
      <c r="S420" s="427"/>
      <c r="T420" s="427"/>
    </row>
    <row r="421" spans="2:20">
      <c r="B421" s="427"/>
      <c r="C421" s="427"/>
      <c r="D421" s="427"/>
      <c r="E421" s="427"/>
      <c r="F421" s="427"/>
      <c r="G421" s="427"/>
      <c r="H421" s="427"/>
      <c r="I421" s="427"/>
      <c r="J421" s="427"/>
      <c r="K421" s="427"/>
      <c r="L421" s="427"/>
      <c r="M421" s="427"/>
      <c r="N421" s="427"/>
      <c r="O421" s="427"/>
      <c r="P421" s="427"/>
      <c r="Q421" s="427"/>
      <c r="R421" s="427"/>
      <c r="S421" s="427"/>
      <c r="T421" s="427"/>
    </row>
    <row r="422" spans="2:20">
      <c r="B422" s="427"/>
      <c r="C422" s="427"/>
      <c r="D422" s="427"/>
      <c r="E422" s="427"/>
      <c r="F422" s="427"/>
      <c r="G422" s="427"/>
      <c r="H422" s="427"/>
      <c r="I422" s="427"/>
      <c r="J422" s="427"/>
      <c r="K422" s="427"/>
      <c r="L422" s="427"/>
      <c r="M422" s="427"/>
      <c r="N422" s="427"/>
      <c r="O422" s="427"/>
      <c r="P422" s="427"/>
      <c r="Q422" s="427"/>
      <c r="R422" s="427"/>
      <c r="S422" s="427"/>
      <c r="T422" s="427"/>
    </row>
    <row r="423" spans="2:20">
      <c r="B423" s="427"/>
      <c r="C423" s="427"/>
      <c r="D423" s="427"/>
      <c r="E423" s="427"/>
      <c r="F423" s="427"/>
      <c r="G423" s="427"/>
      <c r="H423" s="427"/>
      <c r="I423" s="427"/>
      <c r="J423" s="427"/>
      <c r="K423" s="427"/>
      <c r="L423" s="427"/>
      <c r="M423" s="427"/>
      <c r="N423" s="427"/>
      <c r="O423" s="427"/>
      <c r="P423" s="427"/>
      <c r="Q423" s="427"/>
      <c r="R423" s="427"/>
      <c r="S423" s="427"/>
      <c r="T423" s="427"/>
    </row>
    <row r="424" spans="2:20">
      <c r="B424" s="427"/>
      <c r="C424" s="427"/>
      <c r="D424" s="427"/>
      <c r="E424" s="427"/>
      <c r="F424" s="427"/>
      <c r="G424" s="427"/>
      <c r="H424" s="427"/>
      <c r="I424" s="427"/>
      <c r="J424" s="427"/>
      <c r="K424" s="427"/>
      <c r="L424" s="427"/>
      <c r="M424" s="427"/>
      <c r="N424" s="427"/>
      <c r="O424" s="427"/>
      <c r="P424" s="427"/>
      <c r="Q424" s="427"/>
      <c r="R424" s="427"/>
      <c r="S424" s="427"/>
      <c r="T424" s="427"/>
    </row>
    <row r="425" spans="2:20">
      <c r="B425" s="427"/>
      <c r="C425" s="427"/>
      <c r="D425" s="427"/>
      <c r="E425" s="427"/>
      <c r="F425" s="427"/>
      <c r="G425" s="427"/>
      <c r="H425" s="427"/>
      <c r="I425" s="427"/>
      <c r="J425" s="427"/>
      <c r="K425" s="427"/>
      <c r="L425" s="427"/>
      <c r="M425" s="427"/>
      <c r="N425" s="427"/>
      <c r="O425" s="427"/>
      <c r="P425" s="427"/>
      <c r="Q425" s="427"/>
      <c r="R425" s="427"/>
      <c r="S425" s="427"/>
      <c r="T425" s="427"/>
    </row>
    <row r="426" spans="2:20">
      <c r="B426" s="427"/>
      <c r="C426" s="427"/>
      <c r="D426" s="427"/>
      <c r="E426" s="427"/>
      <c r="F426" s="427"/>
      <c r="G426" s="427"/>
      <c r="H426" s="427"/>
      <c r="I426" s="427"/>
      <c r="J426" s="427"/>
      <c r="K426" s="427"/>
      <c r="L426" s="427"/>
      <c r="M426" s="427"/>
      <c r="N426" s="427"/>
      <c r="O426" s="427"/>
      <c r="P426" s="427"/>
      <c r="Q426" s="427"/>
      <c r="R426" s="427"/>
      <c r="S426" s="427"/>
      <c r="T426" s="427"/>
    </row>
    <row r="427" spans="2:20">
      <c r="B427" s="427"/>
      <c r="C427" s="427"/>
      <c r="D427" s="427"/>
      <c r="E427" s="427"/>
      <c r="F427" s="427"/>
      <c r="G427" s="427"/>
      <c r="H427" s="427"/>
      <c r="I427" s="427"/>
      <c r="J427" s="427"/>
      <c r="K427" s="427"/>
      <c r="L427" s="427"/>
      <c r="M427" s="427"/>
      <c r="N427" s="427"/>
      <c r="O427" s="427"/>
      <c r="P427" s="427"/>
      <c r="Q427" s="427"/>
      <c r="R427" s="427"/>
      <c r="S427" s="427"/>
      <c r="T427" s="427"/>
    </row>
    <row r="428" spans="2:20">
      <c r="B428" s="427"/>
      <c r="C428" s="427"/>
      <c r="D428" s="427"/>
      <c r="E428" s="427"/>
      <c r="F428" s="427"/>
      <c r="G428" s="427"/>
      <c r="H428" s="427"/>
      <c r="I428" s="427"/>
      <c r="J428" s="427"/>
      <c r="K428" s="427"/>
      <c r="L428" s="427"/>
      <c r="M428" s="427"/>
      <c r="N428" s="427"/>
      <c r="O428" s="427"/>
      <c r="P428" s="427"/>
      <c r="Q428" s="427"/>
      <c r="R428" s="427"/>
      <c r="S428" s="427"/>
      <c r="T428" s="427"/>
    </row>
    <row r="429" spans="2:20">
      <c r="B429" s="427"/>
      <c r="C429" s="427"/>
      <c r="D429" s="427"/>
      <c r="E429" s="427"/>
      <c r="F429" s="427"/>
      <c r="G429" s="427"/>
      <c r="H429" s="427"/>
      <c r="I429" s="427"/>
      <c r="J429" s="427"/>
      <c r="K429" s="427"/>
      <c r="L429" s="427"/>
      <c r="M429" s="427"/>
      <c r="N429" s="427"/>
      <c r="O429" s="427"/>
      <c r="P429" s="427"/>
      <c r="Q429" s="427"/>
      <c r="R429" s="427"/>
      <c r="S429" s="427"/>
      <c r="T429" s="427"/>
    </row>
    <row r="430" spans="2:20">
      <c r="B430" s="427"/>
      <c r="C430" s="427"/>
      <c r="D430" s="427"/>
      <c r="E430" s="427"/>
      <c r="F430" s="427"/>
      <c r="G430" s="427"/>
      <c r="H430" s="427"/>
      <c r="I430" s="427"/>
      <c r="J430" s="427"/>
      <c r="K430" s="427"/>
      <c r="L430" s="427"/>
      <c r="M430" s="427"/>
      <c r="N430" s="427"/>
      <c r="O430" s="427"/>
      <c r="P430" s="427"/>
      <c r="Q430" s="427"/>
      <c r="R430" s="427"/>
      <c r="S430" s="427"/>
      <c r="T430" s="427"/>
    </row>
    <row r="431" spans="2:20">
      <c r="B431" s="427"/>
      <c r="C431" s="427"/>
      <c r="D431" s="427"/>
      <c r="E431" s="427"/>
      <c r="F431" s="427"/>
      <c r="G431" s="427"/>
      <c r="H431" s="427"/>
      <c r="I431" s="427"/>
      <c r="J431" s="427"/>
      <c r="K431" s="427"/>
      <c r="L431" s="427"/>
      <c r="M431" s="427"/>
      <c r="N431" s="427"/>
      <c r="O431" s="427"/>
      <c r="P431" s="427"/>
      <c r="Q431" s="427"/>
      <c r="R431" s="427"/>
      <c r="S431" s="427"/>
      <c r="T431" s="427"/>
    </row>
    <row r="432" spans="2:20">
      <c r="B432" s="427"/>
      <c r="C432" s="427"/>
      <c r="D432" s="427"/>
      <c r="E432" s="427"/>
      <c r="F432" s="427"/>
      <c r="G432" s="427"/>
      <c r="H432" s="427"/>
      <c r="I432" s="427"/>
      <c r="J432" s="427"/>
      <c r="K432" s="427"/>
      <c r="L432" s="427"/>
      <c r="M432" s="427"/>
      <c r="N432" s="427"/>
      <c r="O432" s="427"/>
      <c r="P432" s="427"/>
      <c r="Q432" s="427"/>
      <c r="R432" s="427"/>
      <c r="S432" s="427"/>
      <c r="T432" s="427"/>
    </row>
    <row r="433" spans="2:20">
      <c r="B433" s="427"/>
      <c r="C433" s="427"/>
      <c r="D433" s="427"/>
      <c r="E433" s="427"/>
      <c r="F433" s="427"/>
      <c r="G433" s="427"/>
      <c r="H433" s="427"/>
      <c r="I433" s="427"/>
      <c r="J433" s="427"/>
      <c r="K433" s="427"/>
      <c r="L433" s="427"/>
      <c r="M433" s="427"/>
      <c r="N433" s="427"/>
      <c r="O433" s="427"/>
      <c r="P433" s="427"/>
      <c r="Q433" s="427"/>
      <c r="R433" s="427"/>
      <c r="S433" s="427"/>
      <c r="T433" s="427"/>
    </row>
    <row r="434" spans="2:20">
      <c r="B434" s="427"/>
      <c r="C434" s="427"/>
      <c r="D434" s="427"/>
      <c r="E434" s="427"/>
      <c r="F434" s="427"/>
      <c r="G434" s="427"/>
      <c r="H434" s="427"/>
      <c r="I434" s="427"/>
      <c r="J434" s="427"/>
      <c r="K434" s="427"/>
      <c r="L434" s="427"/>
      <c r="M434" s="427"/>
      <c r="N434" s="427"/>
      <c r="O434" s="427"/>
      <c r="P434" s="427"/>
      <c r="Q434" s="427"/>
      <c r="R434" s="427"/>
      <c r="S434" s="427"/>
      <c r="T434" s="427"/>
    </row>
    <row r="435" spans="2:20">
      <c r="B435" s="427"/>
      <c r="C435" s="427"/>
      <c r="D435" s="427"/>
      <c r="E435" s="427"/>
      <c r="F435" s="427"/>
      <c r="G435" s="427"/>
      <c r="H435" s="427"/>
      <c r="I435" s="427"/>
      <c r="J435" s="427"/>
      <c r="K435" s="427"/>
      <c r="L435" s="427"/>
      <c r="M435" s="427"/>
      <c r="N435" s="427"/>
      <c r="O435" s="427"/>
      <c r="P435" s="427"/>
      <c r="Q435" s="427"/>
      <c r="R435" s="427"/>
      <c r="S435" s="427"/>
      <c r="T435" s="427"/>
    </row>
    <row r="436" spans="2:20">
      <c r="B436" s="427"/>
      <c r="C436" s="427"/>
      <c r="D436" s="427"/>
      <c r="E436" s="427"/>
      <c r="F436" s="427"/>
      <c r="G436" s="427"/>
      <c r="H436" s="427"/>
      <c r="I436" s="427"/>
      <c r="J436" s="427"/>
      <c r="K436" s="427"/>
      <c r="L436" s="427"/>
      <c r="M436" s="427"/>
      <c r="N436" s="427"/>
      <c r="O436" s="427"/>
      <c r="P436" s="427"/>
      <c r="Q436" s="427"/>
      <c r="R436" s="427"/>
      <c r="S436" s="427"/>
      <c r="T436" s="427"/>
    </row>
    <row r="437" spans="2:20">
      <c r="B437" s="427"/>
      <c r="C437" s="427"/>
      <c r="D437" s="427"/>
      <c r="E437" s="427"/>
      <c r="F437" s="427"/>
      <c r="G437" s="427"/>
      <c r="H437" s="427"/>
      <c r="I437" s="427"/>
      <c r="J437" s="427"/>
      <c r="K437" s="427"/>
      <c r="L437" s="427"/>
      <c r="M437" s="427"/>
      <c r="N437" s="427"/>
      <c r="O437" s="427"/>
      <c r="P437" s="427"/>
      <c r="Q437" s="427"/>
      <c r="R437" s="427"/>
      <c r="S437" s="427"/>
      <c r="T437" s="427"/>
    </row>
    <row r="438" spans="2:20">
      <c r="B438" s="427"/>
      <c r="C438" s="427"/>
      <c r="D438" s="427"/>
      <c r="E438" s="427"/>
      <c r="F438" s="427"/>
      <c r="G438" s="427"/>
      <c r="H438" s="427"/>
      <c r="I438" s="427"/>
      <c r="J438" s="427"/>
      <c r="K438" s="427"/>
      <c r="L438" s="427"/>
      <c r="M438" s="427"/>
      <c r="N438" s="427"/>
      <c r="O438" s="427"/>
      <c r="P438" s="427"/>
      <c r="Q438" s="427"/>
      <c r="R438" s="427"/>
      <c r="S438" s="427"/>
      <c r="T438" s="427"/>
    </row>
    <row r="439" spans="2:20">
      <c r="B439" s="427"/>
      <c r="C439" s="427"/>
      <c r="D439" s="427"/>
      <c r="E439" s="427"/>
      <c r="F439" s="427"/>
      <c r="G439" s="427"/>
      <c r="H439" s="427"/>
      <c r="I439" s="427"/>
      <c r="J439" s="427"/>
      <c r="K439" s="427"/>
      <c r="L439" s="427"/>
      <c r="M439" s="427"/>
      <c r="N439" s="427"/>
      <c r="O439" s="427"/>
      <c r="P439" s="427"/>
      <c r="Q439" s="427"/>
      <c r="R439" s="427"/>
      <c r="S439" s="427"/>
      <c r="T439" s="427"/>
    </row>
    <row r="440" spans="2:20">
      <c r="B440" s="427"/>
      <c r="C440" s="427"/>
      <c r="D440" s="427"/>
      <c r="E440" s="427"/>
      <c r="F440" s="427"/>
      <c r="G440" s="427"/>
      <c r="H440" s="427"/>
      <c r="I440" s="427"/>
      <c r="J440" s="427"/>
      <c r="K440" s="427"/>
      <c r="L440" s="427"/>
      <c r="M440" s="427"/>
      <c r="N440" s="427"/>
      <c r="O440" s="427"/>
      <c r="P440" s="427"/>
      <c r="Q440" s="427"/>
      <c r="R440" s="427"/>
      <c r="S440" s="427"/>
      <c r="T440" s="427"/>
    </row>
    <row r="441" spans="2:20">
      <c r="B441" s="427"/>
      <c r="C441" s="427"/>
      <c r="D441" s="427"/>
      <c r="E441" s="427"/>
      <c r="F441" s="427"/>
      <c r="G441" s="427"/>
      <c r="H441" s="427"/>
      <c r="I441" s="427"/>
      <c r="J441" s="427"/>
      <c r="K441" s="427"/>
      <c r="L441" s="427"/>
      <c r="M441" s="427"/>
      <c r="N441" s="427"/>
      <c r="O441" s="427"/>
      <c r="P441" s="427"/>
      <c r="Q441" s="427"/>
      <c r="R441" s="427"/>
      <c r="S441" s="427"/>
      <c r="T441" s="427"/>
    </row>
    <row r="442" spans="2:20">
      <c r="B442" s="427"/>
      <c r="C442" s="427"/>
      <c r="D442" s="427"/>
      <c r="E442" s="427"/>
      <c r="F442" s="427"/>
      <c r="G442" s="427"/>
      <c r="H442" s="427"/>
      <c r="I442" s="427"/>
      <c r="J442" s="427"/>
      <c r="K442" s="427"/>
      <c r="L442" s="427"/>
      <c r="M442" s="427"/>
      <c r="N442" s="427"/>
      <c r="O442" s="427"/>
      <c r="P442" s="427"/>
      <c r="Q442" s="427"/>
      <c r="R442" s="427"/>
      <c r="S442" s="427"/>
      <c r="T442" s="427"/>
    </row>
    <row r="443" spans="2:20">
      <c r="B443" s="427"/>
      <c r="C443" s="427"/>
      <c r="D443" s="427"/>
      <c r="E443" s="427"/>
      <c r="F443" s="427"/>
      <c r="G443" s="427"/>
      <c r="H443" s="427"/>
      <c r="I443" s="427"/>
      <c r="J443" s="427"/>
      <c r="K443" s="427"/>
      <c r="L443" s="427"/>
      <c r="M443" s="427"/>
      <c r="N443" s="427"/>
      <c r="O443" s="427"/>
      <c r="P443" s="427"/>
      <c r="Q443" s="427"/>
      <c r="R443" s="427"/>
      <c r="S443" s="427"/>
      <c r="T443" s="427"/>
    </row>
    <row r="444" spans="2:20">
      <c r="B444" s="427"/>
      <c r="C444" s="427"/>
      <c r="D444" s="427"/>
      <c r="E444" s="427"/>
      <c r="F444" s="427"/>
      <c r="G444" s="427"/>
      <c r="H444" s="427"/>
      <c r="I444" s="427"/>
      <c r="J444" s="427"/>
      <c r="K444" s="427"/>
      <c r="L444" s="427"/>
      <c r="M444" s="427"/>
      <c r="N444" s="427"/>
      <c r="O444" s="427"/>
      <c r="P444" s="427"/>
      <c r="Q444" s="427"/>
      <c r="R444" s="427"/>
      <c r="S444" s="427"/>
      <c r="T444" s="427"/>
    </row>
    <row r="445" spans="2:20">
      <c r="B445" s="427"/>
      <c r="C445" s="427"/>
      <c r="D445" s="427"/>
      <c r="E445" s="427"/>
      <c r="F445" s="427"/>
      <c r="G445" s="427"/>
      <c r="H445" s="427"/>
      <c r="I445" s="427"/>
      <c r="J445" s="427"/>
      <c r="K445" s="427"/>
      <c r="L445" s="427"/>
      <c r="M445" s="427"/>
      <c r="N445" s="427"/>
      <c r="O445" s="427"/>
      <c r="P445" s="427"/>
      <c r="Q445" s="427"/>
      <c r="R445" s="427"/>
      <c r="S445" s="427"/>
      <c r="T445" s="427"/>
    </row>
    <row r="446" spans="2:20">
      <c r="B446" s="427"/>
      <c r="C446" s="427"/>
      <c r="D446" s="427"/>
      <c r="E446" s="427"/>
      <c r="F446" s="427"/>
      <c r="G446" s="427"/>
      <c r="H446" s="427"/>
      <c r="I446" s="427"/>
      <c r="J446" s="427"/>
      <c r="K446" s="427"/>
      <c r="L446" s="427"/>
      <c r="M446" s="427"/>
      <c r="N446" s="427"/>
      <c r="O446" s="427"/>
      <c r="P446" s="427"/>
      <c r="Q446" s="427"/>
      <c r="R446" s="427"/>
      <c r="S446" s="427"/>
      <c r="T446" s="427"/>
    </row>
    <row r="447" spans="2:20">
      <c r="B447" s="427"/>
      <c r="C447" s="427"/>
      <c r="D447" s="427"/>
      <c r="E447" s="427"/>
      <c r="F447" s="427"/>
      <c r="G447" s="427"/>
      <c r="H447" s="427"/>
      <c r="I447" s="427"/>
      <c r="J447" s="427"/>
      <c r="K447" s="427"/>
      <c r="L447" s="427"/>
      <c r="M447" s="427"/>
      <c r="N447" s="427"/>
      <c r="O447" s="427"/>
      <c r="P447" s="427"/>
      <c r="Q447" s="427"/>
      <c r="R447" s="427"/>
      <c r="S447" s="427"/>
      <c r="T447" s="427"/>
    </row>
    <row r="448" spans="2:20">
      <c r="B448" s="427"/>
      <c r="C448" s="427"/>
      <c r="D448" s="427"/>
      <c r="E448" s="427"/>
      <c r="F448" s="427"/>
      <c r="G448" s="427"/>
      <c r="H448" s="427"/>
      <c r="I448" s="427"/>
      <c r="J448" s="427"/>
      <c r="K448" s="427"/>
      <c r="L448" s="427"/>
      <c r="M448" s="427"/>
      <c r="N448" s="427"/>
      <c r="O448" s="427"/>
      <c r="P448" s="427"/>
      <c r="Q448" s="427"/>
      <c r="R448" s="427"/>
      <c r="S448" s="427"/>
      <c r="T448" s="427"/>
    </row>
    <row r="449" spans="2:20">
      <c r="B449" s="427"/>
      <c r="C449" s="427"/>
      <c r="D449" s="427"/>
      <c r="E449" s="427"/>
      <c r="F449" s="427"/>
      <c r="G449" s="427"/>
      <c r="H449" s="427"/>
      <c r="I449" s="427"/>
      <c r="J449" s="427"/>
      <c r="K449" s="427"/>
      <c r="L449" s="427"/>
      <c r="M449" s="427"/>
      <c r="N449" s="427"/>
      <c r="O449" s="427"/>
      <c r="P449" s="427"/>
      <c r="Q449" s="427"/>
      <c r="R449" s="427"/>
      <c r="S449" s="427"/>
      <c r="T449" s="427"/>
    </row>
    <row r="450" spans="2:20">
      <c r="B450" s="427"/>
      <c r="C450" s="427"/>
      <c r="D450" s="427"/>
      <c r="E450" s="427"/>
      <c r="F450" s="427"/>
      <c r="G450" s="427"/>
      <c r="H450" s="427"/>
      <c r="I450" s="427"/>
      <c r="J450" s="427"/>
      <c r="K450" s="427"/>
      <c r="L450" s="427"/>
      <c r="M450" s="427"/>
      <c r="N450" s="427"/>
      <c r="O450" s="427"/>
      <c r="P450" s="427"/>
      <c r="Q450" s="427"/>
      <c r="R450" s="427"/>
      <c r="S450" s="427"/>
      <c r="T450" s="427"/>
    </row>
    <row r="451" spans="2:20">
      <c r="B451" s="427"/>
      <c r="C451" s="427"/>
      <c r="D451" s="427"/>
      <c r="E451" s="427"/>
      <c r="F451" s="427"/>
      <c r="G451" s="427"/>
      <c r="H451" s="427"/>
      <c r="I451" s="427"/>
      <c r="J451" s="427"/>
      <c r="K451" s="427"/>
      <c r="L451" s="427"/>
      <c r="M451" s="427"/>
      <c r="N451" s="427"/>
      <c r="O451" s="427"/>
      <c r="P451" s="427"/>
      <c r="Q451" s="427"/>
      <c r="R451" s="427"/>
      <c r="S451" s="427"/>
      <c r="T451" s="427"/>
    </row>
    <row r="452" spans="2:20">
      <c r="B452" s="427"/>
      <c r="C452" s="427"/>
      <c r="D452" s="427"/>
      <c r="E452" s="427"/>
      <c r="F452" s="427"/>
      <c r="G452" s="427"/>
      <c r="H452" s="427"/>
      <c r="I452" s="427"/>
      <c r="J452" s="427"/>
      <c r="K452" s="427"/>
      <c r="L452" s="427"/>
      <c r="M452" s="427"/>
      <c r="N452" s="427"/>
      <c r="O452" s="427"/>
      <c r="P452" s="427"/>
      <c r="Q452" s="427"/>
      <c r="R452" s="427"/>
      <c r="S452" s="427"/>
      <c r="T452" s="427"/>
    </row>
    <row r="453" spans="2:20">
      <c r="B453" s="427"/>
      <c r="C453" s="427"/>
      <c r="D453" s="427"/>
      <c r="E453" s="427"/>
      <c r="F453" s="427"/>
      <c r="G453" s="427"/>
      <c r="H453" s="427"/>
      <c r="I453" s="427"/>
      <c r="J453" s="427"/>
      <c r="K453" s="427"/>
      <c r="L453" s="427"/>
      <c r="M453" s="427"/>
      <c r="N453" s="427"/>
      <c r="O453" s="427"/>
      <c r="P453" s="427"/>
      <c r="Q453" s="427"/>
      <c r="R453" s="427"/>
      <c r="S453" s="427"/>
      <c r="T453" s="427"/>
    </row>
    <row r="454" spans="2:20">
      <c r="B454" s="427"/>
      <c r="C454" s="427"/>
      <c r="D454" s="427"/>
      <c r="E454" s="427"/>
      <c r="F454" s="427"/>
      <c r="G454" s="427"/>
      <c r="H454" s="427"/>
      <c r="I454" s="427"/>
      <c r="J454" s="427"/>
      <c r="K454" s="427"/>
      <c r="L454" s="427"/>
      <c r="M454" s="427"/>
      <c r="N454" s="427"/>
      <c r="O454" s="427"/>
      <c r="P454" s="427"/>
      <c r="Q454" s="427"/>
      <c r="R454" s="427"/>
      <c r="S454" s="427"/>
      <c r="T454" s="427"/>
    </row>
    <row r="455" spans="2:20">
      <c r="B455" s="427"/>
      <c r="C455" s="427"/>
      <c r="D455" s="427"/>
      <c r="E455" s="427"/>
      <c r="F455" s="427"/>
      <c r="G455" s="427"/>
      <c r="H455" s="427"/>
      <c r="I455" s="427"/>
      <c r="J455" s="427"/>
      <c r="K455" s="427"/>
      <c r="L455" s="427"/>
      <c r="M455" s="427"/>
      <c r="N455" s="427"/>
      <c r="O455" s="427"/>
      <c r="P455" s="427"/>
      <c r="Q455" s="427"/>
      <c r="R455" s="427"/>
      <c r="S455" s="427"/>
      <c r="T455" s="427"/>
    </row>
    <row r="456" spans="2:20">
      <c r="B456" s="427"/>
      <c r="C456" s="427"/>
      <c r="D456" s="427"/>
      <c r="E456" s="427"/>
      <c r="F456" s="427"/>
      <c r="G456" s="427"/>
      <c r="H456" s="427"/>
      <c r="I456" s="427"/>
      <c r="J456" s="427"/>
      <c r="K456" s="427"/>
      <c r="L456" s="427"/>
      <c r="M456" s="427"/>
      <c r="N456" s="427"/>
      <c r="O456" s="427"/>
      <c r="P456" s="427"/>
      <c r="Q456" s="427"/>
      <c r="R456" s="427"/>
      <c r="S456" s="427"/>
      <c r="T456" s="427"/>
    </row>
    <row r="457" spans="2:20">
      <c r="B457" s="427"/>
      <c r="C457" s="427"/>
      <c r="D457" s="427"/>
      <c r="E457" s="427"/>
      <c r="F457" s="427"/>
      <c r="G457" s="427"/>
      <c r="H457" s="427"/>
      <c r="I457" s="427"/>
      <c r="J457" s="427"/>
      <c r="K457" s="427"/>
      <c r="L457" s="427"/>
      <c r="M457" s="427"/>
      <c r="N457" s="427"/>
      <c r="O457" s="427"/>
      <c r="P457" s="427"/>
      <c r="Q457" s="427"/>
      <c r="R457" s="427"/>
      <c r="S457" s="427"/>
      <c r="T457" s="427"/>
    </row>
    <row r="458" spans="2:20">
      <c r="B458" s="427"/>
      <c r="C458" s="427"/>
      <c r="D458" s="427"/>
      <c r="E458" s="427"/>
      <c r="F458" s="427"/>
      <c r="G458" s="427"/>
      <c r="H458" s="427"/>
      <c r="I458" s="427"/>
      <c r="J458" s="427"/>
      <c r="K458" s="427"/>
      <c r="L458" s="427"/>
      <c r="M458" s="427"/>
      <c r="N458" s="427"/>
      <c r="O458" s="427"/>
      <c r="P458" s="427"/>
      <c r="Q458" s="427"/>
      <c r="R458" s="427"/>
      <c r="S458" s="427"/>
      <c r="T458" s="427"/>
    </row>
    <row r="459" spans="2:20">
      <c r="B459" s="427"/>
      <c r="C459" s="427"/>
      <c r="D459" s="427"/>
      <c r="E459" s="427"/>
      <c r="F459" s="427"/>
      <c r="G459" s="427"/>
      <c r="H459" s="427"/>
      <c r="I459" s="427"/>
      <c r="J459" s="427"/>
      <c r="K459" s="427"/>
      <c r="L459" s="427"/>
      <c r="M459" s="427"/>
      <c r="N459" s="427"/>
      <c r="O459" s="427"/>
      <c r="P459" s="427"/>
      <c r="Q459" s="427"/>
      <c r="R459" s="427"/>
      <c r="S459" s="427"/>
      <c r="T459" s="427"/>
    </row>
    <row r="460" spans="2:20">
      <c r="B460" s="427"/>
      <c r="C460" s="427"/>
      <c r="D460" s="427"/>
      <c r="E460" s="427"/>
      <c r="F460" s="427"/>
      <c r="G460" s="427"/>
      <c r="H460" s="427"/>
      <c r="I460" s="427"/>
      <c r="J460" s="427"/>
      <c r="K460" s="427"/>
      <c r="L460" s="427"/>
      <c r="M460" s="427"/>
      <c r="N460" s="427"/>
      <c r="O460" s="427"/>
      <c r="P460" s="427"/>
      <c r="Q460" s="427"/>
      <c r="R460" s="427"/>
      <c r="S460" s="427"/>
      <c r="T460" s="427"/>
    </row>
    <row r="461" spans="2:20">
      <c r="B461" s="427"/>
      <c r="C461" s="427"/>
      <c r="D461" s="427"/>
      <c r="E461" s="427"/>
      <c r="F461" s="427"/>
      <c r="G461" s="427"/>
      <c r="H461" s="427"/>
      <c r="I461" s="427"/>
      <c r="J461" s="427"/>
      <c r="K461" s="427"/>
      <c r="L461" s="427"/>
      <c r="M461" s="427"/>
      <c r="N461" s="427"/>
      <c r="O461" s="427"/>
      <c r="P461" s="427"/>
      <c r="Q461" s="427"/>
      <c r="R461" s="427"/>
      <c r="S461" s="427"/>
      <c r="T461" s="427"/>
    </row>
    <row r="462" spans="2:20">
      <c r="B462" s="427"/>
      <c r="C462" s="427"/>
      <c r="D462" s="427"/>
      <c r="E462" s="427"/>
      <c r="F462" s="427"/>
      <c r="G462" s="427"/>
      <c r="H462" s="427"/>
      <c r="I462" s="427"/>
      <c r="J462" s="427"/>
      <c r="K462" s="427"/>
      <c r="L462" s="427"/>
      <c r="M462" s="427"/>
      <c r="N462" s="427"/>
      <c r="O462" s="427"/>
      <c r="P462" s="427"/>
      <c r="Q462" s="427"/>
      <c r="R462" s="427"/>
      <c r="S462" s="427"/>
      <c r="T462" s="427"/>
    </row>
    <row r="463" spans="2:20">
      <c r="B463" s="427"/>
      <c r="C463" s="427"/>
      <c r="D463" s="427"/>
      <c r="E463" s="427"/>
      <c r="F463" s="427"/>
      <c r="G463" s="427"/>
      <c r="H463" s="427"/>
      <c r="I463" s="427"/>
      <c r="J463" s="427"/>
      <c r="K463" s="427"/>
      <c r="L463" s="427"/>
      <c r="M463" s="427"/>
      <c r="N463" s="427"/>
      <c r="O463" s="427"/>
      <c r="P463" s="427"/>
      <c r="Q463" s="427"/>
      <c r="R463" s="427"/>
      <c r="S463" s="427"/>
      <c r="T463" s="427"/>
    </row>
    <row r="464" spans="2:20">
      <c r="B464" s="427"/>
      <c r="C464" s="427"/>
      <c r="D464" s="427"/>
      <c r="E464" s="427"/>
      <c r="F464" s="427"/>
      <c r="G464" s="427"/>
      <c r="H464" s="427"/>
      <c r="I464" s="427"/>
      <c r="J464" s="427"/>
      <c r="K464" s="427"/>
      <c r="L464" s="427"/>
      <c r="M464" s="427"/>
      <c r="N464" s="427"/>
      <c r="O464" s="427"/>
      <c r="P464" s="427"/>
      <c r="Q464" s="427"/>
      <c r="R464" s="427"/>
      <c r="S464" s="427"/>
      <c r="T464" s="427"/>
    </row>
    <row r="465" spans="2:20">
      <c r="B465" s="427"/>
      <c r="C465" s="427"/>
      <c r="D465" s="427"/>
      <c r="E465" s="427"/>
      <c r="F465" s="427"/>
      <c r="G465" s="427"/>
      <c r="H465" s="427"/>
      <c r="I465" s="427"/>
      <c r="J465" s="427"/>
      <c r="K465" s="427"/>
      <c r="L465" s="427"/>
      <c r="M465" s="427"/>
      <c r="N465" s="427"/>
      <c r="O465" s="427"/>
      <c r="P465" s="427"/>
      <c r="Q465" s="427"/>
      <c r="R465" s="427"/>
      <c r="S465" s="427"/>
      <c r="T465" s="427"/>
    </row>
    <row r="466" spans="2:20">
      <c r="B466" s="427"/>
      <c r="C466" s="427"/>
      <c r="D466" s="427"/>
      <c r="E466" s="427"/>
      <c r="F466" s="427"/>
      <c r="G466" s="427"/>
      <c r="H466" s="427"/>
      <c r="I466" s="427"/>
      <c r="J466" s="427"/>
      <c r="K466" s="427"/>
      <c r="L466" s="427"/>
      <c r="M466" s="427"/>
      <c r="N466" s="427"/>
      <c r="O466" s="427"/>
      <c r="P466" s="427"/>
      <c r="Q466" s="427"/>
      <c r="R466" s="427"/>
      <c r="S466" s="427"/>
      <c r="T466" s="427"/>
    </row>
    <row r="467" spans="2:20">
      <c r="B467" s="427"/>
      <c r="C467" s="427"/>
      <c r="D467" s="427"/>
      <c r="E467" s="427"/>
      <c r="F467" s="427"/>
      <c r="G467" s="427"/>
      <c r="H467" s="427"/>
      <c r="I467" s="427"/>
      <c r="J467" s="427"/>
      <c r="K467" s="427"/>
      <c r="L467" s="427"/>
      <c r="M467" s="427"/>
      <c r="N467" s="427"/>
      <c r="O467" s="427"/>
      <c r="P467" s="427"/>
      <c r="Q467" s="427"/>
      <c r="R467" s="427"/>
      <c r="S467" s="427"/>
      <c r="T467" s="427"/>
    </row>
    <row r="468" spans="2:20">
      <c r="B468" s="427"/>
      <c r="C468" s="427"/>
      <c r="D468" s="427"/>
      <c r="E468" s="427"/>
      <c r="F468" s="427"/>
      <c r="G468" s="427"/>
      <c r="H468" s="427"/>
      <c r="I468" s="427"/>
      <c r="J468" s="427"/>
      <c r="K468" s="427"/>
      <c r="L468" s="427"/>
      <c r="M468" s="427"/>
      <c r="N468" s="427"/>
      <c r="O468" s="427"/>
      <c r="P468" s="427"/>
      <c r="Q468" s="427"/>
      <c r="R468" s="427"/>
      <c r="S468" s="427"/>
      <c r="T468" s="427"/>
    </row>
    <row r="469" spans="2:20">
      <c r="B469" s="427"/>
      <c r="C469" s="427"/>
      <c r="D469" s="427"/>
      <c r="E469" s="427"/>
      <c r="F469" s="427"/>
      <c r="G469" s="427"/>
      <c r="H469" s="427"/>
      <c r="I469" s="427"/>
      <c r="J469" s="427"/>
      <c r="K469" s="427"/>
      <c r="L469" s="427"/>
      <c r="M469" s="427"/>
      <c r="N469" s="427"/>
      <c r="O469" s="427"/>
      <c r="P469" s="427"/>
      <c r="Q469" s="427"/>
      <c r="R469" s="427"/>
      <c r="S469" s="427"/>
      <c r="T469" s="427"/>
    </row>
    <row r="470" spans="2:20">
      <c r="B470" s="427"/>
      <c r="C470" s="427"/>
      <c r="D470" s="427"/>
      <c r="E470" s="427"/>
      <c r="F470" s="427"/>
      <c r="G470" s="427"/>
      <c r="H470" s="427"/>
      <c r="I470" s="427"/>
      <c r="J470" s="427"/>
      <c r="K470" s="427"/>
      <c r="L470" s="427"/>
      <c r="M470" s="427"/>
      <c r="N470" s="427"/>
      <c r="O470" s="427"/>
      <c r="P470" s="427"/>
      <c r="Q470" s="427"/>
      <c r="R470" s="427"/>
      <c r="S470" s="427"/>
      <c r="T470" s="427"/>
    </row>
    <row r="471" spans="2:20">
      <c r="B471" s="427"/>
      <c r="C471" s="427"/>
      <c r="D471" s="427"/>
      <c r="E471" s="427"/>
      <c r="F471" s="427"/>
      <c r="G471" s="427"/>
      <c r="H471" s="427"/>
      <c r="I471" s="427"/>
      <c r="J471" s="427"/>
      <c r="K471" s="427"/>
      <c r="L471" s="427"/>
      <c r="M471" s="427"/>
      <c r="N471" s="427"/>
      <c r="O471" s="427"/>
      <c r="P471" s="427"/>
      <c r="Q471" s="427"/>
      <c r="R471" s="427"/>
      <c r="S471" s="427"/>
      <c r="T471" s="427"/>
    </row>
    <row r="472" spans="2:20">
      <c r="B472" s="427"/>
      <c r="C472" s="427"/>
      <c r="D472" s="427"/>
      <c r="E472" s="427"/>
      <c r="F472" s="427"/>
      <c r="G472" s="427"/>
      <c r="H472" s="427"/>
      <c r="I472" s="427"/>
      <c r="J472" s="427"/>
      <c r="K472" s="427"/>
      <c r="L472" s="427"/>
      <c r="M472" s="427"/>
      <c r="N472" s="427"/>
      <c r="O472" s="427"/>
      <c r="P472" s="427"/>
      <c r="Q472" s="427"/>
      <c r="R472" s="427"/>
      <c r="S472" s="427"/>
      <c r="T472" s="427"/>
    </row>
    <row r="473" spans="2:20">
      <c r="B473" s="427"/>
      <c r="C473" s="427"/>
      <c r="D473" s="427"/>
      <c r="E473" s="427"/>
      <c r="F473" s="427"/>
      <c r="G473" s="427"/>
      <c r="H473" s="427"/>
      <c r="I473" s="427"/>
      <c r="J473" s="427"/>
      <c r="K473" s="427"/>
      <c r="L473" s="427"/>
      <c r="M473" s="427"/>
      <c r="N473" s="427"/>
      <c r="O473" s="427"/>
      <c r="P473" s="427"/>
      <c r="Q473" s="427"/>
      <c r="R473" s="427"/>
      <c r="S473" s="427"/>
      <c r="T473" s="427"/>
    </row>
    <row r="474" spans="2:20">
      <c r="B474" s="427"/>
      <c r="C474" s="427"/>
      <c r="D474" s="427"/>
      <c r="E474" s="427"/>
      <c r="F474" s="427"/>
      <c r="G474" s="427"/>
      <c r="H474" s="427"/>
      <c r="I474" s="427"/>
      <c r="J474" s="427"/>
      <c r="K474" s="427"/>
      <c r="L474" s="427"/>
      <c r="M474" s="427"/>
      <c r="N474" s="427"/>
      <c r="O474" s="427"/>
      <c r="P474" s="427"/>
      <c r="Q474" s="427"/>
      <c r="R474" s="427"/>
      <c r="S474" s="427"/>
      <c r="T474" s="427"/>
    </row>
    <row r="475" spans="2:20">
      <c r="B475" s="427"/>
      <c r="C475" s="427"/>
      <c r="D475" s="427"/>
      <c r="E475" s="427"/>
      <c r="F475" s="427"/>
      <c r="G475" s="427"/>
      <c r="H475" s="427"/>
      <c r="I475" s="427"/>
      <c r="J475" s="427"/>
      <c r="K475" s="427"/>
      <c r="L475" s="427"/>
      <c r="M475" s="427"/>
      <c r="N475" s="427"/>
      <c r="O475" s="427"/>
      <c r="P475" s="427"/>
      <c r="Q475" s="427"/>
      <c r="R475" s="427"/>
      <c r="S475" s="427"/>
      <c r="T475" s="427"/>
    </row>
    <row r="476" spans="2:20">
      <c r="B476" s="427"/>
      <c r="C476" s="427"/>
      <c r="D476" s="427"/>
      <c r="E476" s="427"/>
      <c r="F476" s="427"/>
      <c r="G476" s="427"/>
      <c r="H476" s="427"/>
      <c r="I476" s="427"/>
      <c r="J476" s="427"/>
      <c r="K476" s="427"/>
      <c r="L476" s="427"/>
      <c r="M476" s="427"/>
      <c r="N476" s="427"/>
      <c r="O476" s="427"/>
      <c r="P476" s="427"/>
      <c r="Q476" s="427"/>
      <c r="R476" s="427"/>
      <c r="S476" s="427"/>
      <c r="T476" s="427"/>
    </row>
    <row r="477" spans="2:20">
      <c r="B477" s="427"/>
      <c r="C477" s="427"/>
      <c r="D477" s="427"/>
      <c r="E477" s="427"/>
      <c r="F477" s="427"/>
      <c r="G477" s="427"/>
      <c r="H477" s="427"/>
      <c r="I477" s="427"/>
      <c r="J477" s="427"/>
      <c r="K477" s="427"/>
      <c r="L477" s="427"/>
      <c r="M477" s="427"/>
      <c r="N477" s="427"/>
      <c r="O477" s="427"/>
      <c r="P477" s="427"/>
      <c r="Q477" s="427"/>
      <c r="R477" s="427"/>
      <c r="S477" s="427"/>
      <c r="T477" s="427"/>
    </row>
    <row r="478" spans="2:20">
      <c r="B478" s="427"/>
      <c r="C478" s="427"/>
      <c r="D478" s="427"/>
      <c r="E478" s="427"/>
      <c r="F478" s="427"/>
      <c r="G478" s="427"/>
      <c r="H478" s="427"/>
      <c r="I478" s="427"/>
      <c r="J478" s="427"/>
      <c r="K478" s="427"/>
      <c r="L478" s="427"/>
      <c r="M478" s="427"/>
      <c r="N478" s="427"/>
      <c r="O478" s="427"/>
      <c r="P478" s="427"/>
      <c r="Q478" s="427"/>
      <c r="R478" s="427"/>
      <c r="S478" s="427"/>
      <c r="T478" s="427"/>
    </row>
    <row r="479" spans="2:20">
      <c r="B479" s="427"/>
      <c r="C479" s="427"/>
      <c r="D479" s="427"/>
      <c r="E479" s="427"/>
      <c r="F479" s="427"/>
      <c r="G479" s="427"/>
      <c r="H479" s="427"/>
      <c r="I479" s="427"/>
      <c r="J479" s="427"/>
      <c r="K479" s="427"/>
      <c r="L479" s="427"/>
      <c r="M479" s="427"/>
      <c r="N479" s="427"/>
      <c r="O479" s="427"/>
      <c r="P479" s="427"/>
      <c r="Q479" s="427"/>
      <c r="R479" s="427"/>
      <c r="S479" s="427"/>
      <c r="T479" s="427"/>
    </row>
    <row r="480" spans="2:20">
      <c r="B480" s="427"/>
      <c r="C480" s="427"/>
      <c r="D480" s="427"/>
      <c r="E480" s="427"/>
      <c r="F480" s="427"/>
      <c r="G480" s="427"/>
      <c r="H480" s="427"/>
      <c r="I480" s="427"/>
      <c r="J480" s="427"/>
      <c r="K480" s="427"/>
      <c r="L480" s="427"/>
      <c r="M480" s="427"/>
      <c r="N480" s="427"/>
      <c r="O480" s="427"/>
      <c r="P480" s="427"/>
      <c r="Q480" s="427"/>
      <c r="R480" s="427"/>
      <c r="S480" s="427"/>
      <c r="T480" s="427"/>
    </row>
    <row r="481" spans="2:20">
      <c r="B481" s="427"/>
      <c r="C481" s="427"/>
      <c r="D481" s="427"/>
      <c r="E481" s="427"/>
      <c r="F481" s="427"/>
      <c r="G481" s="427"/>
      <c r="H481" s="427"/>
      <c r="I481" s="427"/>
      <c r="J481" s="427"/>
      <c r="K481" s="427"/>
      <c r="L481" s="427"/>
      <c r="M481" s="427"/>
      <c r="N481" s="427"/>
      <c r="O481" s="427"/>
      <c r="P481" s="427"/>
      <c r="Q481" s="427"/>
      <c r="R481" s="427"/>
      <c r="S481" s="427"/>
      <c r="T481" s="427"/>
    </row>
    <row r="482" spans="2:20">
      <c r="B482" s="427"/>
      <c r="C482" s="427"/>
      <c r="D482" s="427"/>
      <c r="E482" s="427"/>
      <c r="F482" s="427"/>
      <c r="G482" s="427"/>
      <c r="H482" s="427"/>
      <c r="I482" s="427"/>
      <c r="J482" s="427"/>
      <c r="K482" s="427"/>
      <c r="L482" s="427"/>
      <c r="M482" s="427"/>
      <c r="N482" s="427"/>
      <c r="O482" s="427"/>
      <c r="P482" s="427"/>
      <c r="Q482" s="427"/>
      <c r="R482" s="427"/>
      <c r="S482" s="427"/>
      <c r="T482" s="427"/>
    </row>
    <row r="483" spans="2:20">
      <c r="B483" s="427"/>
      <c r="C483" s="427"/>
      <c r="D483" s="427"/>
      <c r="E483" s="427"/>
      <c r="F483" s="427"/>
      <c r="G483" s="427"/>
      <c r="H483" s="427"/>
      <c r="I483" s="427"/>
      <c r="J483" s="427"/>
      <c r="K483" s="427"/>
      <c r="L483" s="427"/>
      <c r="M483" s="427"/>
      <c r="N483" s="427"/>
      <c r="O483" s="427"/>
      <c r="P483" s="427"/>
      <c r="Q483" s="427"/>
      <c r="R483" s="427"/>
      <c r="S483" s="427"/>
      <c r="T483" s="427"/>
    </row>
    <row r="484" spans="2:20">
      <c r="B484" s="427"/>
      <c r="C484" s="427"/>
      <c r="D484" s="427"/>
      <c r="E484" s="427"/>
      <c r="F484" s="427"/>
      <c r="G484" s="427"/>
      <c r="H484" s="427"/>
      <c r="I484" s="427"/>
      <c r="J484" s="427"/>
      <c r="K484" s="427"/>
      <c r="L484" s="427"/>
      <c r="M484" s="427"/>
      <c r="N484" s="427"/>
      <c r="O484" s="427"/>
      <c r="P484" s="427"/>
      <c r="Q484" s="427"/>
      <c r="R484" s="427"/>
      <c r="S484" s="427"/>
      <c r="T484" s="427"/>
    </row>
    <row r="485" spans="2:20">
      <c r="B485" s="427"/>
      <c r="C485" s="427"/>
      <c r="D485" s="427"/>
      <c r="E485" s="427"/>
      <c r="F485" s="427"/>
      <c r="G485" s="427"/>
      <c r="H485" s="427"/>
      <c r="I485" s="427"/>
      <c r="J485" s="427"/>
      <c r="K485" s="427"/>
      <c r="L485" s="427"/>
      <c r="M485" s="427"/>
      <c r="N485" s="427"/>
      <c r="O485" s="427"/>
      <c r="P485" s="427"/>
      <c r="Q485" s="427"/>
      <c r="R485" s="427"/>
      <c r="S485" s="427"/>
      <c r="T485" s="427"/>
    </row>
    <row r="486" spans="2:20">
      <c r="B486" s="427"/>
      <c r="C486" s="427"/>
      <c r="D486" s="427"/>
      <c r="E486" s="427"/>
      <c r="F486" s="427"/>
      <c r="G486" s="427"/>
      <c r="H486" s="427"/>
      <c r="I486" s="427"/>
      <c r="J486" s="427"/>
      <c r="K486" s="427"/>
      <c r="L486" s="427"/>
      <c r="M486" s="427"/>
      <c r="N486" s="427"/>
      <c r="O486" s="427"/>
      <c r="P486" s="427"/>
      <c r="Q486" s="427"/>
      <c r="R486" s="427"/>
      <c r="S486" s="427"/>
      <c r="T486" s="427"/>
    </row>
    <row r="487" spans="2:20">
      <c r="B487" s="427"/>
      <c r="C487" s="427"/>
      <c r="D487" s="427"/>
      <c r="E487" s="427"/>
      <c r="F487" s="427"/>
      <c r="G487" s="427"/>
      <c r="H487" s="427"/>
      <c r="I487" s="427"/>
      <c r="J487" s="427"/>
      <c r="K487" s="427"/>
      <c r="L487" s="427"/>
      <c r="M487" s="427"/>
      <c r="N487" s="427"/>
      <c r="O487" s="427"/>
      <c r="P487" s="427"/>
      <c r="Q487" s="427"/>
      <c r="R487" s="427"/>
      <c r="S487" s="427"/>
      <c r="T487" s="427"/>
    </row>
    <row r="488" spans="2:20">
      <c r="B488" s="427"/>
      <c r="C488" s="427"/>
      <c r="D488" s="427"/>
      <c r="E488" s="427"/>
      <c r="F488" s="427"/>
      <c r="G488" s="427"/>
      <c r="H488" s="427"/>
      <c r="I488" s="427"/>
      <c r="J488" s="427"/>
      <c r="K488" s="427"/>
      <c r="L488" s="427"/>
      <c r="M488" s="427"/>
      <c r="N488" s="427"/>
      <c r="O488" s="427"/>
      <c r="P488" s="427"/>
      <c r="Q488" s="427"/>
      <c r="R488" s="427"/>
      <c r="S488" s="427"/>
      <c r="T488" s="427"/>
    </row>
    <row r="489" spans="2:20">
      <c r="B489" s="427"/>
      <c r="C489" s="427"/>
      <c r="D489" s="427"/>
      <c r="E489" s="427"/>
      <c r="F489" s="427"/>
      <c r="G489" s="427"/>
      <c r="H489" s="427"/>
      <c r="I489" s="427"/>
      <c r="J489" s="427"/>
      <c r="K489" s="427"/>
      <c r="L489" s="427"/>
      <c r="M489" s="427"/>
      <c r="N489" s="427"/>
      <c r="O489" s="427"/>
      <c r="P489" s="427"/>
      <c r="Q489" s="427"/>
      <c r="R489" s="427"/>
      <c r="S489" s="427"/>
      <c r="T489" s="427"/>
    </row>
    <row r="490" spans="2:20">
      <c r="B490" s="427"/>
      <c r="C490" s="427"/>
      <c r="D490" s="427"/>
      <c r="E490" s="427"/>
      <c r="F490" s="427"/>
      <c r="G490" s="427"/>
      <c r="H490" s="427"/>
      <c r="I490" s="427"/>
      <c r="J490" s="427"/>
      <c r="K490" s="427"/>
      <c r="L490" s="427"/>
      <c r="M490" s="427"/>
      <c r="N490" s="427"/>
      <c r="O490" s="427"/>
      <c r="P490" s="427"/>
      <c r="Q490" s="427"/>
      <c r="R490" s="427"/>
      <c r="S490" s="427"/>
      <c r="T490" s="427"/>
    </row>
    <row r="491" spans="2:20">
      <c r="B491" s="427"/>
      <c r="C491" s="427"/>
      <c r="D491" s="427"/>
      <c r="E491" s="427"/>
      <c r="F491" s="427"/>
      <c r="G491" s="427"/>
      <c r="H491" s="427"/>
      <c r="I491" s="427"/>
      <c r="J491" s="427"/>
      <c r="K491" s="427"/>
      <c r="L491" s="427"/>
      <c r="M491" s="427"/>
      <c r="N491" s="427"/>
      <c r="O491" s="427"/>
      <c r="P491" s="427"/>
      <c r="Q491" s="427"/>
      <c r="R491" s="427"/>
      <c r="S491" s="427"/>
      <c r="T491" s="427"/>
    </row>
    <row r="492" spans="2:20">
      <c r="B492" s="427"/>
      <c r="C492" s="427"/>
      <c r="D492" s="427"/>
      <c r="E492" s="427"/>
      <c r="F492" s="427"/>
      <c r="G492" s="427"/>
      <c r="H492" s="427"/>
      <c r="I492" s="427"/>
      <c r="J492" s="427"/>
      <c r="K492" s="427"/>
      <c r="L492" s="427"/>
      <c r="M492" s="427"/>
      <c r="N492" s="427"/>
      <c r="O492" s="427"/>
      <c r="P492" s="427"/>
      <c r="Q492" s="427"/>
      <c r="R492" s="427"/>
      <c r="S492" s="427"/>
      <c r="T492" s="427"/>
    </row>
    <row r="493" spans="2:20">
      <c r="B493" s="427"/>
      <c r="C493" s="427"/>
      <c r="D493" s="427"/>
      <c r="E493" s="427"/>
      <c r="F493" s="427"/>
      <c r="G493" s="427"/>
      <c r="H493" s="427"/>
      <c r="I493" s="427"/>
      <c r="J493" s="427"/>
      <c r="K493" s="427"/>
      <c r="L493" s="427"/>
      <c r="M493" s="427"/>
      <c r="N493" s="427"/>
      <c r="O493" s="427"/>
      <c r="P493" s="427"/>
      <c r="Q493" s="427"/>
      <c r="R493" s="427"/>
      <c r="S493" s="427"/>
      <c r="T493" s="427"/>
    </row>
    <row r="494" spans="2:20">
      <c r="B494" s="427"/>
      <c r="C494" s="427"/>
      <c r="D494" s="427"/>
      <c r="E494" s="427"/>
      <c r="F494" s="427"/>
      <c r="G494" s="427"/>
      <c r="H494" s="427"/>
      <c r="I494" s="427"/>
      <c r="J494" s="427"/>
      <c r="K494" s="427"/>
      <c r="L494" s="427"/>
      <c r="M494" s="427"/>
      <c r="N494" s="427"/>
      <c r="O494" s="427"/>
      <c r="P494" s="427"/>
      <c r="Q494" s="427"/>
      <c r="R494" s="427"/>
      <c r="S494" s="427"/>
      <c r="T494" s="427"/>
    </row>
    <row r="495" spans="2:20">
      <c r="B495" s="427"/>
      <c r="C495" s="427"/>
      <c r="D495" s="427"/>
      <c r="E495" s="427"/>
      <c r="F495" s="427"/>
      <c r="G495" s="427"/>
      <c r="H495" s="427"/>
      <c r="I495" s="427"/>
      <c r="J495" s="427"/>
      <c r="K495" s="427"/>
      <c r="L495" s="427"/>
      <c r="M495" s="427"/>
      <c r="N495" s="427"/>
      <c r="O495" s="427"/>
      <c r="P495" s="427"/>
      <c r="Q495" s="427"/>
      <c r="R495" s="427"/>
      <c r="S495" s="427"/>
      <c r="T495" s="427"/>
    </row>
    <row r="496" spans="2:20">
      <c r="B496" s="427"/>
      <c r="C496" s="427"/>
      <c r="D496" s="427"/>
      <c r="E496" s="427"/>
      <c r="F496" s="427"/>
      <c r="G496" s="427"/>
      <c r="H496" s="427"/>
      <c r="I496" s="427"/>
      <c r="J496" s="427"/>
      <c r="K496" s="427"/>
      <c r="L496" s="427"/>
      <c r="M496" s="427"/>
      <c r="N496" s="427"/>
      <c r="O496" s="427"/>
      <c r="P496" s="427"/>
      <c r="Q496" s="427"/>
      <c r="R496" s="427"/>
      <c r="S496" s="427"/>
      <c r="T496" s="427"/>
    </row>
    <row r="497" spans="2:20">
      <c r="B497" s="427"/>
      <c r="C497" s="427"/>
      <c r="D497" s="427"/>
      <c r="E497" s="427"/>
      <c r="F497" s="427"/>
      <c r="G497" s="427"/>
      <c r="H497" s="427"/>
      <c r="I497" s="427"/>
      <c r="J497" s="427"/>
      <c r="K497" s="427"/>
      <c r="L497" s="427"/>
      <c r="M497" s="427"/>
      <c r="N497" s="427"/>
      <c r="O497" s="427"/>
      <c r="P497" s="427"/>
      <c r="Q497" s="427"/>
      <c r="R497" s="427"/>
      <c r="S497" s="427"/>
      <c r="T497" s="427"/>
    </row>
    <row r="498" spans="2:20">
      <c r="B498" s="427"/>
      <c r="C498" s="427"/>
      <c r="D498" s="427"/>
      <c r="E498" s="427"/>
      <c r="F498" s="427"/>
      <c r="G498" s="427"/>
      <c r="H498" s="427"/>
      <c r="I498" s="427"/>
      <c r="J498" s="427"/>
      <c r="K498" s="427"/>
      <c r="L498" s="427"/>
      <c r="M498" s="427"/>
      <c r="N498" s="427"/>
      <c r="O498" s="427"/>
      <c r="P498" s="427"/>
      <c r="Q498" s="427"/>
      <c r="R498" s="427"/>
      <c r="S498" s="427"/>
      <c r="T498" s="427"/>
    </row>
    <row r="499" spans="2:20">
      <c r="B499" s="427"/>
      <c r="C499" s="427"/>
      <c r="D499" s="427"/>
      <c r="E499" s="427"/>
      <c r="F499" s="427"/>
      <c r="G499" s="427"/>
      <c r="H499" s="427"/>
      <c r="I499" s="427"/>
      <c r="J499" s="427"/>
      <c r="K499" s="427"/>
      <c r="L499" s="427"/>
      <c r="M499" s="427"/>
      <c r="N499" s="427"/>
      <c r="O499" s="427"/>
      <c r="P499" s="427"/>
      <c r="Q499" s="427"/>
      <c r="R499" s="427"/>
      <c r="S499" s="427"/>
      <c r="T499" s="427"/>
    </row>
    <row r="500" spans="2:20">
      <c r="B500" s="427"/>
      <c r="C500" s="427"/>
      <c r="D500" s="427"/>
      <c r="E500" s="427"/>
      <c r="F500" s="427"/>
      <c r="G500" s="427"/>
      <c r="H500" s="427"/>
      <c r="I500" s="427"/>
      <c r="J500" s="427"/>
      <c r="K500" s="427"/>
      <c r="L500" s="427"/>
      <c r="M500" s="427"/>
      <c r="N500" s="427"/>
      <c r="O500" s="427"/>
      <c r="P500" s="427"/>
      <c r="Q500" s="427"/>
      <c r="R500" s="427"/>
      <c r="S500" s="427"/>
      <c r="T500" s="427"/>
    </row>
    <row r="501" spans="2:20">
      <c r="B501" s="427"/>
      <c r="C501" s="427"/>
      <c r="D501" s="427"/>
      <c r="E501" s="427"/>
      <c r="F501" s="427"/>
      <c r="G501" s="427"/>
      <c r="H501" s="427"/>
      <c r="I501" s="427"/>
      <c r="J501" s="427"/>
      <c r="K501" s="427"/>
      <c r="L501" s="427"/>
      <c r="M501" s="427"/>
      <c r="N501" s="427"/>
      <c r="O501" s="427"/>
      <c r="P501" s="427"/>
      <c r="Q501" s="427"/>
      <c r="R501" s="427"/>
      <c r="S501" s="427"/>
      <c r="T501" s="427"/>
    </row>
    <row r="502" spans="2:20">
      <c r="B502" s="427"/>
      <c r="C502" s="427"/>
      <c r="D502" s="427"/>
      <c r="E502" s="427"/>
      <c r="F502" s="427"/>
      <c r="G502" s="427"/>
      <c r="H502" s="427"/>
      <c r="I502" s="427"/>
      <c r="J502" s="427"/>
      <c r="K502" s="427"/>
      <c r="L502" s="427"/>
      <c r="M502" s="427"/>
      <c r="N502" s="427"/>
      <c r="O502" s="427"/>
      <c r="P502" s="427"/>
      <c r="Q502" s="427"/>
      <c r="R502" s="427"/>
      <c r="S502" s="427"/>
      <c r="T502" s="427"/>
    </row>
    <row r="503" spans="2:20">
      <c r="B503" s="427"/>
      <c r="C503" s="427"/>
      <c r="D503" s="427"/>
      <c r="E503" s="427"/>
      <c r="F503" s="427"/>
      <c r="G503" s="427"/>
      <c r="H503" s="427"/>
      <c r="I503" s="427"/>
      <c r="J503" s="427"/>
      <c r="K503" s="427"/>
      <c r="L503" s="427"/>
      <c r="M503" s="427"/>
      <c r="N503" s="427"/>
      <c r="O503" s="427"/>
      <c r="P503" s="427"/>
      <c r="Q503" s="427"/>
      <c r="R503" s="427"/>
      <c r="S503" s="427"/>
      <c r="T503" s="427"/>
    </row>
    <row r="504" spans="2:20">
      <c r="B504" s="427"/>
      <c r="C504" s="427"/>
      <c r="D504" s="427"/>
      <c r="E504" s="427"/>
      <c r="F504" s="427"/>
      <c r="G504" s="427"/>
      <c r="H504" s="427"/>
      <c r="I504" s="427"/>
      <c r="J504" s="427"/>
      <c r="K504" s="427"/>
      <c r="L504" s="427"/>
      <c r="M504" s="427"/>
      <c r="N504" s="427"/>
      <c r="O504" s="427"/>
      <c r="P504" s="427"/>
      <c r="Q504" s="427"/>
      <c r="R504" s="427"/>
      <c r="S504" s="427"/>
      <c r="T504" s="427"/>
    </row>
    <row r="505" spans="2:20">
      <c r="B505" s="427"/>
      <c r="C505" s="427"/>
      <c r="D505" s="427"/>
      <c r="E505" s="427"/>
      <c r="F505" s="427"/>
      <c r="G505" s="427"/>
      <c r="H505" s="427"/>
      <c r="I505" s="427"/>
      <c r="J505" s="427"/>
      <c r="K505" s="427"/>
      <c r="L505" s="427"/>
      <c r="M505" s="427"/>
      <c r="N505" s="427"/>
      <c r="O505" s="427"/>
      <c r="P505" s="427"/>
      <c r="Q505" s="427"/>
      <c r="R505" s="427"/>
      <c r="S505" s="427"/>
      <c r="T505" s="427"/>
    </row>
    <row r="506" spans="2:20">
      <c r="B506" s="427"/>
      <c r="C506" s="427"/>
      <c r="D506" s="427"/>
      <c r="E506" s="427"/>
      <c r="F506" s="427"/>
      <c r="G506" s="427"/>
      <c r="H506" s="427"/>
      <c r="I506" s="427"/>
      <c r="J506" s="427"/>
      <c r="K506" s="427"/>
      <c r="L506" s="427"/>
      <c r="M506" s="427"/>
      <c r="N506" s="427"/>
      <c r="O506" s="427"/>
      <c r="P506" s="427"/>
      <c r="Q506" s="427"/>
      <c r="R506" s="427"/>
      <c r="S506" s="427"/>
      <c r="T506" s="427"/>
    </row>
    <row r="507" spans="2:20">
      <c r="B507" s="427"/>
      <c r="C507" s="427"/>
      <c r="D507" s="427"/>
      <c r="E507" s="427"/>
      <c r="F507" s="427"/>
      <c r="G507" s="427"/>
      <c r="H507" s="427"/>
      <c r="I507" s="427"/>
      <c r="J507" s="427"/>
      <c r="K507" s="427"/>
      <c r="L507" s="427"/>
      <c r="M507" s="427"/>
      <c r="N507" s="427"/>
      <c r="O507" s="427"/>
      <c r="P507" s="427"/>
      <c r="Q507" s="427"/>
      <c r="R507" s="427"/>
      <c r="S507" s="427"/>
      <c r="T507" s="427"/>
    </row>
    <row r="508" spans="2:20">
      <c r="B508" s="427"/>
      <c r="C508" s="427"/>
      <c r="D508" s="427"/>
      <c r="E508" s="427"/>
      <c r="F508" s="427"/>
      <c r="G508" s="427"/>
      <c r="H508" s="427"/>
      <c r="I508" s="427"/>
      <c r="J508" s="427"/>
      <c r="K508" s="427"/>
      <c r="L508" s="427"/>
      <c r="M508" s="427"/>
      <c r="N508" s="427"/>
      <c r="O508" s="427"/>
      <c r="P508" s="427"/>
      <c r="Q508" s="427"/>
      <c r="R508" s="427"/>
      <c r="S508" s="427"/>
      <c r="T508" s="427"/>
    </row>
    <row r="509" spans="2:20">
      <c r="B509" s="427"/>
      <c r="C509" s="427"/>
      <c r="D509" s="427"/>
      <c r="E509" s="427"/>
      <c r="F509" s="427"/>
      <c r="G509" s="427"/>
      <c r="H509" s="427"/>
      <c r="I509" s="427"/>
      <c r="J509" s="427"/>
      <c r="K509" s="427"/>
      <c r="L509" s="427"/>
      <c r="M509" s="427"/>
      <c r="N509" s="427"/>
      <c r="O509" s="427"/>
      <c r="P509" s="427"/>
      <c r="Q509" s="427"/>
      <c r="R509" s="427"/>
      <c r="S509" s="427"/>
      <c r="T509" s="427"/>
    </row>
    <row r="510" spans="2:20">
      <c r="B510" s="427"/>
      <c r="C510" s="427"/>
      <c r="D510" s="427"/>
      <c r="E510" s="427"/>
      <c r="F510" s="427"/>
      <c r="G510" s="427"/>
      <c r="H510" s="427"/>
      <c r="I510" s="427"/>
      <c r="J510" s="427"/>
      <c r="K510" s="427"/>
      <c r="L510" s="427"/>
      <c r="M510" s="427"/>
      <c r="N510" s="427"/>
      <c r="O510" s="427"/>
      <c r="P510" s="427"/>
      <c r="Q510" s="427"/>
      <c r="R510" s="427"/>
      <c r="S510" s="427"/>
      <c r="T510" s="427"/>
    </row>
    <row r="511" spans="2:20">
      <c r="B511" s="427"/>
      <c r="C511" s="427"/>
      <c r="D511" s="427"/>
      <c r="E511" s="427"/>
      <c r="F511" s="427"/>
      <c r="G511" s="427"/>
      <c r="H511" s="427"/>
      <c r="I511" s="427"/>
      <c r="J511" s="427"/>
      <c r="K511" s="427"/>
      <c r="L511" s="427"/>
      <c r="M511" s="427"/>
      <c r="N511" s="427"/>
      <c r="O511" s="427"/>
      <c r="P511" s="427"/>
      <c r="Q511" s="427"/>
      <c r="R511" s="427"/>
      <c r="S511" s="427"/>
      <c r="T511" s="427"/>
    </row>
    <row r="512" spans="2:20">
      <c r="B512" s="427"/>
      <c r="C512" s="427"/>
      <c r="D512" s="427"/>
      <c r="E512" s="427"/>
      <c r="F512" s="427"/>
      <c r="G512" s="427"/>
      <c r="H512" s="427"/>
      <c r="I512" s="427"/>
      <c r="J512" s="427"/>
      <c r="K512" s="427"/>
      <c r="L512" s="427"/>
      <c r="M512" s="427"/>
      <c r="N512" s="427"/>
      <c r="O512" s="427"/>
      <c r="P512" s="427"/>
      <c r="Q512" s="427"/>
      <c r="R512" s="427"/>
      <c r="S512" s="427"/>
      <c r="T512" s="427"/>
    </row>
    <row r="513" spans="2:20">
      <c r="B513" s="427"/>
      <c r="C513" s="427"/>
      <c r="D513" s="427"/>
      <c r="E513" s="427"/>
      <c r="F513" s="427"/>
      <c r="G513" s="427"/>
      <c r="H513" s="427"/>
      <c r="I513" s="427"/>
      <c r="J513" s="427"/>
      <c r="K513" s="427"/>
      <c r="L513" s="427"/>
      <c r="M513" s="427"/>
      <c r="N513" s="427"/>
      <c r="O513" s="427"/>
      <c r="P513" s="427"/>
      <c r="Q513" s="427"/>
      <c r="R513" s="427"/>
      <c r="S513" s="427"/>
      <c r="T513" s="427"/>
    </row>
    <row r="514" spans="2:20">
      <c r="B514" s="427"/>
      <c r="C514" s="427"/>
      <c r="D514" s="427"/>
      <c r="E514" s="427"/>
      <c r="F514" s="427"/>
      <c r="G514" s="427"/>
      <c r="H514" s="427"/>
      <c r="I514" s="427"/>
      <c r="J514" s="427"/>
      <c r="K514" s="427"/>
      <c r="L514" s="427"/>
      <c r="M514" s="427"/>
      <c r="N514" s="427"/>
      <c r="O514" s="427"/>
      <c r="P514" s="427"/>
      <c r="Q514" s="427"/>
      <c r="R514" s="427"/>
      <c r="S514" s="427"/>
      <c r="T514" s="427"/>
    </row>
    <row r="515" spans="2:20">
      <c r="B515" s="427"/>
      <c r="C515" s="427"/>
      <c r="D515" s="427"/>
      <c r="E515" s="427"/>
      <c r="F515" s="427"/>
      <c r="G515" s="427"/>
      <c r="H515" s="427"/>
      <c r="I515" s="427"/>
      <c r="J515" s="427"/>
      <c r="K515" s="427"/>
      <c r="L515" s="427"/>
      <c r="M515" s="427"/>
      <c r="N515" s="427"/>
      <c r="O515" s="427"/>
      <c r="P515" s="427"/>
      <c r="Q515" s="427"/>
      <c r="R515" s="427"/>
      <c r="S515" s="427"/>
      <c r="T515" s="427"/>
    </row>
    <row r="516" spans="2:20">
      <c r="B516" s="427"/>
      <c r="C516" s="427"/>
      <c r="D516" s="427"/>
      <c r="E516" s="427"/>
      <c r="F516" s="427"/>
      <c r="G516" s="427"/>
      <c r="H516" s="427"/>
      <c r="I516" s="427"/>
      <c r="J516" s="427"/>
      <c r="K516" s="427"/>
      <c r="L516" s="427"/>
      <c r="M516" s="427"/>
      <c r="N516" s="427"/>
      <c r="O516" s="427"/>
      <c r="P516" s="427"/>
      <c r="Q516" s="427"/>
      <c r="R516" s="427"/>
      <c r="S516" s="427"/>
      <c r="T516" s="427"/>
    </row>
    <row r="517" spans="2:20">
      <c r="B517" s="427"/>
      <c r="C517" s="427"/>
      <c r="D517" s="427"/>
      <c r="E517" s="427"/>
      <c r="F517" s="427"/>
      <c r="G517" s="427"/>
      <c r="H517" s="427"/>
      <c r="I517" s="427"/>
      <c r="J517" s="427"/>
      <c r="K517" s="427"/>
      <c r="L517" s="427"/>
      <c r="M517" s="427"/>
      <c r="N517" s="427"/>
      <c r="O517" s="427"/>
      <c r="P517" s="427"/>
      <c r="Q517" s="427"/>
      <c r="R517" s="427"/>
      <c r="S517" s="427"/>
      <c r="T517" s="427"/>
    </row>
    <row r="518" spans="2:20">
      <c r="B518" s="427"/>
      <c r="C518" s="427"/>
      <c r="D518" s="427"/>
      <c r="E518" s="427"/>
      <c r="F518" s="427"/>
      <c r="G518" s="427"/>
      <c r="H518" s="427"/>
      <c r="I518" s="427"/>
      <c r="J518" s="427"/>
      <c r="K518" s="427"/>
      <c r="L518" s="427"/>
      <c r="M518" s="427"/>
      <c r="N518" s="427"/>
      <c r="O518" s="427"/>
      <c r="P518" s="427"/>
      <c r="Q518" s="427"/>
      <c r="R518" s="427"/>
      <c r="S518" s="427"/>
      <c r="T518" s="427"/>
    </row>
    <row r="519" spans="2:20">
      <c r="B519" s="427"/>
      <c r="C519" s="427"/>
      <c r="D519" s="427"/>
      <c r="E519" s="427"/>
      <c r="F519" s="427"/>
      <c r="G519" s="427"/>
      <c r="H519" s="427"/>
      <c r="I519" s="427"/>
      <c r="J519" s="427"/>
      <c r="K519" s="427"/>
      <c r="L519" s="427"/>
      <c r="M519" s="427"/>
      <c r="N519" s="427"/>
      <c r="O519" s="427"/>
      <c r="P519" s="427"/>
      <c r="Q519" s="427"/>
      <c r="R519" s="427"/>
      <c r="S519" s="427"/>
      <c r="T519" s="427"/>
    </row>
    <row r="520" spans="2:20">
      <c r="B520" s="427"/>
      <c r="C520" s="427"/>
      <c r="D520" s="427"/>
      <c r="E520" s="427"/>
      <c r="F520" s="427"/>
      <c r="G520" s="427"/>
      <c r="H520" s="427"/>
      <c r="I520" s="427"/>
      <c r="J520" s="427"/>
      <c r="K520" s="427"/>
      <c r="L520" s="427"/>
      <c r="M520" s="427"/>
      <c r="N520" s="427"/>
      <c r="O520" s="427"/>
      <c r="P520" s="427"/>
      <c r="Q520" s="427"/>
      <c r="R520" s="427"/>
      <c r="S520" s="427"/>
      <c r="T520" s="427"/>
    </row>
    <row r="521" spans="2:20">
      <c r="B521" s="427"/>
      <c r="C521" s="427"/>
      <c r="D521" s="427"/>
      <c r="E521" s="427"/>
      <c r="F521" s="427"/>
      <c r="G521" s="427"/>
      <c r="H521" s="427"/>
      <c r="I521" s="427"/>
      <c r="J521" s="427"/>
      <c r="K521" s="427"/>
      <c r="L521" s="427"/>
      <c r="M521" s="427"/>
      <c r="N521" s="427"/>
      <c r="O521" s="427"/>
      <c r="P521" s="427"/>
      <c r="Q521" s="427"/>
      <c r="R521" s="427"/>
      <c r="S521" s="427"/>
      <c r="T521" s="427"/>
    </row>
    <row r="522" spans="2:20">
      <c r="B522" s="427"/>
      <c r="C522" s="427"/>
      <c r="D522" s="427"/>
      <c r="E522" s="427"/>
      <c r="F522" s="427"/>
      <c r="G522" s="427"/>
      <c r="H522" s="427"/>
      <c r="I522" s="427"/>
      <c r="J522" s="427"/>
      <c r="K522" s="427"/>
      <c r="L522" s="427"/>
      <c r="M522" s="427"/>
      <c r="N522" s="427"/>
      <c r="O522" s="427"/>
      <c r="P522" s="427"/>
      <c r="Q522" s="427"/>
      <c r="R522" s="427"/>
      <c r="S522" s="427"/>
      <c r="T522" s="427"/>
    </row>
    <row r="523" spans="2:20">
      <c r="B523" s="427"/>
      <c r="C523" s="427"/>
      <c r="D523" s="427"/>
      <c r="E523" s="427"/>
      <c r="F523" s="427"/>
      <c r="G523" s="427"/>
      <c r="H523" s="427"/>
      <c r="I523" s="427"/>
      <c r="J523" s="427"/>
      <c r="K523" s="427"/>
      <c r="L523" s="427"/>
      <c r="M523" s="427"/>
      <c r="N523" s="427"/>
      <c r="O523" s="427"/>
      <c r="P523" s="427"/>
      <c r="Q523" s="427"/>
      <c r="R523" s="427"/>
      <c r="S523" s="427"/>
      <c r="T523" s="427"/>
    </row>
    <row r="524" spans="2:20">
      <c r="B524" s="427"/>
      <c r="C524" s="427"/>
      <c r="D524" s="427"/>
      <c r="E524" s="427"/>
      <c r="F524" s="427"/>
      <c r="G524" s="427"/>
      <c r="H524" s="427"/>
      <c r="I524" s="427"/>
      <c r="J524" s="427"/>
      <c r="K524" s="427"/>
      <c r="L524" s="427"/>
      <c r="M524" s="427"/>
      <c r="N524" s="427"/>
      <c r="O524" s="427"/>
      <c r="P524" s="427"/>
      <c r="Q524" s="427"/>
      <c r="R524" s="427"/>
      <c r="S524" s="427"/>
      <c r="T524" s="427"/>
    </row>
    <row r="525" spans="2:20">
      <c r="B525" s="427"/>
      <c r="C525" s="427"/>
      <c r="D525" s="427"/>
      <c r="E525" s="427"/>
      <c r="F525" s="427"/>
      <c r="G525" s="427"/>
      <c r="H525" s="427"/>
      <c r="I525" s="427"/>
      <c r="J525" s="427"/>
      <c r="K525" s="427"/>
      <c r="L525" s="427"/>
      <c r="M525" s="427"/>
      <c r="N525" s="427"/>
      <c r="O525" s="427"/>
      <c r="P525" s="427"/>
      <c r="Q525" s="427"/>
      <c r="R525" s="427"/>
      <c r="S525" s="427"/>
      <c r="T525" s="427"/>
    </row>
    <row r="526" spans="2:20">
      <c r="B526" s="427"/>
      <c r="C526" s="427"/>
      <c r="D526" s="427"/>
      <c r="E526" s="427"/>
      <c r="F526" s="427"/>
      <c r="G526" s="427"/>
      <c r="H526" s="427"/>
      <c r="I526" s="427"/>
      <c r="J526" s="427"/>
      <c r="K526" s="427"/>
      <c r="L526" s="427"/>
      <c r="M526" s="427"/>
      <c r="N526" s="427"/>
      <c r="O526" s="427"/>
      <c r="P526" s="427"/>
      <c r="Q526" s="427"/>
      <c r="R526" s="427"/>
      <c r="S526" s="427"/>
      <c r="T526" s="427"/>
    </row>
    <row r="527" spans="2:20">
      <c r="B527" s="427"/>
      <c r="C527" s="427"/>
      <c r="D527" s="427"/>
      <c r="E527" s="427"/>
      <c r="F527" s="427"/>
      <c r="G527" s="427"/>
      <c r="H527" s="427"/>
      <c r="I527" s="427"/>
      <c r="J527" s="427"/>
      <c r="K527" s="427"/>
      <c r="L527" s="427"/>
      <c r="M527" s="427"/>
      <c r="N527" s="427"/>
      <c r="O527" s="427"/>
      <c r="P527" s="427"/>
      <c r="Q527" s="427"/>
      <c r="R527" s="427"/>
      <c r="S527" s="427"/>
      <c r="T527" s="427"/>
    </row>
    <row r="528" spans="2:20">
      <c r="B528" s="427"/>
      <c r="C528" s="427"/>
      <c r="D528" s="427"/>
      <c r="E528" s="427"/>
      <c r="F528" s="427"/>
      <c r="G528" s="427"/>
      <c r="H528" s="427"/>
      <c r="I528" s="427"/>
      <c r="J528" s="427"/>
      <c r="K528" s="427"/>
      <c r="L528" s="427"/>
      <c r="M528" s="427"/>
      <c r="N528" s="427"/>
      <c r="O528" s="427"/>
      <c r="P528" s="427"/>
      <c r="Q528" s="427"/>
      <c r="R528" s="427"/>
      <c r="S528" s="427"/>
      <c r="T528" s="427"/>
    </row>
    <row r="529" spans="2:20">
      <c r="B529" s="427"/>
      <c r="C529" s="427"/>
      <c r="D529" s="427"/>
      <c r="E529" s="427"/>
      <c r="F529" s="427"/>
      <c r="G529" s="427"/>
      <c r="H529" s="427"/>
      <c r="I529" s="427"/>
      <c r="J529" s="427"/>
      <c r="K529" s="427"/>
      <c r="L529" s="427"/>
      <c r="M529" s="427"/>
      <c r="N529" s="427"/>
      <c r="O529" s="427"/>
      <c r="P529" s="427"/>
      <c r="Q529" s="427"/>
      <c r="R529" s="427"/>
      <c r="S529" s="427"/>
      <c r="T529" s="427"/>
    </row>
    <row r="530" spans="2:20">
      <c r="B530" s="427"/>
      <c r="C530" s="427"/>
      <c r="D530" s="427"/>
      <c r="E530" s="427"/>
      <c r="F530" s="427"/>
      <c r="G530" s="427"/>
      <c r="H530" s="427"/>
      <c r="I530" s="427"/>
      <c r="J530" s="427"/>
      <c r="K530" s="427"/>
      <c r="L530" s="427"/>
      <c r="M530" s="427"/>
      <c r="N530" s="427"/>
      <c r="O530" s="427"/>
      <c r="P530" s="427"/>
      <c r="Q530" s="427"/>
      <c r="R530" s="427"/>
      <c r="S530" s="427"/>
      <c r="T530" s="427"/>
    </row>
    <row r="531" spans="2:20">
      <c r="B531" s="427"/>
      <c r="C531" s="427"/>
      <c r="D531" s="427"/>
      <c r="E531" s="427"/>
      <c r="F531" s="427"/>
      <c r="G531" s="427"/>
      <c r="H531" s="427"/>
      <c r="I531" s="427"/>
      <c r="J531" s="427"/>
      <c r="K531" s="427"/>
      <c r="L531" s="427"/>
      <c r="M531" s="427"/>
      <c r="N531" s="427"/>
      <c r="O531" s="427"/>
      <c r="P531" s="427"/>
      <c r="Q531" s="427"/>
      <c r="R531" s="427"/>
      <c r="S531" s="427"/>
      <c r="T531" s="427"/>
    </row>
    <row r="532" spans="2:20">
      <c r="B532" s="427"/>
      <c r="C532" s="427"/>
      <c r="D532" s="427"/>
      <c r="E532" s="427"/>
      <c r="F532" s="427"/>
      <c r="G532" s="427"/>
      <c r="H532" s="427"/>
      <c r="I532" s="427"/>
      <c r="J532" s="427"/>
      <c r="K532" s="427"/>
      <c r="L532" s="427"/>
      <c r="M532" s="427"/>
      <c r="N532" s="427"/>
      <c r="O532" s="427"/>
      <c r="P532" s="427"/>
      <c r="Q532" s="427"/>
      <c r="R532" s="427"/>
      <c r="S532" s="427"/>
      <c r="T532" s="427"/>
    </row>
    <row r="533" spans="2:20">
      <c r="B533" s="427"/>
      <c r="C533" s="427"/>
      <c r="D533" s="427"/>
      <c r="E533" s="427"/>
      <c r="F533" s="427"/>
      <c r="G533" s="427"/>
      <c r="H533" s="427"/>
      <c r="I533" s="427"/>
      <c r="J533" s="427"/>
      <c r="K533" s="427"/>
      <c r="L533" s="427"/>
      <c r="M533" s="427"/>
      <c r="N533" s="427"/>
      <c r="O533" s="427"/>
      <c r="P533" s="427"/>
      <c r="Q533" s="427"/>
      <c r="R533" s="427"/>
      <c r="S533" s="427"/>
      <c r="T533" s="427"/>
    </row>
    <row r="534" spans="2:20">
      <c r="B534" s="427"/>
      <c r="C534" s="427"/>
      <c r="D534" s="427"/>
      <c r="E534" s="427"/>
      <c r="F534" s="427"/>
      <c r="G534" s="427"/>
      <c r="H534" s="427"/>
      <c r="I534" s="427"/>
      <c r="J534" s="427"/>
      <c r="K534" s="427"/>
      <c r="L534" s="427"/>
      <c r="M534" s="427"/>
      <c r="N534" s="427"/>
      <c r="O534" s="427"/>
      <c r="P534" s="427"/>
      <c r="Q534" s="427"/>
      <c r="R534" s="427"/>
      <c r="S534" s="427"/>
      <c r="T534" s="427"/>
    </row>
    <row r="535" spans="2:20">
      <c r="B535" s="427"/>
      <c r="C535" s="427"/>
      <c r="D535" s="427"/>
      <c r="E535" s="427"/>
      <c r="F535" s="427"/>
      <c r="G535" s="427"/>
      <c r="H535" s="427"/>
      <c r="I535" s="427"/>
      <c r="J535" s="427"/>
      <c r="K535" s="427"/>
      <c r="L535" s="427"/>
      <c r="M535" s="427"/>
      <c r="N535" s="427"/>
      <c r="O535" s="427"/>
      <c r="P535" s="427"/>
      <c r="Q535" s="427"/>
      <c r="R535" s="427"/>
      <c r="S535" s="427"/>
      <c r="T535" s="427"/>
    </row>
    <row r="536" spans="2:20">
      <c r="B536" s="427"/>
      <c r="C536" s="427"/>
      <c r="D536" s="427"/>
      <c r="E536" s="427"/>
      <c r="F536" s="427"/>
      <c r="G536" s="427"/>
      <c r="H536" s="427"/>
      <c r="I536" s="427"/>
      <c r="J536" s="427"/>
      <c r="K536" s="427"/>
      <c r="L536" s="427"/>
      <c r="M536" s="427"/>
      <c r="N536" s="427"/>
      <c r="O536" s="427"/>
      <c r="P536" s="427"/>
      <c r="Q536" s="427"/>
      <c r="R536" s="427"/>
      <c r="S536" s="427"/>
      <c r="T536" s="427"/>
    </row>
    <row r="537" spans="2:20">
      <c r="B537" s="427"/>
      <c r="C537" s="427"/>
      <c r="D537" s="427"/>
      <c r="E537" s="427"/>
      <c r="F537" s="427"/>
      <c r="G537" s="427"/>
      <c r="H537" s="427"/>
      <c r="I537" s="427"/>
      <c r="J537" s="427"/>
      <c r="K537" s="427"/>
      <c r="L537" s="427"/>
      <c r="M537" s="427"/>
      <c r="N537" s="427"/>
      <c r="O537" s="427"/>
      <c r="P537" s="427"/>
      <c r="Q537" s="427"/>
      <c r="R537" s="427"/>
      <c r="S537" s="427"/>
      <c r="T537" s="427"/>
    </row>
    <row r="538" spans="2:20">
      <c r="B538" s="427"/>
      <c r="C538" s="427"/>
      <c r="D538" s="427"/>
      <c r="E538" s="427"/>
      <c r="F538" s="427"/>
      <c r="G538" s="427"/>
      <c r="H538" s="427"/>
      <c r="I538" s="427"/>
      <c r="J538" s="427"/>
      <c r="K538" s="427"/>
      <c r="L538" s="427"/>
      <c r="M538" s="427"/>
      <c r="N538" s="427"/>
      <c r="O538" s="427"/>
      <c r="P538" s="427"/>
      <c r="Q538" s="427"/>
      <c r="R538" s="427"/>
      <c r="S538" s="427"/>
      <c r="T538" s="427"/>
    </row>
    <row r="539" spans="2:20">
      <c r="B539" s="427"/>
      <c r="C539" s="427"/>
      <c r="D539" s="427"/>
      <c r="E539" s="427"/>
      <c r="F539" s="427"/>
      <c r="G539" s="427"/>
      <c r="H539" s="427"/>
      <c r="I539" s="427"/>
      <c r="J539" s="427"/>
      <c r="K539" s="427"/>
      <c r="L539" s="427"/>
      <c r="M539" s="427"/>
      <c r="N539" s="427"/>
      <c r="O539" s="427"/>
      <c r="P539" s="427"/>
      <c r="Q539" s="427"/>
      <c r="R539" s="427"/>
      <c r="S539" s="427"/>
      <c r="T539" s="427"/>
    </row>
    <row r="540" spans="2:20">
      <c r="B540" s="427"/>
      <c r="C540" s="427"/>
      <c r="D540" s="427"/>
      <c r="E540" s="427"/>
      <c r="F540" s="427"/>
      <c r="G540" s="427"/>
      <c r="H540" s="427"/>
      <c r="I540" s="427"/>
      <c r="J540" s="427"/>
      <c r="K540" s="427"/>
      <c r="L540" s="427"/>
      <c r="M540" s="427"/>
      <c r="N540" s="427"/>
      <c r="O540" s="427"/>
      <c r="P540" s="427"/>
      <c r="Q540" s="427"/>
      <c r="R540" s="427"/>
      <c r="S540" s="427"/>
      <c r="T540" s="427"/>
    </row>
    <row r="541" spans="2:20">
      <c r="B541" s="427"/>
      <c r="C541" s="427"/>
      <c r="D541" s="427"/>
      <c r="E541" s="427"/>
      <c r="F541" s="427"/>
      <c r="G541" s="427"/>
      <c r="H541" s="427"/>
      <c r="I541" s="427"/>
      <c r="J541" s="427"/>
      <c r="K541" s="427"/>
      <c r="L541" s="427"/>
      <c r="M541" s="427"/>
      <c r="N541" s="427"/>
      <c r="O541" s="427"/>
      <c r="P541" s="427"/>
      <c r="Q541" s="427"/>
      <c r="R541" s="427"/>
      <c r="S541" s="427"/>
      <c r="T541" s="427"/>
    </row>
    <row r="542" spans="2:20">
      <c r="B542" s="427"/>
      <c r="C542" s="427"/>
      <c r="D542" s="427"/>
      <c r="E542" s="427"/>
      <c r="F542" s="427"/>
      <c r="G542" s="427"/>
      <c r="H542" s="427"/>
      <c r="I542" s="427"/>
      <c r="J542" s="427"/>
      <c r="K542" s="427"/>
      <c r="L542" s="427"/>
      <c r="M542" s="427"/>
      <c r="N542" s="427"/>
      <c r="O542" s="427"/>
      <c r="P542" s="427"/>
      <c r="Q542" s="427"/>
      <c r="R542" s="427"/>
      <c r="S542" s="427"/>
      <c r="T542" s="427"/>
    </row>
    <row r="543" spans="2:20">
      <c r="B543" s="427"/>
      <c r="C543" s="427"/>
      <c r="D543" s="427"/>
      <c r="E543" s="427"/>
      <c r="F543" s="427"/>
      <c r="G543" s="427"/>
      <c r="H543" s="427"/>
      <c r="I543" s="427"/>
      <c r="J543" s="427"/>
      <c r="K543" s="427"/>
      <c r="L543" s="427"/>
      <c r="M543" s="427"/>
      <c r="N543" s="427"/>
      <c r="O543" s="427"/>
      <c r="P543" s="427"/>
      <c r="Q543" s="427"/>
      <c r="R543" s="427"/>
      <c r="S543" s="427"/>
      <c r="T543" s="427"/>
    </row>
    <row r="544" spans="2:20">
      <c r="B544" s="427"/>
      <c r="C544" s="427"/>
      <c r="D544" s="427"/>
      <c r="E544" s="427"/>
      <c r="F544" s="427"/>
      <c r="G544" s="427"/>
      <c r="H544" s="427"/>
      <c r="I544" s="427"/>
      <c r="J544" s="427"/>
      <c r="K544" s="427"/>
      <c r="L544" s="427"/>
      <c r="M544" s="427"/>
      <c r="N544" s="427"/>
      <c r="O544" s="427"/>
      <c r="P544" s="427"/>
      <c r="Q544" s="427"/>
      <c r="R544" s="427"/>
      <c r="S544" s="427"/>
      <c r="T544" s="427"/>
    </row>
    <row r="545" spans="2:20">
      <c r="B545" s="427"/>
      <c r="C545" s="427"/>
      <c r="D545" s="427"/>
      <c r="E545" s="427"/>
      <c r="F545" s="427"/>
      <c r="G545" s="427"/>
      <c r="H545" s="427"/>
      <c r="I545" s="427"/>
      <c r="J545" s="427"/>
      <c r="K545" s="427"/>
      <c r="L545" s="427"/>
      <c r="M545" s="427"/>
      <c r="N545" s="427"/>
      <c r="O545" s="427"/>
      <c r="P545" s="427"/>
      <c r="Q545" s="427"/>
      <c r="R545" s="427"/>
      <c r="S545" s="427"/>
      <c r="T545" s="427"/>
    </row>
    <row r="546" spans="2:20">
      <c r="B546" s="427"/>
      <c r="C546" s="427"/>
      <c r="D546" s="427"/>
      <c r="E546" s="427"/>
      <c r="F546" s="427"/>
      <c r="G546" s="427"/>
      <c r="H546" s="427"/>
      <c r="I546" s="427"/>
      <c r="J546" s="427"/>
      <c r="K546" s="427"/>
      <c r="L546" s="427"/>
      <c r="M546" s="427"/>
      <c r="N546" s="427"/>
      <c r="O546" s="427"/>
      <c r="P546" s="427"/>
      <c r="Q546" s="427"/>
      <c r="R546" s="427"/>
      <c r="S546" s="427"/>
      <c r="T546" s="427"/>
    </row>
    <row r="547" spans="2:20">
      <c r="B547" s="427"/>
      <c r="C547" s="427"/>
      <c r="D547" s="427"/>
      <c r="E547" s="427"/>
      <c r="F547" s="427"/>
      <c r="G547" s="427"/>
      <c r="H547" s="427"/>
      <c r="I547" s="427"/>
      <c r="J547" s="427"/>
      <c r="K547" s="427"/>
      <c r="L547" s="427"/>
      <c r="M547" s="427"/>
      <c r="N547" s="427"/>
      <c r="O547" s="427"/>
      <c r="P547" s="427"/>
      <c r="Q547" s="427"/>
      <c r="R547" s="427"/>
      <c r="S547" s="427"/>
      <c r="T547" s="427"/>
    </row>
    <row r="548" spans="2:20">
      <c r="B548" s="427"/>
      <c r="C548" s="427"/>
      <c r="D548" s="427"/>
      <c r="E548" s="427"/>
      <c r="F548" s="427"/>
      <c r="G548" s="427"/>
      <c r="H548" s="427"/>
      <c r="I548" s="427"/>
      <c r="J548" s="427"/>
      <c r="K548" s="427"/>
      <c r="L548" s="427"/>
      <c r="M548" s="427"/>
      <c r="N548" s="427"/>
      <c r="O548" s="427"/>
      <c r="P548" s="427"/>
      <c r="Q548" s="427"/>
      <c r="R548" s="427"/>
      <c r="S548" s="427"/>
      <c r="T548" s="427"/>
    </row>
    <row r="549" spans="2:20">
      <c r="B549" s="427"/>
      <c r="C549" s="427"/>
      <c r="D549" s="427"/>
      <c r="E549" s="427"/>
      <c r="F549" s="427"/>
      <c r="G549" s="427"/>
      <c r="H549" s="427"/>
      <c r="I549" s="427"/>
      <c r="J549" s="427"/>
      <c r="K549" s="427"/>
      <c r="L549" s="427"/>
      <c r="M549" s="427"/>
      <c r="N549" s="427"/>
      <c r="O549" s="427"/>
      <c r="P549" s="427"/>
      <c r="Q549" s="427"/>
      <c r="R549" s="427"/>
      <c r="S549" s="427"/>
      <c r="T549" s="427"/>
    </row>
    <row r="550" spans="2:20">
      <c r="B550" s="427"/>
      <c r="C550" s="427"/>
      <c r="D550" s="427"/>
      <c r="E550" s="427"/>
      <c r="F550" s="427"/>
      <c r="G550" s="427"/>
      <c r="H550" s="427"/>
      <c r="I550" s="427"/>
      <c r="J550" s="427"/>
      <c r="K550" s="427"/>
      <c r="L550" s="427"/>
      <c r="M550" s="427"/>
      <c r="N550" s="427"/>
      <c r="O550" s="427"/>
      <c r="P550" s="427"/>
      <c r="Q550" s="427"/>
      <c r="R550" s="427"/>
      <c r="S550" s="427"/>
      <c r="T550" s="427"/>
    </row>
    <row r="551" spans="2:20">
      <c r="B551" s="427"/>
      <c r="C551" s="427"/>
      <c r="D551" s="427"/>
      <c r="E551" s="427"/>
      <c r="F551" s="427"/>
      <c r="G551" s="427"/>
      <c r="H551" s="427"/>
      <c r="I551" s="427"/>
      <c r="J551" s="427"/>
      <c r="K551" s="427"/>
      <c r="L551" s="427"/>
      <c r="M551" s="427"/>
      <c r="N551" s="427"/>
      <c r="O551" s="427"/>
      <c r="P551" s="427"/>
      <c r="Q551" s="427"/>
      <c r="R551" s="427"/>
      <c r="S551" s="427"/>
      <c r="T551" s="427"/>
    </row>
    <row r="552" spans="2:20">
      <c r="B552" s="427"/>
      <c r="C552" s="427"/>
      <c r="D552" s="427"/>
      <c r="E552" s="427"/>
      <c r="F552" s="427"/>
      <c r="G552" s="427"/>
      <c r="H552" s="427"/>
      <c r="I552" s="427"/>
      <c r="J552" s="427"/>
      <c r="K552" s="427"/>
      <c r="L552" s="427"/>
      <c r="M552" s="427"/>
      <c r="N552" s="427"/>
      <c r="O552" s="427"/>
      <c r="P552" s="427"/>
      <c r="Q552" s="427"/>
      <c r="R552" s="427"/>
      <c r="S552" s="427"/>
      <c r="T552" s="427"/>
    </row>
    <row r="553" spans="2:20">
      <c r="B553" s="427"/>
      <c r="C553" s="427"/>
      <c r="D553" s="427"/>
      <c r="E553" s="427"/>
      <c r="F553" s="427"/>
      <c r="G553" s="427"/>
      <c r="H553" s="427"/>
      <c r="I553" s="427"/>
      <c r="J553" s="427"/>
      <c r="K553" s="427"/>
      <c r="L553" s="427"/>
      <c r="M553" s="427"/>
      <c r="N553" s="427"/>
      <c r="O553" s="427"/>
      <c r="P553" s="427"/>
      <c r="Q553" s="427"/>
      <c r="R553" s="427"/>
      <c r="S553" s="427"/>
      <c r="T553" s="427"/>
    </row>
    <row r="554" spans="2:20">
      <c r="B554" s="427"/>
      <c r="C554" s="427"/>
      <c r="D554" s="427"/>
      <c r="E554" s="427"/>
      <c r="F554" s="427"/>
      <c r="G554" s="427"/>
      <c r="H554" s="427"/>
      <c r="I554" s="427"/>
      <c r="J554" s="427"/>
      <c r="K554" s="427"/>
      <c r="L554" s="427"/>
      <c r="M554" s="427"/>
      <c r="N554" s="427"/>
      <c r="O554" s="427"/>
      <c r="P554" s="427"/>
      <c r="Q554" s="427"/>
      <c r="R554" s="427"/>
      <c r="S554" s="427"/>
      <c r="T554" s="427"/>
    </row>
    <row r="555" spans="2:20">
      <c r="B555" s="427"/>
      <c r="C555" s="427"/>
      <c r="D555" s="427"/>
      <c r="E555" s="427"/>
      <c r="F555" s="427"/>
      <c r="G555" s="427"/>
      <c r="H555" s="427"/>
      <c r="I555" s="427"/>
      <c r="J555" s="427"/>
      <c r="K555" s="427"/>
      <c r="L555" s="427"/>
      <c r="M555" s="427"/>
      <c r="N555" s="427"/>
      <c r="O555" s="427"/>
      <c r="P555" s="427"/>
      <c r="Q555" s="427"/>
      <c r="R555" s="427"/>
      <c r="S555" s="427"/>
      <c r="T555" s="427"/>
    </row>
    <row r="556" spans="2:20">
      <c r="B556" s="427"/>
      <c r="C556" s="427"/>
      <c r="D556" s="427"/>
      <c r="E556" s="427"/>
      <c r="F556" s="427"/>
      <c r="G556" s="427"/>
      <c r="H556" s="427"/>
      <c r="I556" s="427"/>
      <c r="J556" s="427"/>
      <c r="K556" s="427"/>
      <c r="L556" s="427"/>
      <c r="M556" s="427"/>
      <c r="N556" s="427"/>
      <c r="O556" s="427"/>
      <c r="P556" s="427"/>
      <c r="Q556" s="427"/>
      <c r="R556" s="427"/>
      <c r="S556" s="427"/>
      <c r="T556" s="427"/>
    </row>
    <row r="557" spans="2:20">
      <c r="B557" s="427"/>
      <c r="C557" s="427"/>
      <c r="D557" s="427"/>
      <c r="E557" s="427"/>
      <c r="F557" s="427"/>
      <c r="G557" s="427"/>
      <c r="H557" s="427"/>
      <c r="I557" s="427"/>
      <c r="J557" s="427"/>
      <c r="K557" s="427"/>
      <c r="L557" s="427"/>
      <c r="M557" s="427"/>
      <c r="N557" s="427"/>
      <c r="O557" s="427"/>
      <c r="P557" s="427"/>
      <c r="Q557" s="427"/>
      <c r="R557" s="427"/>
      <c r="S557" s="427"/>
      <c r="T557" s="427"/>
    </row>
    <row r="558" spans="2:20">
      <c r="B558" s="427"/>
      <c r="C558" s="427"/>
      <c r="D558" s="427"/>
      <c r="E558" s="427"/>
      <c r="F558" s="427"/>
      <c r="G558" s="427"/>
      <c r="H558" s="427"/>
      <c r="I558" s="427"/>
      <c r="J558" s="427"/>
      <c r="K558" s="427"/>
      <c r="L558" s="427"/>
      <c r="M558" s="427"/>
      <c r="N558" s="427"/>
      <c r="O558" s="427"/>
      <c r="P558" s="427"/>
      <c r="Q558" s="427"/>
      <c r="R558" s="427"/>
      <c r="S558" s="427"/>
      <c r="T558" s="427"/>
    </row>
    <row r="559" spans="2:20">
      <c r="B559" s="427"/>
      <c r="C559" s="427"/>
      <c r="D559" s="427"/>
      <c r="E559" s="427"/>
      <c r="F559" s="427"/>
      <c r="G559" s="427"/>
      <c r="H559" s="427"/>
      <c r="I559" s="427"/>
      <c r="J559" s="427"/>
      <c r="K559" s="427"/>
      <c r="L559" s="427"/>
      <c r="M559" s="427"/>
      <c r="N559" s="427"/>
      <c r="O559" s="427"/>
      <c r="P559" s="427"/>
      <c r="Q559" s="427"/>
      <c r="R559" s="427"/>
      <c r="S559" s="427"/>
      <c r="T559" s="427"/>
    </row>
    <row r="560" spans="2:20">
      <c r="B560" s="427"/>
      <c r="C560" s="427"/>
      <c r="D560" s="427"/>
      <c r="E560" s="427"/>
      <c r="F560" s="427"/>
      <c r="G560" s="427"/>
      <c r="H560" s="427"/>
      <c r="I560" s="427"/>
      <c r="J560" s="427"/>
      <c r="K560" s="427"/>
      <c r="L560" s="427"/>
      <c r="M560" s="427"/>
      <c r="N560" s="427"/>
      <c r="O560" s="427"/>
      <c r="P560" s="427"/>
      <c r="Q560" s="427"/>
      <c r="R560" s="427"/>
      <c r="S560" s="427"/>
      <c r="T560" s="427"/>
    </row>
    <row r="561" spans="2:20">
      <c r="B561" s="427"/>
      <c r="C561" s="427"/>
      <c r="D561" s="427"/>
      <c r="E561" s="427"/>
      <c r="F561" s="427"/>
      <c r="G561" s="427"/>
      <c r="H561" s="427"/>
      <c r="I561" s="427"/>
      <c r="J561" s="427"/>
      <c r="K561" s="427"/>
      <c r="L561" s="427"/>
      <c r="M561" s="427"/>
      <c r="N561" s="427"/>
      <c r="O561" s="427"/>
      <c r="P561" s="427"/>
      <c r="Q561" s="427"/>
      <c r="R561" s="427"/>
      <c r="S561" s="427"/>
      <c r="T561" s="427"/>
    </row>
    <row r="562" spans="2:20">
      <c r="B562" s="427"/>
      <c r="C562" s="427"/>
      <c r="D562" s="427"/>
      <c r="E562" s="427"/>
      <c r="F562" s="427"/>
      <c r="G562" s="427"/>
      <c r="H562" s="427"/>
      <c r="I562" s="427"/>
      <c r="J562" s="427"/>
      <c r="K562" s="427"/>
      <c r="L562" s="427"/>
      <c r="M562" s="427"/>
      <c r="N562" s="427"/>
      <c r="O562" s="427"/>
      <c r="P562" s="427"/>
      <c r="Q562" s="427"/>
      <c r="R562" s="427"/>
      <c r="S562" s="427"/>
      <c r="T562" s="427"/>
    </row>
    <row r="563" spans="2:20">
      <c r="B563" s="427"/>
      <c r="C563" s="427"/>
      <c r="D563" s="427"/>
      <c r="E563" s="427"/>
      <c r="F563" s="427"/>
      <c r="G563" s="427"/>
      <c r="H563" s="427"/>
      <c r="I563" s="427"/>
      <c r="J563" s="427"/>
      <c r="K563" s="427"/>
      <c r="L563" s="427"/>
      <c r="M563" s="427"/>
      <c r="N563" s="427"/>
      <c r="O563" s="427"/>
      <c r="P563" s="427"/>
      <c r="Q563" s="427"/>
      <c r="R563" s="427"/>
      <c r="S563" s="427"/>
      <c r="T563" s="427"/>
    </row>
    <row r="564" spans="2:20">
      <c r="B564" s="427"/>
      <c r="C564" s="427"/>
      <c r="D564" s="427"/>
      <c r="E564" s="427"/>
      <c r="F564" s="427"/>
      <c r="G564" s="427"/>
      <c r="H564" s="427"/>
      <c r="I564" s="427"/>
      <c r="J564" s="427"/>
      <c r="K564" s="427"/>
      <c r="L564" s="427"/>
      <c r="M564" s="427"/>
      <c r="N564" s="427"/>
      <c r="O564" s="427"/>
      <c r="P564" s="427"/>
      <c r="Q564" s="427"/>
      <c r="R564" s="427"/>
      <c r="S564" s="427"/>
      <c r="T564" s="427"/>
    </row>
    <row r="565" spans="2:20">
      <c r="B565" s="427"/>
      <c r="C565" s="427"/>
      <c r="D565" s="427"/>
      <c r="E565" s="427"/>
      <c r="F565" s="427"/>
      <c r="G565" s="427"/>
      <c r="H565" s="427"/>
      <c r="I565" s="427"/>
      <c r="J565" s="427"/>
      <c r="K565" s="427"/>
      <c r="L565" s="427"/>
      <c r="M565" s="427"/>
      <c r="N565" s="427"/>
      <c r="O565" s="427"/>
      <c r="P565" s="427"/>
      <c r="Q565" s="427"/>
      <c r="R565" s="427"/>
      <c r="S565" s="427"/>
      <c r="T565" s="427"/>
    </row>
    <row r="566" spans="2:20">
      <c r="B566" s="427"/>
      <c r="C566" s="427"/>
      <c r="D566" s="427"/>
      <c r="E566" s="427"/>
      <c r="F566" s="427"/>
      <c r="G566" s="427"/>
      <c r="H566" s="427"/>
      <c r="I566" s="427"/>
      <c r="J566" s="427"/>
      <c r="K566" s="427"/>
      <c r="L566" s="427"/>
      <c r="M566" s="427"/>
      <c r="N566" s="427"/>
      <c r="O566" s="427"/>
      <c r="P566" s="427"/>
      <c r="Q566" s="427"/>
      <c r="R566" s="427"/>
      <c r="S566" s="427"/>
      <c r="T566" s="427"/>
    </row>
    <row r="567" spans="2:20">
      <c r="B567" s="427"/>
      <c r="C567" s="427"/>
      <c r="D567" s="427"/>
      <c r="E567" s="427"/>
      <c r="F567" s="427"/>
      <c r="G567" s="427"/>
      <c r="H567" s="427"/>
      <c r="I567" s="427"/>
      <c r="J567" s="427"/>
      <c r="K567" s="427"/>
      <c r="L567" s="427"/>
      <c r="M567" s="427"/>
      <c r="N567" s="427"/>
      <c r="O567" s="427"/>
      <c r="P567" s="427"/>
      <c r="Q567" s="427"/>
      <c r="R567" s="427"/>
      <c r="S567" s="427"/>
      <c r="T567" s="427"/>
    </row>
    <row r="568" spans="2:20">
      <c r="B568" s="427"/>
      <c r="C568" s="427"/>
      <c r="D568" s="427"/>
      <c r="E568" s="427"/>
      <c r="F568" s="427"/>
      <c r="G568" s="427"/>
      <c r="H568" s="427"/>
      <c r="I568" s="427"/>
      <c r="J568" s="427"/>
      <c r="K568" s="427"/>
      <c r="L568" s="427"/>
      <c r="M568" s="427"/>
      <c r="N568" s="427"/>
      <c r="O568" s="427"/>
      <c r="P568" s="427"/>
      <c r="Q568" s="427"/>
      <c r="R568" s="427"/>
      <c r="S568" s="427"/>
      <c r="T568" s="427"/>
    </row>
    <row r="569" spans="2:20">
      <c r="B569" s="427"/>
      <c r="C569" s="427"/>
      <c r="D569" s="427"/>
      <c r="E569" s="427"/>
      <c r="F569" s="427"/>
      <c r="G569" s="427"/>
      <c r="H569" s="427"/>
      <c r="I569" s="427"/>
      <c r="J569" s="427"/>
      <c r="K569" s="427"/>
      <c r="L569" s="427"/>
      <c r="M569" s="427"/>
      <c r="N569" s="427"/>
      <c r="O569" s="427"/>
      <c r="P569" s="427"/>
      <c r="Q569" s="427"/>
      <c r="R569" s="427"/>
      <c r="S569" s="427"/>
      <c r="T569" s="427"/>
    </row>
    <row r="570" spans="2:20">
      <c r="B570" s="427"/>
      <c r="C570" s="427"/>
      <c r="D570" s="427"/>
      <c r="E570" s="427"/>
      <c r="F570" s="427"/>
      <c r="G570" s="427"/>
      <c r="H570" s="427"/>
      <c r="I570" s="427"/>
      <c r="J570" s="427"/>
      <c r="K570" s="427"/>
      <c r="L570" s="427"/>
      <c r="M570" s="427"/>
      <c r="N570" s="427"/>
      <c r="O570" s="427"/>
      <c r="P570" s="427"/>
      <c r="Q570" s="427"/>
      <c r="R570" s="427"/>
      <c r="S570" s="427"/>
      <c r="T570" s="427"/>
    </row>
    <row r="571" spans="2:20">
      <c r="B571" s="427"/>
      <c r="C571" s="427"/>
      <c r="D571" s="427"/>
      <c r="E571" s="427"/>
      <c r="F571" s="427"/>
      <c r="G571" s="427"/>
      <c r="H571" s="427"/>
      <c r="I571" s="427"/>
      <c r="J571" s="427"/>
      <c r="K571" s="427"/>
      <c r="L571" s="427"/>
      <c r="M571" s="427"/>
      <c r="N571" s="427"/>
      <c r="O571" s="427"/>
      <c r="P571" s="427"/>
      <c r="Q571" s="427"/>
      <c r="R571" s="427"/>
      <c r="S571" s="427"/>
      <c r="T571" s="427"/>
    </row>
    <row r="572" spans="2:20">
      <c r="B572" s="427"/>
      <c r="C572" s="427"/>
      <c r="D572" s="427"/>
      <c r="E572" s="427"/>
      <c r="F572" s="427"/>
      <c r="G572" s="427"/>
      <c r="H572" s="427"/>
      <c r="I572" s="427"/>
      <c r="J572" s="427"/>
      <c r="K572" s="427"/>
      <c r="L572" s="427"/>
      <c r="M572" s="427"/>
      <c r="N572" s="427"/>
      <c r="O572" s="427"/>
      <c r="P572" s="427"/>
      <c r="Q572" s="427"/>
      <c r="R572" s="427"/>
      <c r="S572" s="427"/>
      <c r="T572" s="427"/>
    </row>
    <row r="573" spans="2:20">
      <c r="B573" s="427"/>
      <c r="C573" s="427"/>
      <c r="D573" s="427"/>
      <c r="E573" s="427"/>
      <c r="F573" s="427"/>
      <c r="G573" s="427"/>
      <c r="H573" s="427"/>
      <c r="I573" s="427"/>
      <c r="J573" s="427"/>
      <c r="K573" s="427"/>
      <c r="L573" s="427"/>
      <c r="M573" s="427"/>
      <c r="N573" s="427"/>
      <c r="O573" s="427"/>
      <c r="P573" s="427"/>
      <c r="Q573" s="427"/>
      <c r="R573" s="427"/>
      <c r="S573" s="427"/>
      <c r="T573" s="427"/>
    </row>
    <row r="574" spans="2:20">
      <c r="B574" s="427"/>
      <c r="C574" s="427"/>
      <c r="D574" s="427"/>
      <c r="E574" s="427"/>
      <c r="F574" s="427"/>
      <c r="G574" s="427"/>
      <c r="H574" s="427"/>
      <c r="I574" s="427"/>
      <c r="J574" s="427"/>
      <c r="K574" s="427"/>
      <c r="L574" s="427"/>
      <c r="M574" s="427"/>
      <c r="N574" s="427"/>
      <c r="O574" s="427"/>
      <c r="P574" s="427"/>
      <c r="Q574" s="427"/>
      <c r="R574" s="427"/>
      <c r="S574" s="427"/>
      <c r="T574" s="427"/>
    </row>
    <row r="575" spans="2:20">
      <c r="B575" s="427"/>
      <c r="C575" s="427"/>
      <c r="D575" s="427"/>
      <c r="E575" s="427"/>
      <c r="F575" s="427"/>
      <c r="G575" s="427"/>
      <c r="H575" s="427"/>
      <c r="I575" s="427"/>
      <c r="J575" s="427"/>
      <c r="K575" s="427"/>
      <c r="L575" s="427"/>
      <c r="O575" s="427"/>
      <c r="P575" s="427"/>
      <c r="Q575" s="427"/>
      <c r="R575" s="427"/>
      <c r="S575" s="427"/>
      <c r="T575" s="427"/>
    </row>
    <row r="576" spans="2:20">
      <c r="B576" s="427"/>
      <c r="C576" s="427"/>
      <c r="D576" s="427"/>
      <c r="E576" s="427"/>
      <c r="F576" s="427"/>
      <c r="G576" s="427"/>
      <c r="H576" s="427"/>
      <c r="I576" s="427"/>
      <c r="J576" s="427"/>
      <c r="K576" s="427"/>
      <c r="L576" s="427"/>
      <c r="O576" s="427"/>
      <c r="P576" s="427"/>
      <c r="Q576" s="427"/>
      <c r="R576" s="427"/>
      <c r="S576" s="427"/>
      <c r="T576" s="427"/>
    </row>
    <row r="577" spans="2:20">
      <c r="B577" s="427"/>
      <c r="C577" s="427"/>
      <c r="D577" s="427"/>
      <c r="E577" s="427"/>
      <c r="F577" s="427"/>
      <c r="G577" s="427"/>
      <c r="H577" s="427"/>
      <c r="I577" s="427"/>
      <c r="J577" s="427"/>
      <c r="K577" s="427"/>
      <c r="L577" s="427"/>
      <c r="O577" s="427"/>
      <c r="P577" s="427"/>
      <c r="Q577" s="427"/>
      <c r="R577" s="427"/>
      <c r="S577" s="427"/>
      <c r="T577" s="427"/>
    </row>
    <row r="578" spans="2:20">
      <c r="B578" s="427"/>
      <c r="C578" s="427"/>
      <c r="D578" s="427"/>
      <c r="E578" s="427"/>
      <c r="F578" s="427"/>
      <c r="G578" s="427"/>
      <c r="H578" s="427"/>
      <c r="I578" s="427"/>
      <c r="J578" s="427"/>
      <c r="K578" s="427"/>
      <c r="L578" s="427"/>
      <c r="O578" s="427"/>
      <c r="P578" s="427"/>
      <c r="Q578" s="427"/>
      <c r="R578" s="427"/>
      <c r="S578" s="427"/>
      <c r="T578" s="427"/>
    </row>
    <row r="579" spans="2:20">
      <c r="B579" s="427"/>
      <c r="C579" s="427"/>
      <c r="D579" s="427"/>
      <c r="E579" s="427"/>
      <c r="F579" s="427"/>
      <c r="G579" s="427"/>
      <c r="H579" s="427"/>
      <c r="I579" s="427"/>
      <c r="J579" s="427"/>
      <c r="K579" s="427"/>
      <c r="L579" s="427"/>
      <c r="O579" s="427"/>
      <c r="P579" s="427"/>
      <c r="Q579" s="427"/>
      <c r="R579" s="427"/>
      <c r="S579" s="427"/>
      <c r="T579" s="427"/>
    </row>
    <row r="580" spans="2:20">
      <c r="B580" s="427"/>
      <c r="C580" s="427"/>
      <c r="D580" s="427"/>
      <c r="E580" s="427"/>
      <c r="F580" s="427"/>
      <c r="G580" s="427"/>
      <c r="H580" s="427"/>
      <c r="I580" s="427"/>
      <c r="J580" s="427"/>
      <c r="K580" s="427"/>
      <c r="L580" s="427"/>
      <c r="O580" s="427"/>
      <c r="P580" s="427"/>
      <c r="Q580" s="427"/>
      <c r="R580" s="427"/>
      <c r="S580" s="427"/>
      <c r="T580" s="427"/>
    </row>
    <row r="581" spans="2:20">
      <c r="B581" s="427"/>
      <c r="C581" s="427"/>
      <c r="D581" s="427"/>
      <c r="E581" s="427"/>
      <c r="F581" s="427"/>
      <c r="G581" s="427"/>
      <c r="H581" s="427"/>
      <c r="I581" s="427"/>
      <c r="J581" s="427"/>
      <c r="K581" s="427"/>
      <c r="L581" s="427"/>
      <c r="O581" s="427"/>
      <c r="P581" s="427"/>
      <c r="Q581" s="427"/>
      <c r="R581" s="427"/>
      <c r="S581" s="427"/>
      <c r="T581" s="427"/>
    </row>
    <row r="582" spans="2:20">
      <c r="B582" s="427"/>
      <c r="C582" s="427"/>
      <c r="D582" s="427"/>
      <c r="E582" s="427"/>
      <c r="F582" s="427"/>
      <c r="G582" s="427"/>
      <c r="H582" s="427"/>
      <c r="I582" s="427"/>
      <c r="J582" s="427"/>
      <c r="K582" s="427"/>
      <c r="L582" s="427"/>
      <c r="O582" s="427"/>
      <c r="P582" s="427"/>
      <c r="Q582" s="427"/>
      <c r="R582" s="427"/>
      <c r="S582" s="427"/>
      <c r="T582" s="427"/>
    </row>
    <row r="583" spans="2:20">
      <c r="B583" s="427"/>
      <c r="C583" s="427"/>
      <c r="D583" s="427"/>
      <c r="E583" s="427"/>
      <c r="F583" s="427"/>
      <c r="G583" s="427"/>
      <c r="H583" s="427"/>
      <c r="I583" s="427"/>
      <c r="J583" s="427"/>
      <c r="K583" s="427"/>
      <c r="L583" s="427"/>
      <c r="O583" s="427"/>
      <c r="P583" s="427"/>
      <c r="Q583" s="427"/>
      <c r="R583" s="427"/>
      <c r="S583" s="427"/>
      <c r="T583" s="427"/>
    </row>
    <row r="584" spans="2:20">
      <c r="B584" s="427"/>
      <c r="C584" s="427"/>
      <c r="D584" s="427"/>
      <c r="E584" s="427"/>
      <c r="F584" s="427"/>
      <c r="G584" s="427"/>
      <c r="H584" s="427"/>
      <c r="I584" s="427"/>
      <c r="J584" s="427"/>
      <c r="K584" s="427"/>
      <c r="L584" s="427"/>
      <c r="O584" s="427"/>
      <c r="P584" s="427"/>
      <c r="Q584" s="427"/>
      <c r="R584" s="427"/>
      <c r="S584" s="427"/>
      <c r="T584" s="427"/>
    </row>
    <row r="585" spans="2:20">
      <c r="B585" s="427"/>
      <c r="C585" s="427"/>
      <c r="D585" s="427"/>
      <c r="E585" s="427"/>
      <c r="F585" s="427"/>
      <c r="G585" s="427"/>
      <c r="H585" s="427"/>
      <c r="I585" s="427"/>
      <c r="J585" s="427"/>
      <c r="K585" s="427"/>
      <c r="L585" s="427"/>
      <c r="O585" s="427"/>
      <c r="P585" s="427"/>
      <c r="Q585" s="427"/>
      <c r="R585" s="427"/>
      <c r="S585" s="427"/>
      <c r="T585" s="427"/>
    </row>
    <row r="586" spans="2:20">
      <c r="B586" s="427"/>
      <c r="C586" s="427"/>
      <c r="D586" s="427"/>
      <c r="E586" s="427"/>
      <c r="F586" s="427"/>
      <c r="G586" s="427"/>
      <c r="H586" s="427"/>
      <c r="I586" s="427"/>
      <c r="J586" s="427"/>
      <c r="K586" s="427"/>
      <c r="L586" s="427"/>
      <c r="O586" s="427"/>
      <c r="P586" s="427"/>
      <c r="Q586" s="427"/>
      <c r="R586" s="427"/>
      <c r="S586" s="427"/>
      <c r="T586" s="427"/>
    </row>
    <row r="587" spans="2:20">
      <c r="B587" s="427"/>
      <c r="C587" s="427"/>
      <c r="D587" s="427"/>
      <c r="E587" s="427"/>
      <c r="F587" s="427"/>
      <c r="G587" s="427"/>
      <c r="H587" s="427"/>
      <c r="I587" s="427"/>
      <c r="J587" s="427"/>
      <c r="K587" s="427"/>
      <c r="L587" s="427"/>
      <c r="O587" s="427"/>
      <c r="P587" s="427"/>
      <c r="Q587" s="427"/>
      <c r="R587" s="427"/>
      <c r="S587" s="427"/>
      <c r="T587" s="427"/>
    </row>
    <row r="588" spans="2:20">
      <c r="B588" s="427"/>
      <c r="C588" s="427"/>
      <c r="D588" s="427"/>
      <c r="E588" s="427"/>
      <c r="F588" s="427"/>
      <c r="G588" s="427"/>
      <c r="H588" s="427"/>
      <c r="I588" s="427"/>
      <c r="J588" s="427"/>
      <c r="K588" s="427"/>
      <c r="L588" s="427"/>
      <c r="O588" s="427"/>
      <c r="P588" s="427"/>
      <c r="Q588" s="427"/>
      <c r="R588" s="427"/>
      <c r="S588" s="427"/>
      <c r="T588" s="427"/>
    </row>
    <row r="589" spans="2:20">
      <c r="B589" s="427"/>
      <c r="C589" s="427"/>
      <c r="D589" s="427"/>
      <c r="E589" s="427"/>
      <c r="F589" s="427"/>
      <c r="G589" s="427"/>
      <c r="H589" s="427"/>
      <c r="I589" s="427"/>
      <c r="J589" s="427"/>
      <c r="K589" s="427"/>
      <c r="L589" s="427"/>
      <c r="O589" s="427"/>
      <c r="P589" s="427"/>
      <c r="Q589" s="427"/>
      <c r="R589" s="427"/>
      <c r="S589" s="427"/>
      <c r="T589" s="427"/>
    </row>
    <row r="590" spans="2:20">
      <c r="B590" s="427"/>
      <c r="C590" s="427"/>
      <c r="D590" s="427"/>
      <c r="E590" s="427"/>
      <c r="F590" s="427"/>
      <c r="G590" s="427"/>
      <c r="H590" s="427"/>
      <c r="I590" s="427"/>
      <c r="J590" s="427"/>
      <c r="K590" s="427"/>
      <c r="L590" s="427"/>
      <c r="O590" s="427"/>
      <c r="P590" s="427"/>
      <c r="Q590" s="427"/>
      <c r="R590" s="427"/>
      <c r="S590" s="427"/>
      <c r="T590" s="427"/>
    </row>
    <row r="591" spans="2:20">
      <c r="B591" s="427"/>
      <c r="C591" s="427"/>
      <c r="D591" s="427"/>
      <c r="E591" s="427"/>
      <c r="F591" s="427"/>
      <c r="G591" s="427"/>
      <c r="H591" s="427"/>
      <c r="I591" s="427"/>
      <c r="J591" s="427"/>
      <c r="K591" s="427"/>
      <c r="L591" s="427"/>
      <c r="O591" s="427"/>
      <c r="P591" s="427"/>
      <c r="Q591" s="427"/>
      <c r="R591" s="427"/>
      <c r="S591" s="427"/>
      <c r="T591" s="427"/>
    </row>
    <row r="592" spans="2:20">
      <c r="B592" s="427"/>
      <c r="C592" s="427"/>
      <c r="D592" s="427"/>
      <c r="E592" s="427"/>
      <c r="F592" s="427"/>
      <c r="G592" s="427"/>
      <c r="H592" s="427"/>
      <c r="I592" s="427"/>
      <c r="J592" s="427"/>
      <c r="K592" s="427"/>
      <c r="L592" s="427"/>
      <c r="O592" s="427"/>
      <c r="P592" s="427"/>
      <c r="Q592" s="427"/>
      <c r="R592" s="427"/>
      <c r="S592" s="427"/>
      <c r="T592" s="427"/>
    </row>
    <row r="593" spans="2:20">
      <c r="B593" s="427"/>
      <c r="C593" s="427"/>
      <c r="D593" s="427"/>
      <c r="E593" s="427"/>
      <c r="F593" s="427"/>
      <c r="G593" s="427"/>
      <c r="H593" s="427"/>
      <c r="I593" s="427"/>
      <c r="J593" s="427"/>
      <c r="K593" s="427"/>
      <c r="L593" s="427"/>
      <c r="O593" s="427"/>
      <c r="P593" s="427"/>
      <c r="Q593" s="427"/>
      <c r="R593" s="427"/>
      <c r="S593" s="427"/>
      <c r="T593" s="427"/>
    </row>
    <row r="594" spans="2:20">
      <c r="B594" s="427"/>
      <c r="C594" s="427"/>
      <c r="D594" s="427"/>
      <c r="E594" s="427"/>
      <c r="F594" s="427"/>
      <c r="G594" s="427"/>
      <c r="H594" s="427"/>
      <c r="I594" s="427"/>
      <c r="J594" s="427"/>
      <c r="K594" s="427"/>
      <c r="L594" s="427"/>
      <c r="O594" s="427"/>
      <c r="P594" s="427"/>
      <c r="Q594" s="427"/>
      <c r="R594" s="427"/>
      <c r="S594" s="427"/>
      <c r="T594" s="427"/>
    </row>
    <row r="595" spans="2:20">
      <c r="B595" s="427"/>
      <c r="C595" s="427"/>
      <c r="D595" s="427"/>
      <c r="E595" s="427"/>
      <c r="F595" s="427"/>
      <c r="G595" s="427"/>
      <c r="H595" s="427"/>
      <c r="I595" s="427"/>
      <c r="J595" s="427"/>
      <c r="K595" s="427"/>
      <c r="L595" s="427"/>
      <c r="O595" s="427"/>
      <c r="P595" s="427"/>
      <c r="Q595" s="427"/>
      <c r="R595" s="427"/>
      <c r="S595" s="427"/>
      <c r="T595" s="427"/>
    </row>
    <row r="596" spans="2:20">
      <c r="B596" s="427"/>
      <c r="C596" s="427"/>
      <c r="D596" s="427"/>
      <c r="E596" s="427"/>
      <c r="F596" s="427"/>
      <c r="G596" s="427"/>
      <c r="H596" s="427"/>
      <c r="I596" s="427"/>
      <c r="J596" s="427"/>
      <c r="K596" s="427"/>
      <c r="L596" s="427"/>
      <c r="O596" s="427"/>
      <c r="P596" s="427"/>
      <c r="Q596" s="427"/>
      <c r="R596" s="427"/>
      <c r="S596" s="427"/>
      <c r="T596" s="427"/>
    </row>
    <row r="597" spans="2:20">
      <c r="B597" s="427"/>
      <c r="C597" s="427"/>
      <c r="D597" s="427"/>
      <c r="E597" s="427"/>
      <c r="F597" s="427"/>
      <c r="G597" s="427"/>
      <c r="H597" s="427"/>
      <c r="I597" s="427"/>
      <c r="J597" s="427"/>
      <c r="K597" s="427"/>
      <c r="L597" s="427"/>
      <c r="O597" s="427"/>
      <c r="P597" s="427"/>
      <c r="Q597" s="427"/>
      <c r="R597" s="427"/>
      <c r="S597" s="427"/>
      <c r="T597" s="427"/>
    </row>
    <row r="598" spans="2:20">
      <c r="B598" s="427"/>
      <c r="C598" s="427"/>
      <c r="D598" s="427"/>
      <c r="E598" s="427"/>
      <c r="F598" s="427"/>
      <c r="G598" s="427"/>
      <c r="H598" s="427"/>
      <c r="I598" s="427"/>
      <c r="J598" s="427"/>
      <c r="K598" s="427"/>
      <c r="L598" s="427"/>
      <c r="O598" s="427"/>
      <c r="P598" s="427"/>
      <c r="Q598" s="427"/>
      <c r="R598" s="427"/>
      <c r="S598" s="427"/>
      <c r="T598" s="427"/>
    </row>
    <row r="599" spans="2:20">
      <c r="B599" s="427"/>
      <c r="C599" s="427"/>
      <c r="D599" s="427"/>
      <c r="E599" s="427"/>
      <c r="F599" s="427"/>
      <c r="G599" s="427"/>
      <c r="H599" s="427"/>
      <c r="I599" s="427"/>
      <c r="J599" s="427"/>
      <c r="K599" s="427"/>
      <c r="L599" s="427"/>
      <c r="O599" s="427"/>
      <c r="P599" s="427"/>
      <c r="Q599" s="427"/>
      <c r="R599" s="427"/>
      <c r="S599" s="427"/>
      <c r="T599" s="427"/>
    </row>
    <row r="600" spans="2:20">
      <c r="B600" s="427"/>
      <c r="C600" s="427"/>
      <c r="D600" s="427"/>
      <c r="E600" s="427"/>
      <c r="F600" s="427"/>
      <c r="G600" s="427"/>
      <c r="H600" s="427"/>
      <c r="I600" s="427"/>
      <c r="J600" s="427"/>
      <c r="K600" s="427"/>
      <c r="L600" s="427"/>
      <c r="O600" s="427"/>
      <c r="P600" s="427"/>
      <c r="Q600" s="427"/>
      <c r="R600" s="427"/>
      <c r="S600" s="427"/>
      <c r="T600" s="427"/>
    </row>
    <row r="601" spans="2:20">
      <c r="O601" s="427"/>
      <c r="P601" s="427"/>
      <c r="Q601" s="427"/>
      <c r="R601" s="427"/>
      <c r="S601" s="427"/>
      <c r="T601" s="427"/>
    </row>
    <row r="602" spans="2:20">
      <c r="O602" s="427"/>
      <c r="P602" s="427"/>
      <c r="Q602" s="427"/>
      <c r="R602" s="427"/>
      <c r="S602" s="427"/>
      <c r="T602" s="427"/>
    </row>
    <row r="603" spans="2:20">
      <c r="O603" s="427"/>
      <c r="P603" s="427"/>
      <c r="Q603" s="427"/>
      <c r="R603" s="427"/>
      <c r="S603" s="427"/>
      <c r="T603" s="427"/>
    </row>
    <row r="604" spans="2:20">
      <c r="O604" s="427"/>
      <c r="P604" s="427"/>
      <c r="Q604" s="427"/>
      <c r="R604" s="427"/>
      <c r="S604" s="427"/>
      <c r="T604" s="427"/>
    </row>
  </sheetData>
  <mergeCells count="35">
    <mergeCell ref="B291:K291"/>
    <mergeCell ref="B292:K292"/>
    <mergeCell ref="E294:K294"/>
    <mergeCell ref="B310:K310"/>
    <mergeCell ref="B306:K306"/>
    <mergeCell ref="C274:D274"/>
    <mergeCell ref="E295:K295"/>
    <mergeCell ref="B282:K282"/>
    <mergeCell ref="B283:K283"/>
    <mergeCell ref="B284:K284"/>
    <mergeCell ref="B302:K302"/>
    <mergeCell ref="B303:K303"/>
    <mergeCell ref="B304:K304"/>
    <mergeCell ref="B305:K305"/>
    <mergeCell ref="B297:K297"/>
    <mergeCell ref="B298:K298"/>
    <mergeCell ref="B299:K299"/>
    <mergeCell ref="B300:K300"/>
    <mergeCell ref="B301:K301"/>
    <mergeCell ref="H1:L1"/>
    <mergeCell ref="B307:K307"/>
    <mergeCell ref="B308:K308"/>
    <mergeCell ref="B309:K309"/>
    <mergeCell ref="K139:L139"/>
    <mergeCell ref="J206:K206"/>
    <mergeCell ref="K2:L2"/>
    <mergeCell ref="K73:L73"/>
    <mergeCell ref="B285:K285"/>
    <mergeCell ref="B286:K286"/>
    <mergeCell ref="B287:K287"/>
    <mergeCell ref="B288:K288"/>
    <mergeCell ref="B289:K289"/>
    <mergeCell ref="B296:K296"/>
    <mergeCell ref="B290:K290"/>
    <mergeCell ref="I274:K274"/>
  </mergeCells>
  <phoneticPr fontId="47"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93"/>
  <sheetViews>
    <sheetView showGridLines="0" topLeftCell="A77" zoomScale="75" workbookViewId="0">
      <selection activeCell="G95" sqref="G95"/>
    </sheetView>
  </sheetViews>
  <sheetFormatPr defaultRowHeight="12.75"/>
  <cols>
    <col min="1" max="1" width="9.140625" style="19"/>
    <col min="2" max="3" width="34.7109375" style="24" customWidth="1"/>
    <col min="4" max="4" width="56.85546875" style="25" customWidth="1"/>
    <col min="5" max="5" width="9.140625" style="19"/>
    <col min="6" max="6" width="72.28515625" style="19" customWidth="1"/>
    <col min="7" max="7" width="28.85546875" style="23" customWidth="1"/>
    <col min="8" max="8" width="47.5703125" style="27" customWidth="1"/>
    <col min="9" max="9" width="48.42578125" style="19" customWidth="1"/>
    <col min="10" max="10" width="79.7109375" style="26" customWidth="1"/>
    <col min="11" max="16384" width="9.140625" style="19"/>
  </cols>
  <sheetData>
    <row r="2" spans="2:12" ht="18">
      <c r="B2" s="754" t="s">
        <v>335</v>
      </c>
      <c r="C2" s="756"/>
      <c r="D2" s="756"/>
      <c r="H2" s="754" t="s">
        <v>555</v>
      </c>
      <c r="I2" s="755"/>
      <c r="J2" s="755"/>
    </row>
    <row r="3" spans="2:12" ht="13.5" thickBot="1"/>
    <row r="4" spans="2:12" s="27" customFormat="1" ht="78" customHeight="1" thickBot="1">
      <c r="B4" s="14" t="s">
        <v>454</v>
      </c>
      <c r="C4" s="14" t="s">
        <v>455</v>
      </c>
      <c r="D4" s="14" t="s">
        <v>533</v>
      </c>
      <c r="E4" s="10"/>
      <c r="F4" s="11" t="s">
        <v>394</v>
      </c>
      <c r="G4" s="13" t="s">
        <v>860</v>
      </c>
      <c r="H4" s="15" t="s">
        <v>534</v>
      </c>
      <c r="I4" s="16" t="s">
        <v>535</v>
      </c>
      <c r="J4" s="17" t="s">
        <v>489</v>
      </c>
    </row>
    <row r="5" spans="2:12" ht="19.5" customHeight="1">
      <c r="B5" s="28"/>
      <c r="C5" s="29"/>
      <c r="D5" s="30"/>
      <c r="E5" s="8"/>
      <c r="F5" s="31" t="s">
        <v>395</v>
      </c>
      <c r="G5" s="32"/>
      <c r="H5" s="71"/>
      <c r="I5" s="33"/>
      <c r="J5" s="34"/>
    </row>
    <row r="6" spans="2:12" ht="49.5" customHeight="1">
      <c r="B6" s="35" t="s">
        <v>464</v>
      </c>
      <c r="C6" s="36" t="s">
        <v>456</v>
      </c>
      <c r="D6" s="37" t="s">
        <v>490</v>
      </c>
      <c r="E6" s="8">
        <v>1</v>
      </c>
      <c r="F6" s="38" t="s">
        <v>396</v>
      </c>
      <c r="G6" s="39">
        <v>3832473</v>
      </c>
      <c r="H6" s="70" t="s">
        <v>585</v>
      </c>
      <c r="I6" s="630" t="s">
        <v>899</v>
      </c>
      <c r="J6" s="41"/>
    </row>
    <row r="7" spans="2:12" ht="51" customHeight="1">
      <c r="B7" s="35" t="s">
        <v>465</v>
      </c>
      <c r="C7" s="36" t="s">
        <v>463</v>
      </c>
      <c r="D7" s="37" t="s">
        <v>491</v>
      </c>
      <c r="E7" s="8">
        <v>2</v>
      </c>
      <c r="F7" s="38" t="s">
        <v>397</v>
      </c>
      <c r="G7" s="39">
        <v>710988</v>
      </c>
      <c r="H7" s="70" t="s">
        <v>585</v>
      </c>
      <c r="I7" s="630" t="s">
        <v>899</v>
      </c>
      <c r="J7" s="41"/>
    </row>
    <row r="8" spans="2:12" ht="53.25" customHeight="1">
      <c r="B8" s="35" t="s">
        <v>466</v>
      </c>
      <c r="C8" s="36" t="s">
        <v>457</v>
      </c>
      <c r="D8" s="37" t="s">
        <v>492</v>
      </c>
      <c r="E8" s="8">
        <v>3</v>
      </c>
      <c r="F8" s="38" t="s">
        <v>398</v>
      </c>
      <c r="G8" s="39">
        <v>36058427</v>
      </c>
      <c r="H8" s="70" t="s">
        <v>585</v>
      </c>
      <c r="I8" s="630" t="s">
        <v>899</v>
      </c>
      <c r="J8" s="41"/>
    </row>
    <row r="9" spans="2:12" ht="60" customHeight="1">
      <c r="B9" s="35" t="s">
        <v>467</v>
      </c>
      <c r="C9" s="36" t="s">
        <v>484</v>
      </c>
      <c r="D9" s="37" t="s">
        <v>493</v>
      </c>
      <c r="E9" s="8">
        <v>4</v>
      </c>
      <c r="F9" s="38" t="s">
        <v>399</v>
      </c>
      <c r="G9" s="39">
        <v>6058878</v>
      </c>
      <c r="H9" s="70" t="s">
        <v>585</v>
      </c>
      <c r="I9" s="630" t="s">
        <v>900</v>
      </c>
      <c r="J9" s="41"/>
    </row>
    <row r="10" spans="2:12" ht="19.5" customHeight="1">
      <c r="B10" s="35" t="s">
        <v>468</v>
      </c>
      <c r="C10" s="36" t="s">
        <v>485</v>
      </c>
      <c r="D10" s="37"/>
      <c r="E10" s="8">
        <v>5</v>
      </c>
      <c r="F10" s="38" t="s">
        <v>400</v>
      </c>
      <c r="G10" s="43"/>
      <c r="H10" s="70"/>
      <c r="I10" s="42"/>
      <c r="J10" s="41"/>
    </row>
    <row r="11" spans="2:12" ht="19.5" customHeight="1">
      <c r="B11" s="44"/>
      <c r="C11" s="45"/>
      <c r="D11" s="37"/>
      <c r="E11" s="8"/>
      <c r="F11" s="38" t="s">
        <v>427</v>
      </c>
      <c r="G11" s="12">
        <f>SUM(G6:G10)</f>
        <v>46660766</v>
      </c>
      <c r="H11" s="70"/>
      <c r="I11" s="42"/>
      <c r="J11" s="41"/>
    </row>
    <row r="12" spans="2:12" ht="19.5" customHeight="1">
      <c r="B12" s="46"/>
      <c r="C12" s="47"/>
      <c r="D12" s="48"/>
      <c r="E12" s="8"/>
      <c r="F12" s="49" t="s">
        <v>452</v>
      </c>
      <c r="G12" s="12"/>
      <c r="H12" s="71"/>
      <c r="I12" s="33"/>
      <c r="J12" s="34"/>
    </row>
    <row r="13" spans="2:12" ht="19.5" customHeight="1">
      <c r="B13" s="44"/>
      <c r="C13" s="45"/>
      <c r="D13" s="37"/>
      <c r="E13" s="8">
        <v>6</v>
      </c>
      <c r="F13" s="50" t="s">
        <v>396</v>
      </c>
      <c r="G13" s="43"/>
      <c r="H13" s="70"/>
      <c r="I13" s="51"/>
      <c r="J13" s="52"/>
      <c r="K13" s="53"/>
      <c r="L13" s="53"/>
    </row>
    <row r="14" spans="2:12" ht="19.5" customHeight="1">
      <c r="B14" s="44"/>
      <c r="C14" s="45"/>
      <c r="D14" s="37"/>
      <c r="E14" s="8">
        <v>7</v>
      </c>
      <c r="F14" s="50" t="s">
        <v>397</v>
      </c>
      <c r="G14" s="43">
        <v>0</v>
      </c>
      <c r="H14" s="70"/>
      <c r="I14" s="42"/>
      <c r="J14" s="41"/>
    </row>
    <row r="15" spans="2:12" ht="19.5" customHeight="1">
      <c r="B15" s="44"/>
      <c r="C15" s="45"/>
      <c r="D15" s="37"/>
      <c r="E15" s="8">
        <v>8</v>
      </c>
      <c r="F15" s="50" t="s">
        <v>398</v>
      </c>
      <c r="G15" s="43">
        <v>205329</v>
      </c>
      <c r="H15" s="70"/>
      <c r="I15" s="42"/>
      <c r="J15" s="41"/>
    </row>
    <row r="16" spans="2:12" ht="19.5" customHeight="1">
      <c r="B16" s="44"/>
      <c r="C16" s="45"/>
      <c r="D16" s="37"/>
      <c r="E16" s="8">
        <v>9</v>
      </c>
      <c r="F16" s="50" t="s">
        <v>399</v>
      </c>
      <c r="G16" s="43">
        <v>0</v>
      </c>
      <c r="H16" s="70"/>
      <c r="I16" s="42"/>
      <c r="J16" s="41"/>
    </row>
    <row r="17" spans="2:10" ht="19.5" customHeight="1">
      <c r="B17" s="44"/>
      <c r="C17" s="45"/>
      <c r="D17" s="37"/>
      <c r="E17" s="8">
        <v>10</v>
      </c>
      <c r="F17" s="50" t="s">
        <v>400</v>
      </c>
      <c r="G17" s="43">
        <v>0</v>
      </c>
      <c r="H17" s="70"/>
      <c r="I17" s="42"/>
      <c r="J17" s="41"/>
    </row>
    <row r="18" spans="2:10" ht="19.5" customHeight="1">
      <c r="B18" s="44"/>
      <c r="C18" s="45"/>
      <c r="D18" s="37"/>
      <c r="E18" s="8"/>
      <c r="F18" s="50" t="s">
        <v>427</v>
      </c>
      <c r="G18" s="12">
        <f>SUM(G13:G17)</f>
        <v>205329</v>
      </c>
      <c r="H18" s="628" t="s">
        <v>669</v>
      </c>
      <c r="I18" s="42"/>
      <c r="J18" s="41"/>
    </row>
    <row r="19" spans="2:10" ht="19.5" customHeight="1">
      <c r="B19" s="46"/>
      <c r="C19" s="47"/>
      <c r="D19" s="48"/>
      <c r="E19" s="8"/>
      <c r="F19" s="31" t="s">
        <v>428</v>
      </c>
      <c r="G19" s="627" t="s">
        <v>669</v>
      </c>
      <c r="H19" s="71"/>
      <c r="I19" s="33"/>
      <c r="J19" s="34"/>
    </row>
    <row r="20" spans="2:10" ht="50.25" customHeight="1">
      <c r="B20" s="35" t="s">
        <v>540</v>
      </c>
      <c r="C20" s="36" t="s">
        <v>494</v>
      </c>
      <c r="D20" s="37"/>
      <c r="E20" s="8">
        <v>11</v>
      </c>
      <c r="F20" s="38" t="s">
        <v>396</v>
      </c>
      <c r="G20" s="668">
        <v>2079395</v>
      </c>
      <c r="H20" s="70" t="s">
        <v>585</v>
      </c>
      <c r="I20" s="630" t="s">
        <v>888</v>
      </c>
      <c r="J20" s="41"/>
    </row>
    <row r="21" spans="2:10" ht="46.5" customHeight="1">
      <c r="B21" s="35" t="s">
        <v>540</v>
      </c>
      <c r="C21" s="36" t="s">
        <v>495</v>
      </c>
      <c r="D21" s="37"/>
      <c r="E21" s="8">
        <v>12</v>
      </c>
      <c r="F21" s="38" t="s">
        <v>397</v>
      </c>
      <c r="G21" s="668">
        <v>242228</v>
      </c>
      <c r="H21" s="70" t="s">
        <v>585</v>
      </c>
      <c r="I21" s="630" t="s">
        <v>888</v>
      </c>
      <c r="J21" s="41"/>
    </row>
    <row r="22" spans="2:10" ht="46.5" customHeight="1">
      <c r="B22" s="35" t="s">
        <v>540</v>
      </c>
      <c r="C22" s="36" t="s">
        <v>458</v>
      </c>
      <c r="D22" s="37"/>
      <c r="E22" s="8">
        <v>13</v>
      </c>
      <c r="F22" s="38" t="s">
        <v>398</v>
      </c>
      <c r="G22" s="668">
        <v>14998501</v>
      </c>
      <c r="H22" s="70" t="s">
        <v>585</v>
      </c>
      <c r="I22" s="630" t="s">
        <v>888</v>
      </c>
      <c r="J22" s="41"/>
    </row>
    <row r="23" spans="2:10" ht="46.5" customHeight="1">
      <c r="B23" s="35" t="s">
        <v>540</v>
      </c>
      <c r="C23" s="36" t="s">
        <v>461</v>
      </c>
      <c r="D23" s="37"/>
      <c r="E23" s="8">
        <v>14</v>
      </c>
      <c r="F23" s="38" t="s">
        <v>399</v>
      </c>
      <c r="G23" s="668">
        <v>2717926</v>
      </c>
      <c r="H23" s="70" t="s">
        <v>585</v>
      </c>
      <c r="I23" s="630" t="s">
        <v>888</v>
      </c>
      <c r="J23" s="41"/>
    </row>
    <row r="24" spans="2:10" ht="19.5" customHeight="1">
      <c r="B24" s="35" t="s">
        <v>540</v>
      </c>
      <c r="C24" s="36" t="s">
        <v>496</v>
      </c>
      <c r="D24" s="37"/>
      <c r="E24" s="8">
        <v>15</v>
      </c>
      <c r="F24" s="38" t="s">
        <v>400</v>
      </c>
      <c r="G24" s="43"/>
      <c r="H24" s="70"/>
      <c r="I24" s="42"/>
      <c r="J24" s="41"/>
    </row>
    <row r="25" spans="2:10" ht="19.5" customHeight="1">
      <c r="B25" s="46"/>
      <c r="C25" s="47"/>
      <c r="D25" s="48"/>
      <c r="E25" s="8"/>
      <c r="F25" s="31" t="s">
        <v>429</v>
      </c>
      <c r="G25" s="627" t="s">
        <v>669</v>
      </c>
      <c r="H25" s="71"/>
      <c r="I25" s="33"/>
      <c r="J25" s="34"/>
    </row>
    <row r="26" spans="2:10" ht="19.5" customHeight="1">
      <c r="B26" s="35" t="s">
        <v>540</v>
      </c>
      <c r="C26" s="36" t="s">
        <v>497</v>
      </c>
      <c r="D26" s="37"/>
      <c r="E26" s="8">
        <v>16</v>
      </c>
      <c r="F26" s="38" t="s">
        <v>396</v>
      </c>
      <c r="G26" s="12">
        <f>G6+G13-G20</f>
        <v>1753078</v>
      </c>
      <c r="H26" s="70"/>
      <c r="I26" s="42"/>
      <c r="J26" s="41"/>
    </row>
    <row r="27" spans="2:10" ht="19.5" customHeight="1">
      <c r="B27" s="35" t="s">
        <v>540</v>
      </c>
      <c r="C27" s="36" t="s">
        <v>498</v>
      </c>
      <c r="D27" s="37"/>
      <c r="E27" s="8">
        <v>17</v>
      </c>
      <c r="F27" s="38" t="s">
        <v>397</v>
      </c>
      <c r="G27" s="12">
        <f>G7+G14-G21</f>
        <v>468760</v>
      </c>
      <c r="H27" s="70"/>
      <c r="I27" s="42"/>
      <c r="J27" s="41"/>
    </row>
    <row r="28" spans="2:10" ht="19.5" customHeight="1">
      <c r="B28" s="35" t="s">
        <v>540</v>
      </c>
      <c r="C28" s="36" t="s">
        <v>459</v>
      </c>
      <c r="D28" s="37"/>
      <c r="E28" s="8">
        <v>18</v>
      </c>
      <c r="F28" s="38" t="s">
        <v>398</v>
      </c>
      <c r="G28" s="12">
        <f>G8+G15-G22</f>
        <v>21265255</v>
      </c>
      <c r="H28" s="70"/>
      <c r="I28" s="42"/>
      <c r="J28" s="41"/>
    </row>
    <row r="29" spans="2:10" ht="19.5" customHeight="1">
      <c r="B29" s="35" t="s">
        <v>540</v>
      </c>
      <c r="C29" s="36" t="s">
        <v>499</v>
      </c>
      <c r="D29" s="37"/>
      <c r="E29" s="8">
        <v>19</v>
      </c>
      <c r="F29" s="38" t="s">
        <v>399</v>
      </c>
      <c r="G29" s="12">
        <f>G9+G16-G23</f>
        <v>3340952</v>
      </c>
      <c r="H29" s="70"/>
      <c r="I29" s="42"/>
      <c r="J29" s="41" t="s">
        <v>669</v>
      </c>
    </row>
    <row r="30" spans="2:10" ht="19.5" customHeight="1">
      <c r="B30" s="35" t="s">
        <v>540</v>
      </c>
      <c r="C30" s="36" t="s">
        <v>460</v>
      </c>
      <c r="D30" s="37"/>
      <c r="E30" s="8">
        <v>20</v>
      </c>
      <c r="F30" s="38" t="s">
        <v>400</v>
      </c>
      <c r="G30" s="12">
        <f>G10+G17-G24</f>
        <v>0</v>
      </c>
      <c r="H30" s="70"/>
      <c r="I30" s="42"/>
      <c r="J30" s="41"/>
    </row>
    <row r="31" spans="2:10" ht="19.5" customHeight="1">
      <c r="B31" s="44"/>
      <c r="C31" s="45"/>
      <c r="D31" s="37"/>
      <c r="E31" s="8"/>
      <c r="F31" s="38" t="s">
        <v>427</v>
      </c>
      <c r="G31" s="12">
        <f>SUM(G26:G30)</f>
        <v>26828045</v>
      </c>
      <c r="H31" s="70"/>
      <c r="I31" s="42"/>
      <c r="J31" s="41"/>
    </row>
    <row r="32" spans="2:10" ht="19.5" customHeight="1">
      <c r="B32" s="46"/>
      <c r="C32" s="47"/>
      <c r="D32" s="48"/>
      <c r="E32" s="8"/>
      <c r="F32" s="31" t="s">
        <v>395</v>
      </c>
      <c r="G32" s="12"/>
      <c r="H32" s="71"/>
      <c r="I32" s="33"/>
      <c r="J32" s="34"/>
    </row>
    <row r="33" spans="2:10" ht="19.5" customHeight="1">
      <c r="B33" s="35" t="s">
        <v>469</v>
      </c>
      <c r="C33" s="36" t="s">
        <v>532</v>
      </c>
      <c r="D33" s="37"/>
      <c r="E33" s="8">
        <v>16</v>
      </c>
      <c r="F33" s="38" t="s">
        <v>401</v>
      </c>
      <c r="G33" s="12">
        <f>G11</f>
        <v>46660766</v>
      </c>
      <c r="H33" s="70"/>
      <c r="I33" s="42"/>
      <c r="J33" s="41"/>
    </row>
    <row r="34" spans="2:10" ht="19.5" customHeight="1">
      <c r="B34" s="35" t="s">
        <v>471</v>
      </c>
      <c r="C34" s="36" t="s">
        <v>531</v>
      </c>
      <c r="D34" s="37"/>
      <c r="E34" s="8">
        <v>17</v>
      </c>
      <c r="F34" s="38" t="s">
        <v>402</v>
      </c>
      <c r="G34" s="43">
        <v>0</v>
      </c>
      <c r="H34" s="70"/>
      <c r="I34" s="42"/>
      <c r="J34" s="41"/>
    </row>
    <row r="35" spans="2:10" ht="19.5" customHeight="1">
      <c r="B35" s="44"/>
      <c r="C35" s="45"/>
      <c r="D35" s="37"/>
      <c r="E35" s="8">
        <v>18</v>
      </c>
      <c r="F35" s="50" t="s">
        <v>430</v>
      </c>
      <c r="G35" s="43">
        <v>0</v>
      </c>
      <c r="H35" s="70"/>
      <c r="I35" s="42"/>
      <c r="J35" s="41"/>
    </row>
    <row r="36" spans="2:10" ht="19.5" customHeight="1">
      <c r="B36" s="44"/>
      <c r="C36" s="45"/>
      <c r="D36" s="37"/>
      <c r="E36" s="8"/>
      <c r="F36" s="38" t="s">
        <v>431</v>
      </c>
      <c r="G36" s="43">
        <v>0</v>
      </c>
      <c r="H36" s="70"/>
      <c r="I36" s="42"/>
      <c r="J36" s="41"/>
    </row>
    <row r="37" spans="2:10" ht="19.5" customHeight="1">
      <c r="B37" s="35" t="s">
        <v>470</v>
      </c>
      <c r="C37" s="36" t="s">
        <v>530</v>
      </c>
      <c r="D37" s="37"/>
      <c r="E37" s="8">
        <v>19</v>
      </c>
      <c r="F37" s="38" t="s">
        <v>403</v>
      </c>
      <c r="G37" s="43">
        <v>0</v>
      </c>
      <c r="H37" s="70"/>
      <c r="I37" s="42"/>
      <c r="J37" s="41"/>
    </row>
    <row r="38" spans="2:10" ht="19.5" customHeight="1">
      <c r="B38" s="44"/>
      <c r="C38" s="45"/>
      <c r="D38" s="37"/>
      <c r="E38" s="8">
        <v>20</v>
      </c>
      <c r="F38" s="50" t="s">
        <v>432</v>
      </c>
      <c r="G38" s="43">
        <v>0</v>
      </c>
      <c r="H38" s="70"/>
      <c r="I38" s="42"/>
      <c r="J38" s="41"/>
    </row>
    <row r="39" spans="2:10" ht="19.5" customHeight="1">
      <c r="B39" s="35"/>
      <c r="C39" s="36"/>
      <c r="D39" s="37"/>
      <c r="E39" s="8"/>
      <c r="F39" s="38" t="s">
        <v>433</v>
      </c>
      <c r="G39" s="12">
        <f>SUM(G37:G38)</f>
        <v>0</v>
      </c>
      <c r="H39" s="70"/>
      <c r="I39" s="42"/>
      <c r="J39" s="41"/>
    </row>
    <row r="40" spans="2:10" ht="19.5" customHeight="1">
      <c r="B40" s="44"/>
      <c r="C40" s="45"/>
      <c r="D40" s="37"/>
      <c r="E40" s="8"/>
      <c r="F40" s="38" t="s">
        <v>453</v>
      </c>
      <c r="G40" s="12">
        <f>G39+G36+G33</f>
        <v>46660766</v>
      </c>
      <c r="H40" s="70"/>
      <c r="I40" s="42"/>
      <c r="J40" s="41"/>
    </row>
    <row r="41" spans="2:10" ht="48.75" customHeight="1">
      <c r="B41" s="35" t="s">
        <v>540</v>
      </c>
      <c r="C41" s="36" t="s">
        <v>505</v>
      </c>
      <c r="D41" s="37" t="s">
        <v>506</v>
      </c>
      <c r="E41" s="8">
        <v>21</v>
      </c>
      <c r="F41" s="38" t="s">
        <v>434</v>
      </c>
      <c r="G41" s="43">
        <v>0</v>
      </c>
      <c r="H41" s="70"/>
      <c r="I41" s="40"/>
      <c r="J41" s="41"/>
    </row>
    <row r="42" spans="2:10" ht="19.5" customHeight="1">
      <c r="B42" s="35" t="s">
        <v>540</v>
      </c>
      <c r="C42" s="36" t="s">
        <v>504</v>
      </c>
      <c r="D42" s="37"/>
      <c r="E42" s="8">
        <v>22</v>
      </c>
      <c r="F42" s="38" t="s">
        <v>435</v>
      </c>
      <c r="G42" s="43">
        <v>0</v>
      </c>
      <c r="H42" s="70"/>
      <c r="I42" s="42"/>
      <c r="J42" s="41"/>
    </row>
    <row r="43" spans="2:10" ht="19.5" customHeight="1">
      <c r="B43" s="35" t="s">
        <v>540</v>
      </c>
      <c r="C43" s="36" t="s">
        <v>507</v>
      </c>
      <c r="D43" s="37"/>
      <c r="E43" s="8">
        <v>23</v>
      </c>
      <c r="F43" s="38" t="s">
        <v>436</v>
      </c>
      <c r="G43" s="43">
        <v>0</v>
      </c>
      <c r="H43" s="70"/>
      <c r="I43" s="42"/>
      <c r="J43" s="41"/>
    </row>
    <row r="44" spans="2:10" ht="42.75" customHeight="1">
      <c r="B44" s="35" t="s">
        <v>540</v>
      </c>
      <c r="C44" s="36" t="s">
        <v>508</v>
      </c>
      <c r="D44" s="37" t="s">
        <v>509</v>
      </c>
      <c r="E44" s="8">
        <v>24</v>
      </c>
      <c r="F44" s="38" t="s">
        <v>437</v>
      </c>
      <c r="G44" s="43">
        <v>175687</v>
      </c>
      <c r="H44" s="70" t="s">
        <v>556</v>
      </c>
      <c r="I44" s="630" t="s">
        <v>889</v>
      </c>
      <c r="J44" s="41"/>
    </row>
    <row r="45" spans="2:10" ht="68.25" customHeight="1">
      <c r="B45" s="35" t="s">
        <v>472</v>
      </c>
      <c r="C45" s="36" t="s">
        <v>522</v>
      </c>
      <c r="D45" s="37" t="s">
        <v>536</v>
      </c>
      <c r="E45" s="8">
        <v>25</v>
      </c>
      <c r="F45" s="38" t="s">
        <v>404</v>
      </c>
      <c r="G45" s="631">
        <f>'ERS4_Debt Detail'!I50</f>
        <v>6005432</v>
      </c>
      <c r="H45" s="70" t="s">
        <v>556</v>
      </c>
      <c r="I45" s="630" t="s">
        <v>890</v>
      </c>
      <c r="J45" s="41"/>
    </row>
    <row r="46" spans="2:10" ht="47.25" customHeight="1">
      <c r="B46" s="35" t="s">
        <v>540</v>
      </c>
      <c r="C46" s="36" t="s">
        <v>524</v>
      </c>
      <c r="D46" s="37" t="s">
        <v>525</v>
      </c>
      <c r="E46" s="8">
        <v>26</v>
      </c>
      <c r="F46" s="38" t="s">
        <v>523</v>
      </c>
      <c r="G46" s="43">
        <v>32969053</v>
      </c>
      <c r="H46" s="70" t="s">
        <v>556</v>
      </c>
      <c r="I46" s="630" t="s">
        <v>891</v>
      </c>
      <c r="J46" s="41"/>
    </row>
    <row r="47" spans="2:10" ht="19.5" customHeight="1">
      <c r="B47" s="46"/>
      <c r="C47" s="47"/>
      <c r="D47" s="48"/>
      <c r="E47" s="8"/>
      <c r="F47" s="5" t="s">
        <v>405</v>
      </c>
      <c r="G47" s="12"/>
      <c r="H47" s="71"/>
      <c r="I47" s="33"/>
      <c r="J47" s="34"/>
    </row>
    <row r="48" spans="2:10" ht="54.75" customHeight="1">
      <c r="B48" s="35" t="s">
        <v>456</v>
      </c>
      <c r="C48" s="36" t="s">
        <v>464</v>
      </c>
      <c r="D48" s="37" t="s">
        <v>510</v>
      </c>
      <c r="E48" s="8">
        <v>27</v>
      </c>
      <c r="F48" s="38" t="s">
        <v>406</v>
      </c>
      <c r="G48" s="39">
        <v>0</v>
      </c>
      <c r="H48" s="70"/>
      <c r="I48" s="40"/>
      <c r="J48" s="41"/>
    </row>
    <row r="49" spans="2:10" ht="75.75" customHeight="1">
      <c r="B49" s="35" t="s">
        <v>457</v>
      </c>
      <c r="C49" s="54" t="s">
        <v>466</v>
      </c>
      <c r="D49" s="37" t="s">
        <v>511</v>
      </c>
      <c r="E49" s="8">
        <v>28</v>
      </c>
      <c r="F49" s="38" t="s">
        <v>407</v>
      </c>
      <c r="G49" s="39">
        <v>2497171</v>
      </c>
      <c r="H49" s="70" t="s">
        <v>556</v>
      </c>
      <c r="I49" s="630" t="s">
        <v>892</v>
      </c>
      <c r="J49" s="41"/>
    </row>
    <row r="50" spans="2:10" ht="55.5" customHeight="1">
      <c r="B50" s="35" t="s">
        <v>458</v>
      </c>
      <c r="C50" s="54" t="s">
        <v>540</v>
      </c>
      <c r="D50" s="37" t="s">
        <v>473</v>
      </c>
      <c r="E50" s="8">
        <v>29</v>
      </c>
      <c r="F50" s="38" t="s">
        <v>408</v>
      </c>
      <c r="G50" s="631">
        <f>'ERS4_Debt Detail'!F41</f>
        <v>175123</v>
      </c>
      <c r="H50" s="170" t="s">
        <v>595</v>
      </c>
      <c r="I50" s="630" t="s">
        <v>901</v>
      </c>
      <c r="J50" s="41"/>
    </row>
    <row r="51" spans="2:10" ht="19.5" customHeight="1">
      <c r="B51" s="35" t="s">
        <v>540</v>
      </c>
      <c r="C51" s="54" t="s">
        <v>512</v>
      </c>
      <c r="D51" s="37"/>
      <c r="E51" s="8">
        <v>30</v>
      </c>
      <c r="F51" s="38" t="s">
        <v>438</v>
      </c>
      <c r="G51" s="43">
        <v>0</v>
      </c>
      <c r="H51" s="70"/>
      <c r="I51" s="42"/>
      <c r="J51" s="41"/>
    </row>
    <row r="52" spans="2:10" ht="19.5" customHeight="1">
      <c r="B52" s="35" t="s">
        <v>459</v>
      </c>
      <c r="C52" s="54" t="s">
        <v>513</v>
      </c>
      <c r="D52" s="37"/>
      <c r="E52" s="8">
        <v>31</v>
      </c>
      <c r="F52" s="38" t="s">
        <v>409</v>
      </c>
      <c r="G52" s="43">
        <v>0</v>
      </c>
      <c r="H52" s="70"/>
      <c r="I52" s="42"/>
      <c r="J52" s="41"/>
    </row>
    <row r="53" spans="2:10" ht="108" customHeight="1">
      <c r="B53" s="35" t="s">
        <v>544</v>
      </c>
      <c r="C53" s="54" t="s">
        <v>479</v>
      </c>
      <c r="D53" s="37"/>
      <c r="E53" s="8">
        <v>32</v>
      </c>
      <c r="F53" s="38" t="s">
        <v>543</v>
      </c>
      <c r="G53" s="39">
        <v>797835</v>
      </c>
      <c r="H53" s="99"/>
      <c r="I53" s="630" t="s">
        <v>893</v>
      </c>
      <c r="J53" s="41"/>
    </row>
    <row r="54" spans="2:10" ht="63.75" customHeight="1">
      <c r="B54" s="35" t="s">
        <v>540</v>
      </c>
      <c r="C54" s="54" t="s">
        <v>487</v>
      </c>
      <c r="D54" s="37"/>
      <c r="E54" s="8">
        <v>33</v>
      </c>
      <c r="F54" s="38" t="s">
        <v>537</v>
      </c>
      <c r="G54" s="631">
        <f>ERS3_Depreciation!G11</f>
        <v>22081</v>
      </c>
      <c r="H54" s="170" t="s">
        <v>586</v>
      </c>
      <c r="I54" s="630" t="s">
        <v>894</v>
      </c>
      <c r="J54" s="41"/>
    </row>
    <row r="55" spans="2:10" ht="67.5" customHeight="1">
      <c r="B55" s="35" t="s">
        <v>540</v>
      </c>
      <c r="C55" s="54" t="s">
        <v>541</v>
      </c>
      <c r="D55" s="37"/>
      <c r="E55" s="8">
        <v>34</v>
      </c>
      <c r="F55" s="38" t="s">
        <v>538</v>
      </c>
      <c r="G55" s="631">
        <f>ERS3_Depreciation!G13</f>
        <v>314674</v>
      </c>
      <c r="H55" s="170" t="s">
        <v>586</v>
      </c>
      <c r="I55" s="630" t="s">
        <v>894</v>
      </c>
      <c r="J55" s="41"/>
    </row>
    <row r="56" spans="2:10" ht="19.5" customHeight="1">
      <c r="B56" s="35" t="s">
        <v>540</v>
      </c>
      <c r="C56" s="54" t="s">
        <v>542</v>
      </c>
      <c r="D56" s="37"/>
      <c r="E56" s="8">
        <v>35</v>
      </c>
      <c r="F56" s="38" t="s">
        <v>539</v>
      </c>
      <c r="G56" s="43"/>
      <c r="H56" s="70"/>
      <c r="I56" s="42"/>
      <c r="J56" s="41"/>
    </row>
    <row r="57" spans="2:10" ht="19.5" customHeight="1">
      <c r="B57" s="35" t="s">
        <v>458</v>
      </c>
      <c r="C57" s="54" t="s">
        <v>540</v>
      </c>
      <c r="D57" s="37"/>
      <c r="E57" s="8"/>
      <c r="F57" s="38" t="s">
        <v>439</v>
      </c>
      <c r="G57" s="55" t="s">
        <v>669</v>
      </c>
      <c r="H57" s="70"/>
      <c r="I57" s="42"/>
      <c r="J57" s="41"/>
    </row>
    <row r="58" spans="2:10" ht="71.25" customHeight="1">
      <c r="B58" s="35" t="s">
        <v>458</v>
      </c>
      <c r="C58" s="54" t="s">
        <v>540</v>
      </c>
      <c r="D58" s="37"/>
      <c r="E58" s="8">
        <v>36</v>
      </c>
      <c r="F58" s="38" t="s">
        <v>440</v>
      </c>
      <c r="G58" s="631">
        <f>'ERS4_Debt Detail'!E50</f>
        <v>862353</v>
      </c>
      <c r="H58" s="170" t="s">
        <v>595</v>
      </c>
      <c r="I58" s="630" t="s">
        <v>895</v>
      </c>
      <c r="J58" s="41"/>
    </row>
    <row r="59" spans="2:10" ht="30" customHeight="1">
      <c r="B59" s="56" t="s">
        <v>474</v>
      </c>
      <c r="C59" s="54" t="s">
        <v>521</v>
      </c>
      <c r="D59" s="37" t="s">
        <v>473</v>
      </c>
      <c r="E59" s="8">
        <v>37</v>
      </c>
      <c r="F59" s="38" t="s">
        <v>441</v>
      </c>
      <c r="G59" s="43">
        <f>G50</f>
        <v>175123</v>
      </c>
      <c r="H59" s="70"/>
      <c r="I59" s="42"/>
      <c r="J59" s="41"/>
    </row>
    <row r="60" spans="2:10" ht="19.5" customHeight="1">
      <c r="B60" s="35" t="s">
        <v>458</v>
      </c>
      <c r="C60" s="54" t="s">
        <v>540</v>
      </c>
      <c r="D60" s="37"/>
      <c r="E60" s="8">
        <v>38</v>
      </c>
      <c r="F60" s="38" t="s">
        <v>410</v>
      </c>
      <c r="G60" s="39">
        <v>0</v>
      </c>
      <c r="H60" s="70"/>
      <c r="I60" s="42"/>
      <c r="J60" s="41"/>
    </row>
    <row r="61" spans="2:10" ht="56.25" customHeight="1">
      <c r="B61" s="35" t="s">
        <v>461</v>
      </c>
      <c r="C61" s="54" t="s">
        <v>540</v>
      </c>
      <c r="D61" s="37"/>
      <c r="E61" s="8">
        <v>39</v>
      </c>
      <c r="F61" s="38" t="s">
        <v>411</v>
      </c>
      <c r="G61" s="39">
        <v>14863</v>
      </c>
      <c r="H61" s="70" t="s">
        <v>557</v>
      </c>
      <c r="I61" s="630" t="s">
        <v>896</v>
      </c>
      <c r="J61" s="41"/>
    </row>
    <row r="62" spans="2:10" ht="19.5" customHeight="1">
      <c r="B62" s="35" t="s">
        <v>462</v>
      </c>
      <c r="C62" s="54" t="s">
        <v>540</v>
      </c>
      <c r="D62" s="37"/>
      <c r="E62" s="8">
        <v>40</v>
      </c>
      <c r="F62" s="38" t="s">
        <v>412</v>
      </c>
      <c r="G62" s="12" t="s">
        <v>669</v>
      </c>
      <c r="H62" s="70"/>
      <c r="I62" s="42"/>
      <c r="J62" s="41"/>
    </row>
    <row r="63" spans="2:10" ht="19.5" customHeight="1">
      <c r="B63" s="57"/>
      <c r="C63" s="47"/>
      <c r="D63" s="48"/>
      <c r="E63" s="8"/>
      <c r="F63" s="5" t="s">
        <v>413</v>
      </c>
      <c r="G63" s="12"/>
      <c r="H63" s="71"/>
      <c r="I63" s="33"/>
      <c r="J63" s="34"/>
    </row>
    <row r="64" spans="2:10" ht="19.5" customHeight="1">
      <c r="B64" s="35" t="s">
        <v>540</v>
      </c>
      <c r="C64" s="36" t="s">
        <v>508</v>
      </c>
      <c r="D64" s="37"/>
      <c r="E64" s="8">
        <v>40</v>
      </c>
      <c r="F64" s="38" t="s">
        <v>442</v>
      </c>
      <c r="G64" s="12">
        <f>G44</f>
        <v>175687</v>
      </c>
      <c r="H64" s="70"/>
      <c r="I64" s="42"/>
      <c r="J64" s="41"/>
    </row>
    <row r="65" spans="2:10" ht="19.5" customHeight="1">
      <c r="B65" s="35" t="s">
        <v>540</v>
      </c>
      <c r="C65" s="36" t="s">
        <v>502</v>
      </c>
      <c r="D65" s="37"/>
      <c r="E65" s="8">
        <v>41</v>
      </c>
      <c r="F65" s="38" t="s">
        <v>443</v>
      </c>
      <c r="G65" s="43">
        <v>0</v>
      </c>
      <c r="H65" s="70"/>
      <c r="I65" s="42"/>
      <c r="J65" s="41"/>
    </row>
    <row r="66" spans="2:10" ht="19.5" customHeight="1">
      <c r="B66" s="35" t="s">
        <v>540</v>
      </c>
      <c r="C66" s="36" t="s">
        <v>503</v>
      </c>
      <c r="D66" s="37"/>
      <c r="E66" s="8">
        <v>42</v>
      </c>
      <c r="F66" s="38" t="s">
        <v>444</v>
      </c>
      <c r="G66" s="43">
        <v>0</v>
      </c>
      <c r="H66" s="70"/>
      <c r="I66" s="42"/>
      <c r="J66" s="41"/>
    </row>
    <row r="67" spans="2:10" ht="19.5" customHeight="1">
      <c r="B67" s="35" t="s">
        <v>540</v>
      </c>
      <c r="C67" s="36" t="s">
        <v>500</v>
      </c>
      <c r="D67" s="37"/>
      <c r="E67" s="8">
        <v>43</v>
      </c>
      <c r="F67" s="38" t="s">
        <v>445</v>
      </c>
      <c r="G67" s="43">
        <v>0</v>
      </c>
      <c r="H67" s="70"/>
      <c r="I67" s="42"/>
      <c r="J67" s="41"/>
    </row>
    <row r="68" spans="2:10" ht="19.5" customHeight="1">
      <c r="B68" s="35" t="s">
        <v>540</v>
      </c>
      <c r="C68" s="36" t="s">
        <v>501</v>
      </c>
      <c r="D68" s="37"/>
      <c r="E68" s="8">
        <v>44</v>
      </c>
      <c r="F68" s="38" t="s">
        <v>446</v>
      </c>
      <c r="G68" s="43">
        <v>0</v>
      </c>
      <c r="H68" s="70"/>
      <c r="I68" s="42"/>
      <c r="J68" s="41"/>
    </row>
    <row r="69" spans="2:10" ht="19.5" customHeight="1">
      <c r="B69" s="35" t="s">
        <v>540</v>
      </c>
      <c r="C69" s="36" t="s">
        <v>462</v>
      </c>
      <c r="D69" s="37"/>
      <c r="E69" s="8">
        <v>45</v>
      </c>
      <c r="F69" s="38" t="s">
        <v>447</v>
      </c>
      <c r="G69" s="43">
        <v>0</v>
      </c>
      <c r="H69" s="70"/>
      <c r="I69" s="42"/>
      <c r="J69" s="41"/>
    </row>
    <row r="70" spans="2:10" ht="19.5" customHeight="1">
      <c r="B70" s="35" t="s">
        <v>475</v>
      </c>
      <c r="C70" s="36" t="s">
        <v>526</v>
      </c>
      <c r="D70" s="37"/>
      <c r="E70" s="8">
        <v>46</v>
      </c>
      <c r="F70" s="38" t="s">
        <v>448</v>
      </c>
      <c r="G70" s="43">
        <v>0</v>
      </c>
      <c r="H70" s="70"/>
      <c r="I70" s="42"/>
      <c r="J70" s="41"/>
    </row>
    <row r="71" spans="2:10" ht="52.5" customHeight="1">
      <c r="B71" s="35" t="s">
        <v>476</v>
      </c>
      <c r="C71" s="36" t="s">
        <v>527</v>
      </c>
      <c r="D71" s="37"/>
      <c r="E71" s="8">
        <v>47</v>
      </c>
      <c r="F71" s="38" t="s">
        <v>424</v>
      </c>
      <c r="G71" s="673">
        <v>24720</v>
      </c>
      <c r="H71" s="99"/>
      <c r="I71" s="74"/>
      <c r="J71" s="41"/>
    </row>
    <row r="72" spans="2:10" ht="19.5" customHeight="1">
      <c r="B72" s="35" t="s">
        <v>477</v>
      </c>
      <c r="C72" s="36" t="s">
        <v>528</v>
      </c>
      <c r="D72" s="37"/>
      <c r="E72" s="8">
        <v>48</v>
      </c>
      <c r="F72" s="38" t="s">
        <v>425</v>
      </c>
      <c r="G72" s="43">
        <v>0</v>
      </c>
      <c r="H72" s="72"/>
      <c r="I72" s="42"/>
      <c r="J72" s="41"/>
    </row>
    <row r="73" spans="2:10" ht="19.5" customHeight="1">
      <c r="B73" s="35" t="s">
        <v>463</v>
      </c>
      <c r="C73" s="36" t="s">
        <v>465</v>
      </c>
      <c r="D73" s="37"/>
      <c r="E73" s="8">
        <v>49</v>
      </c>
      <c r="F73" s="38" t="s">
        <v>426</v>
      </c>
      <c r="G73" s="43">
        <v>0</v>
      </c>
      <c r="H73" s="70"/>
      <c r="I73" s="42"/>
      <c r="J73" s="41"/>
    </row>
    <row r="74" spans="2:10" ht="19.5" customHeight="1">
      <c r="B74" s="46"/>
      <c r="C74" s="47"/>
      <c r="D74" s="48"/>
      <c r="E74" s="8"/>
      <c r="F74" s="5" t="s">
        <v>414</v>
      </c>
      <c r="G74" s="12"/>
      <c r="H74" s="71"/>
      <c r="I74" s="33"/>
      <c r="J74" s="34"/>
    </row>
    <row r="75" spans="2:10" ht="19.5" customHeight="1">
      <c r="B75" s="46"/>
      <c r="C75" s="47"/>
      <c r="D75" s="48"/>
      <c r="E75" s="8"/>
      <c r="F75" s="31" t="s">
        <v>415</v>
      </c>
      <c r="G75" s="12"/>
      <c r="H75" s="71"/>
      <c r="I75" s="33"/>
      <c r="J75" s="34"/>
    </row>
    <row r="76" spans="2:10" ht="80.25" customHeight="1">
      <c r="B76" s="35" t="s">
        <v>478</v>
      </c>
      <c r="C76" s="36" t="s">
        <v>517</v>
      </c>
      <c r="D76" s="37"/>
      <c r="E76" s="8">
        <v>50</v>
      </c>
      <c r="F76" s="38" t="s">
        <v>396</v>
      </c>
      <c r="G76" s="631">
        <f>'ERS2_Wages &amp; Salary Allocator'!F6</f>
        <v>51274.825400000002</v>
      </c>
      <c r="H76" s="170" t="s">
        <v>596</v>
      </c>
      <c r="I76" s="630" t="s">
        <v>897</v>
      </c>
      <c r="J76" s="41"/>
    </row>
    <row r="77" spans="2:10" ht="81" customHeight="1">
      <c r="B77" s="35" t="s">
        <v>479</v>
      </c>
      <c r="C77" s="36" t="s">
        <v>518</v>
      </c>
      <c r="D77" s="37"/>
      <c r="E77" s="8">
        <v>51</v>
      </c>
      <c r="F77" s="38" t="s">
        <v>397</v>
      </c>
      <c r="G77" s="631">
        <f>'ERS2_Wages &amp; Salary Allocator'!F7</f>
        <v>14798.897950000002</v>
      </c>
      <c r="H77" s="170" t="s">
        <v>596</v>
      </c>
      <c r="I77" s="630" t="s">
        <v>898</v>
      </c>
      <c r="J77" s="41"/>
    </row>
    <row r="78" spans="2:10" ht="74.25" customHeight="1">
      <c r="B78" s="35" t="s">
        <v>480</v>
      </c>
      <c r="C78" s="36" t="s">
        <v>519</v>
      </c>
      <c r="D78" s="37"/>
      <c r="E78" s="8">
        <v>52</v>
      </c>
      <c r="F78" s="38" t="s">
        <v>398</v>
      </c>
      <c r="G78" s="631">
        <f>'ERS2_Wages &amp; Salary Allocator'!F8</f>
        <v>1006017.06235</v>
      </c>
      <c r="H78" s="170" t="s">
        <v>596</v>
      </c>
      <c r="I78" s="630" t="s">
        <v>898</v>
      </c>
      <c r="J78" s="41"/>
    </row>
    <row r="79" spans="2:10" ht="74.25" customHeight="1">
      <c r="B79" s="35" t="s">
        <v>481</v>
      </c>
      <c r="C79" s="36" t="s">
        <v>520</v>
      </c>
      <c r="D79" s="37"/>
      <c r="E79" s="8">
        <v>53</v>
      </c>
      <c r="F79" s="38" t="s">
        <v>449</v>
      </c>
      <c r="G79" s="631">
        <f>'ERS2_Wages &amp; Salary Allocator'!F9</f>
        <v>199232.66020000004</v>
      </c>
      <c r="H79" s="170" t="s">
        <v>596</v>
      </c>
      <c r="I79" s="630" t="s">
        <v>825</v>
      </c>
      <c r="J79" s="41"/>
    </row>
    <row r="80" spans="2:10" ht="19.5" customHeight="1">
      <c r="B80" s="44"/>
      <c r="C80" s="45"/>
      <c r="D80" s="37"/>
      <c r="E80" s="8"/>
      <c r="F80" s="38" t="s">
        <v>427</v>
      </c>
      <c r="G80" s="12">
        <f>SUM(G76:G79)</f>
        <v>1271323.4459000002</v>
      </c>
      <c r="H80" s="70"/>
      <c r="I80" s="42"/>
      <c r="J80" s="41"/>
    </row>
    <row r="81" spans="2:10" ht="19.5" customHeight="1">
      <c r="B81" s="58"/>
      <c r="C81" s="59"/>
      <c r="D81" s="60"/>
      <c r="E81" s="8"/>
      <c r="F81" s="5" t="s">
        <v>450</v>
      </c>
      <c r="G81" s="12"/>
      <c r="H81" s="71"/>
      <c r="I81" s="33"/>
      <c r="J81" s="34"/>
    </row>
    <row r="82" spans="2:10" ht="34.5" customHeight="1">
      <c r="B82" s="35" t="s">
        <v>529</v>
      </c>
      <c r="C82" s="36" t="s">
        <v>529</v>
      </c>
      <c r="D82" s="37"/>
      <c r="E82" s="8">
        <v>54</v>
      </c>
      <c r="F82" s="38" t="s">
        <v>451</v>
      </c>
      <c r="G82" s="633">
        <f>'ERS5_2014 12 CP Load Data'!E27</f>
        <v>41767.02416666667</v>
      </c>
      <c r="H82" s="70" t="s">
        <v>584</v>
      </c>
      <c r="I82" s="42"/>
      <c r="J82" s="41"/>
    </row>
    <row r="83" spans="2:10" ht="19.5" customHeight="1">
      <c r="B83" s="46"/>
      <c r="C83" s="47"/>
      <c r="D83" s="48"/>
      <c r="E83" s="8"/>
      <c r="F83" s="5" t="s">
        <v>423</v>
      </c>
      <c r="G83" s="12"/>
      <c r="H83" s="71"/>
      <c r="I83" s="33"/>
      <c r="J83" s="34"/>
    </row>
    <row r="84" spans="2:10" ht="19.5" customHeight="1">
      <c r="B84" s="35" t="s">
        <v>482</v>
      </c>
      <c r="C84" s="36" t="s">
        <v>482</v>
      </c>
      <c r="D84" s="37"/>
      <c r="E84" s="8">
        <v>55</v>
      </c>
      <c r="F84" s="38" t="s">
        <v>416</v>
      </c>
      <c r="G84" s="43"/>
      <c r="H84" s="70"/>
      <c r="I84" s="42"/>
      <c r="J84" s="41"/>
    </row>
    <row r="85" spans="2:10" ht="19.5" customHeight="1">
      <c r="B85" s="35" t="s">
        <v>483</v>
      </c>
      <c r="C85" s="36" t="s">
        <v>483</v>
      </c>
      <c r="D85" s="37"/>
      <c r="E85" s="8">
        <v>56</v>
      </c>
      <c r="F85" s="38" t="s">
        <v>417</v>
      </c>
      <c r="G85" s="43"/>
      <c r="H85" s="70"/>
      <c r="I85" s="42"/>
      <c r="J85" s="41"/>
    </row>
    <row r="86" spans="2:10" ht="19.5" customHeight="1">
      <c r="B86" s="35" t="s">
        <v>484</v>
      </c>
      <c r="C86" s="36" t="s">
        <v>467</v>
      </c>
      <c r="D86" s="37"/>
      <c r="E86" s="8">
        <v>57</v>
      </c>
      <c r="F86" s="38" t="s">
        <v>418</v>
      </c>
      <c r="G86" s="43"/>
      <c r="H86" s="70"/>
      <c r="I86" s="42"/>
      <c r="J86" s="41"/>
    </row>
    <row r="87" spans="2:10" ht="19.5" customHeight="1">
      <c r="B87" s="35" t="s">
        <v>485</v>
      </c>
      <c r="C87" s="36" t="s">
        <v>468</v>
      </c>
      <c r="D87" s="37"/>
      <c r="E87" s="8">
        <v>58</v>
      </c>
      <c r="F87" s="38" t="s">
        <v>419</v>
      </c>
      <c r="G87" s="43"/>
      <c r="H87" s="70"/>
      <c r="I87" s="42"/>
      <c r="J87" s="41"/>
    </row>
    <row r="88" spans="2:10" ht="19.5" customHeight="1">
      <c r="B88" s="35" t="s">
        <v>486</v>
      </c>
      <c r="C88" s="36" t="s">
        <v>514</v>
      </c>
      <c r="D88" s="37"/>
      <c r="E88" s="8">
        <v>59</v>
      </c>
      <c r="F88" s="38" t="s">
        <v>421</v>
      </c>
      <c r="G88" s="43"/>
      <c r="H88" s="70"/>
      <c r="I88" s="42"/>
      <c r="J88" s="41"/>
    </row>
    <row r="89" spans="2:10" ht="19.5" customHeight="1">
      <c r="B89" s="35" t="s">
        <v>487</v>
      </c>
      <c r="C89" s="36" t="s">
        <v>515</v>
      </c>
      <c r="D89" s="37"/>
      <c r="E89" s="8">
        <v>60</v>
      </c>
      <c r="F89" s="38" t="s">
        <v>422</v>
      </c>
      <c r="G89" s="43"/>
      <c r="H89" s="70"/>
      <c r="I89" s="42"/>
      <c r="J89" s="41"/>
    </row>
    <row r="90" spans="2:10" ht="19.5" customHeight="1" thickBot="1">
      <c r="B90" s="61" t="s">
        <v>488</v>
      </c>
      <c r="C90" s="62" t="s">
        <v>516</v>
      </c>
      <c r="D90" s="63"/>
      <c r="E90" s="9">
        <v>61</v>
      </c>
      <c r="F90" s="64" t="s">
        <v>420</v>
      </c>
      <c r="G90" s="67"/>
      <c r="H90" s="73"/>
      <c r="I90" s="65"/>
      <c r="J90" s="66"/>
    </row>
    <row r="91" spans="2:10" ht="19.5" customHeight="1">
      <c r="E91" s="4"/>
      <c r="F91" s="3"/>
    </row>
    <row r="92" spans="2:10">
      <c r="E92" s="1"/>
      <c r="F92" s="2"/>
    </row>
    <row r="93" spans="2:10">
      <c r="E93" s="1"/>
      <c r="F93" s="2"/>
    </row>
  </sheetData>
  <mergeCells count="2">
    <mergeCell ref="H2:J2"/>
    <mergeCell ref="B2:D2"/>
  </mergeCells>
  <phoneticPr fontId="2" type="noConversion"/>
  <pageMargins left="0.75" right="0.75" top="1" bottom="1" header="0.5" footer="0.5"/>
  <pageSetup scale="50" fitToHeight="3"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L36"/>
  <sheetViews>
    <sheetView showGridLines="0" topLeftCell="A13" zoomScale="75" workbookViewId="0">
      <selection activeCell="F20" sqref="F20"/>
    </sheetView>
  </sheetViews>
  <sheetFormatPr defaultRowHeight="12.75"/>
  <cols>
    <col min="1" max="2" width="9.140625" style="19"/>
    <col min="3" max="3" width="1.140625" style="19" customWidth="1"/>
    <col min="4" max="4" width="1.7109375" style="19" customWidth="1"/>
    <col min="5" max="5" width="65.85546875" style="19" customWidth="1"/>
    <col min="6" max="6" width="33.5703125" style="22" customWidth="1"/>
    <col min="7" max="8" width="1.7109375" style="22" customWidth="1"/>
    <col min="9" max="9" width="20.5703125" style="19" customWidth="1"/>
    <col min="10" max="10" width="58" style="19" customWidth="1"/>
    <col min="11" max="11" width="23.42578125" style="19" customWidth="1"/>
    <col min="12" max="16384" width="9.140625" style="19"/>
  </cols>
  <sheetData>
    <row r="5" spans="4:12" ht="13.5" thickBot="1"/>
    <row r="6" spans="4:12">
      <c r="D6" s="105"/>
      <c r="E6" s="106"/>
      <c r="F6" s="107"/>
      <c r="G6" s="108"/>
      <c r="I6"/>
      <c r="J6"/>
      <c r="K6"/>
      <c r="L6"/>
    </row>
    <row r="7" spans="4:12" ht="15.75">
      <c r="D7" s="109"/>
      <c r="E7" s="100" t="s">
        <v>569</v>
      </c>
      <c r="F7" s="69"/>
      <c r="G7" s="110"/>
      <c r="I7"/>
      <c r="J7"/>
      <c r="K7"/>
      <c r="L7"/>
    </row>
    <row r="8" spans="4:12">
      <c r="D8" s="109"/>
      <c r="E8" s="2"/>
      <c r="F8" s="69"/>
      <c r="G8" s="110"/>
      <c r="I8"/>
      <c r="J8"/>
      <c r="K8"/>
      <c r="L8"/>
    </row>
    <row r="9" spans="4:12" ht="42.75" customHeight="1">
      <c r="D9" s="109"/>
      <c r="E9" s="6" t="s">
        <v>395</v>
      </c>
      <c r="F9" s="18"/>
      <c r="G9" s="111"/>
      <c r="H9" s="102"/>
      <c r="I9"/>
      <c r="J9"/>
      <c r="K9"/>
      <c r="L9"/>
    </row>
    <row r="10" spans="4:12" ht="61.5" customHeight="1">
      <c r="D10" s="109"/>
      <c r="E10" s="7" t="s">
        <v>396</v>
      </c>
      <c r="F10" s="20">
        <f>'Att. O Data - Elk River'!G6</f>
        <v>3832473</v>
      </c>
      <c r="G10" s="111"/>
      <c r="H10" s="102"/>
      <c r="I10"/>
      <c r="J10"/>
      <c r="K10"/>
      <c r="L10"/>
    </row>
    <row r="11" spans="4:12" ht="42.75" customHeight="1">
      <c r="D11" s="109"/>
      <c r="E11" s="7" t="s">
        <v>397</v>
      </c>
      <c r="F11" s="20">
        <f>'Att. O Data - Elk River'!G7</f>
        <v>710988</v>
      </c>
      <c r="G11" s="111"/>
      <c r="H11" s="102"/>
      <c r="I11"/>
      <c r="J11"/>
      <c r="K11"/>
      <c r="L11"/>
    </row>
    <row r="12" spans="4:12" ht="42.75" customHeight="1">
      <c r="D12" s="109"/>
      <c r="E12" s="7" t="s">
        <v>398</v>
      </c>
      <c r="F12" s="20">
        <f>'Att. O Data - Elk River'!G8</f>
        <v>36058427</v>
      </c>
      <c r="G12" s="111"/>
      <c r="H12" s="102"/>
      <c r="I12"/>
      <c r="J12"/>
      <c r="K12"/>
      <c r="L12"/>
    </row>
    <row r="13" spans="4:12" ht="69.75" customHeight="1">
      <c r="D13" s="109"/>
      <c r="E13" s="7" t="s">
        <v>399</v>
      </c>
      <c r="F13" s="20">
        <f>'Att. O Data - Elk River'!G9</f>
        <v>6058878</v>
      </c>
      <c r="G13" s="111"/>
      <c r="H13" s="102"/>
      <c r="I13"/>
      <c r="J13"/>
      <c r="K13"/>
      <c r="L13"/>
    </row>
    <row r="14" spans="4:12" ht="42.75" customHeight="1">
      <c r="D14" s="109"/>
      <c r="E14" s="7" t="s">
        <v>400</v>
      </c>
      <c r="F14" s="20"/>
      <c r="G14" s="111"/>
      <c r="H14" s="102"/>
      <c r="I14"/>
      <c r="J14"/>
      <c r="K14"/>
      <c r="L14"/>
    </row>
    <row r="15" spans="4:12" ht="42.75" customHeight="1">
      <c r="D15" s="109"/>
      <c r="E15" s="21" t="s">
        <v>427</v>
      </c>
      <c r="F15" s="68">
        <f>SUM(F10:F14)</f>
        <v>46660766</v>
      </c>
      <c r="G15" s="112"/>
      <c r="H15" s="103"/>
      <c r="I15"/>
      <c r="J15"/>
      <c r="K15"/>
      <c r="L15"/>
    </row>
    <row r="16" spans="4:12">
      <c r="D16" s="109"/>
      <c r="E16" s="2"/>
      <c r="F16" s="69"/>
      <c r="G16" s="111"/>
      <c r="H16" s="104"/>
      <c r="I16"/>
      <c r="J16"/>
      <c r="K16"/>
      <c r="L16"/>
    </row>
    <row r="17" spans="2:12">
      <c r="D17" s="109"/>
      <c r="E17" s="2"/>
      <c r="F17" s="69"/>
      <c r="G17" s="111"/>
      <c r="H17" s="104"/>
      <c r="I17"/>
      <c r="J17"/>
      <c r="K17"/>
      <c r="L17"/>
    </row>
    <row r="18" spans="2:12">
      <c r="D18" s="109"/>
      <c r="E18" s="6" t="s">
        <v>545</v>
      </c>
      <c r="F18" s="18"/>
      <c r="G18" s="111"/>
      <c r="H18" s="102"/>
      <c r="I18"/>
      <c r="J18"/>
      <c r="K18"/>
      <c r="L18"/>
    </row>
    <row r="19" spans="2:12" ht="57.75" customHeight="1">
      <c r="B19" s="19" t="s">
        <v>669</v>
      </c>
      <c r="D19" s="109"/>
      <c r="E19" s="7" t="s">
        <v>396</v>
      </c>
      <c r="F19" s="20">
        <v>2079395</v>
      </c>
      <c r="G19" s="111"/>
      <c r="H19" s="102"/>
      <c r="I19"/>
      <c r="J19"/>
      <c r="K19"/>
      <c r="L19"/>
    </row>
    <row r="20" spans="2:12" ht="57.75" customHeight="1">
      <c r="B20" s="19" t="s">
        <v>669</v>
      </c>
      <c r="D20" s="109"/>
      <c r="E20" s="7" t="s">
        <v>397</v>
      </c>
      <c r="F20" s="20">
        <v>242228</v>
      </c>
      <c r="G20" s="111"/>
      <c r="H20" s="102"/>
      <c r="I20"/>
      <c r="J20"/>
      <c r="K20"/>
      <c r="L20"/>
    </row>
    <row r="21" spans="2:12" ht="57.75" customHeight="1">
      <c r="B21" s="19" t="s">
        <v>669</v>
      </c>
      <c r="D21" s="109"/>
      <c r="E21" s="7" t="s">
        <v>398</v>
      </c>
      <c r="F21" s="20">
        <v>14998501</v>
      </c>
      <c r="G21" s="111"/>
      <c r="H21" s="102"/>
      <c r="I21"/>
      <c r="J21"/>
      <c r="K21"/>
      <c r="L21"/>
    </row>
    <row r="22" spans="2:12" ht="57.75" customHeight="1">
      <c r="B22" s="19" t="s">
        <v>669</v>
      </c>
      <c r="D22" s="109"/>
      <c r="E22" s="7" t="s">
        <v>399</v>
      </c>
      <c r="F22" s="20">
        <v>2717926</v>
      </c>
      <c r="G22" s="111"/>
      <c r="H22" s="102"/>
      <c r="I22"/>
      <c r="J22"/>
      <c r="K22"/>
      <c r="L22"/>
    </row>
    <row r="23" spans="2:12" ht="37.5" customHeight="1">
      <c r="B23" s="19" t="s">
        <v>669</v>
      </c>
      <c r="D23" s="109"/>
      <c r="E23" s="7" t="s">
        <v>400</v>
      </c>
      <c r="F23" s="20"/>
      <c r="G23" s="111"/>
      <c r="H23" s="102"/>
      <c r="I23"/>
      <c r="J23"/>
      <c r="K23"/>
      <c r="L23"/>
    </row>
    <row r="24" spans="2:12" ht="37.5" customHeight="1">
      <c r="B24" s="19" t="s">
        <v>669</v>
      </c>
      <c r="D24" s="109"/>
      <c r="E24" s="21" t="s">
        <v>427</v>
      </c>
      <c r="F24" s="68">
        <f>SUM(F19:F23)</f>
        <v>20038050</v>
      </c>
      <c r="G24" s="110"/>
      <c r="H24" s="69"/>
      <c r="I24"/>
      <c r="J24"/>
      <c r="K24"/>
      <c r="L24"/>
    </row>
    <row r="25" spans="2:12">
      <c r="B25" s="19" t="s">
        <v>669</v>
      </c>
      <c r="D25" s="109"/>
      <c r="E25" s="2"/>
      <c r="F25" s="69"/>
      <c r="G25" s="110"/>
      <c r="I25"/>
      <c r="J25"/>
      <c r="K25"/>
      <c r="L25"/>
    </row>
    <row r="26" spans="2:12">
      <c r="D26" s="109"/>
      <c r="E26" s="6" t="s">
        <v>429</v>
      </c>
      <c r="F26" s="18"/>
      <c r="G26" s="110"/>
      <c r="H26" s="69"/>
      <c r="I26"/>
      <c r="J26"/>
      <c r="K26"/>
      <c r="L26"/>
    </row>
    <row r="27" spans="2:12" ht="42" customHeight="1">
      <c r="D27" s="109"/>
      <c r="E27" s="7" t="s">
        <v>396</v>
      </c>
      <c r="F27" s="18">
        <f>F10-F19</f>
        <v>1753078</v>
      </c>
      <c r="G27" s="110"/>
      <c r="H27" s="69"/>
      <c r="I27"/>
      <c r="J27"/>
      <c r="K27"/>
      <c r="L27"/>
    </row>
    <row r="28" spans="2:12" ht="42" customHeight="1">
      <c r="D28" s="109"/>
      <c r="E28" s="7" t="s">
        <v>397</v>
      </c>
      <c r="F28" s="18">
        <f>F11-F20</f>
        <v>468760</v>
      </c>
      <c r="G28" s="110"/>
      <c r="H28" s="69"/>
      <c r="I28"/>
      <c r="J28"/>
      <c r="K28"/>
      <c r="L28"/>
    </row>
    <row r="29" spans="2:12" ht="42" customHeight="1">
      <c r="D29" s="109"/>
      <c r="E29" s="7" t="s">
        <v>398</v>
      </c>
      <c r="F29" s="18">
        <f>F12-F21</f>
        <v>21059926</v>
      </c>
      <c r="G29" s="110"/>
      <c r="H29" s="69"/>
      <c r="I29"/>
      <c r="J29"/>
      <c r="K29"/>
      <c r="L29"/>
    </row>
    <row r="30" spans="2:12" ht="69" customHeight="1">
      <c r="D30" s="109"/>
      <c r="E30" s="7" t="s">
        <v>399</v>
      </c>
      <c r="F30" s="18">
        <f>F13-F22</f>
        <v>3340952</v>
      </c>
      <c r="G30" s="110"/>
      <c r="H30" s="69"/>
      <c r="I30"/>
      <c r="J30"/>
      <c r="K30"/>
      <c r="L30"/>
    </row>
    <row r="31" spans="2:12" ht="42" customHeight="1">
      <c r="D31" s="109"/>
      <c r="E31" s="7" t="s">
        <v>400</v>
      </c>
      <c r="F31" s="18">
        <f>F14-F23</f>
        <v>0</v>
      </c>
      <c r="G31" s="110"/>
      <c r="H31" s="69"/>
      <c r="I31"/>
      <c r="J31"/>
      <c r="K31"/>
      <c r="L31"/>
    </row>
    <row r="32" spans="2:12" ht="42" customHeight="1">
      <c r="D32" s="109"/>
      <c r="E32" s="21" t="s">
        <v>427</v>
      </c>
      <c r="F32" s="68">
        <f>SUM(F27:F31)</f>
        <v>26622716</v>
      </c>
      <c r="G32" s="110"/>
      <c r="H32" s="69"/>
      <c r="I32" s="535"/>
      <c r="J32"/>
      <c r="K32"/>
      <c r="L32"/>
    </row>
    <row r="33" spans="4:7" ht="7.5" customHeight="1" thickBot="1">
      <c r="D33" s="113"/>
      <c r="E33" s="114"/>
      <c r="F33" s="115"/>
      <c r="G33" s="116"/>
    </row>
    <row r="34" spans="4:7" ht="7.5" customHeight="1"/>
    <row r="36" spans="4:7">
      <c r="F36" s="626" t="s">
        <v>669</v>
      </c>
    </row>
  </sheetData>
  <phoneticPr fontId="2" type="noConversion"/>
  <pageMargins left="1.65" right="0.75" top="1" bottom="1" header="0.56000000000000005" footer="0.5"/>
  <pageSetup scale="6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T61"/>
  <sheetViews>
    <sheetView showGridLines="0" topLeftCell="C16" zoomScale="75" workbookViewId="0">
      <selection activeCell="F11" sqref="F11"/>
    </sheetView>
  </sheetViews>
  <sheetFormatPr defaultRowHeight="12.75"/>
  <cols>
    <col min="1" max="3" width="9.140625" style="76"/>
    <col min="4" max="4" width="1.85546875" style="76" customWidth="1"/>
    <col min="5" max="5" width="69.85546875" style="76" customWidth="1"/>
    <col min="6" max="7" width="33.5703125" style="80" customWidth="1"/>
    <col min="8" max="8" width="40.42578125" style="80" customWidth="1"/>
    <col min="9" max="9" width="23" style="76" customWidth="1"/>
    <col min="10" max="10" width="46.7109375" style="76" customWidth="1"/>
    <col min="11" max="11" width="22.5703125" style="76" customWidth="1"/>
    <col min="12" max="13" width="27.140625" style="76" customWidth="1"/>
    <col min="14" max="18" width="17.5703125" style="76" customWidth="1"/>
    <col min="19" max="19" width="2.85546875" style="76" customWidth="1"/>
    <col min="20" max="20" width="12.42578125" style="76" customWidth="1"/>
    <col min="21" max="16384" width="9.140625" style="76"/>
  </cols>
  <sheetData>
    <row r="3" spans="4:12" ht="13.5" thickBot="1"/>
    <row r="4" spans="4:12">
      <c r="D4" s="119"/>
      <c r="E4" s="120"/>
      <c r="F4" s="121"/>
      <c r="G4" s="122"/>
      <c r="I4" s="218"/>
      <c r="J4" s="218"/>
      <c r="K4" s="218"/>
      <c r="L4" s="218"/>
    </row>
    <row r="5" spans="4:12" ht="42.75" customHeight="1">
      <c r="D5" s="123"/>
      <c r="E5" s="101" t="s">
        <v>568</v>
      </c>
      <c r="F5" s="75"/>
      <c r="G5" s="124"/>
      <c r="H5" s="117"/>
      <c r="I5" s="218"/>
      <c r="J5" s="219"/>
      <c r="K5" s="218"/>
      <c r="L5" s="218"/>
    </row>
    <row r="6" spans="4:12" ht="64.5" customHeight="1">
      <c r="D6" s="123"/>
      <c r="E6" s="77" t="s">
        <v>396</v>
      </c>
      <c r="F6" s="75">
        <f>N43</f>
        <v>51274.825400000002</v>
      </c>
      <c r="G6" s="124"/>
      <c r="H6" s="117"/>
      <c r="I6" s="218"/>
      <c r="J6" s="220"/>
      <c r="K6" s="221"/>
      <c r="L6" s="218"/>
    </row>
    <row r="7" spans="4:12" ht="64.5" customHeight="1">
      <c r="D7" s="123"/>
      <c r="E7" s="77" t="s">
        <v>397</v>
      </c>
      <c r="F7" s="75">
        <f>O43</f>
        <v>14798.897950000002</v>
      </c>
      <c r="G7" s="124"/>
      <c r="H7" s="117"/>
      <c r="I7" s="218"/>
      <c r="J7" s="220"/>
      <c r="K7" s="221"/>
      <c r="L7" s="218"/>
    </row>
    <row r="8" spans="4:12" ht="64.5" customHeight="1">
      <c r="D8" s="123"/>
      <c r="E8" s="77" t="s">
        <v>398</v>
      </c>
      <c r="F8" s="75">
        <f>P43</f>
        <v>1006017.06235</v>
      </c>
      <c r="G8" s="124"/>
      <c r="H8" s="117"/>
      <c r="I8" s="218"/>
      <c r="J8" s="220"/>
      <c r="K8" s="221"/>
      <c r="L8" s="218"/>
    </row>
    <row r="9" spans="4:12" ht="64.5" customHeight="1">
      <c r="D9" s="123"/>
      <c r="E9" s="77" t="s">
        <v>546</v>
      </c>
      <c r="F9" s="75">
        <f>Q43</f>
        <v>199232.66020000004</v>
      </c>
      <c r="G9" s="124"/>
      <c r="H9" s="117"/>
      <c r="I9" s="218"/>
      <c r="J9" s="222"/>
      <c r="K9" s="221"/>
      <c r="L9" s="218"/>
    </row>
    <row r="10" spans="4:12" ht="64.5" customHeight="1">
      <c r="D10" s="123"/>
      <c r="E10" s="224" t="s">
        <v>554</v>
      </c>
      <c r="F10" s="75">
        <f>R43</f>
        <v>333206.66409999999</v>
      </c>
      <c r="G10" s="124"/>
      <c r="H10" s="117"/>
      <c r="I10" s="218"/>
      <c r="J10" s="222"/>
      <c r="K10" s="221"/>
      <c r="L10" s="218"/>
    </row>
    <row r="11" spans="4:12" ht="42.75" customHeight="1">
      <c r="D11" s="123"/>
      <c r="E11" s="78" t="s">
        <v>427</v>
      </c>
      <c r="F11" s="79">
        <f>SUM(F6:F10)</f>
        <v>1604530.11</v>
      </c>
      <c r="G11" s="125"/>
      <c r="H11" s="118"/>
      <c r="I11" s="218"/>
      <c r="J11" s="218"/>
      <c r="K11" s="221"/>
      <c r="L11" s="218"/>
    </row>
    <row r="12" spans="4:12" ht="42.75" customHeight="1">
      <c r="D12" s="123"/>
      <c r="E12" s="78" t="s">
        <v>623</v>
      </c>
      <c r="F12" s="75">
        <f>F11-F10</f>
        <v>1271323.4459000002</v>
      </c>
      <c r="G12" s="124"/>
      <c r="H12" s="168"/>
      <c r="I12" s="223" t="s">
        <v>669</v>
      </c>
      <c r="J12" s="118"/>
      <c r="K12" s="221"/>
      <c r="L12" s="218"/>
    </row>
    <row r="13" spans="4:12" ht="13.5" thickBot="1">
      <c r="D13" s="126"/>
      <c r="E13" s="127"/>
      <c r="F13" s="128"/>
      <c r="G13" s="129"/>
      <c r="I13" s="218"/>
      <c r="J13" s="218"/>
      <c r="K13" s="218"/>
      <c r="L13" s="218"/>
    </row>
    <row r="14" spans="4:12">
      <c r="I14" s="218"/>
      <c r="J14" s="218"/>
      <c r="K14" s="218"/>
      <c r="L14" s="218"/>
    </row>
    <row r="15" spans="4:12">
      <c r="F15" s="80" t="s">
        <v>669</v>
      </c>
    </row>
    <row r="17" spans="5:18" ht="12" customHeight="1" thickBot="1">
      <c r="E17" s="81"/>
    </row>
    <row r="18" spans="5:18" ht="20.25" customHeight="1">
      <c r="E18" s="82" t="s">
        <v>547</v>
      </c>
      <c r="F18" s="83" t="s">
        <v>548</v>
      </c>
      <c r="G18" s="83"/>
      <c r="H18" s="83"/>
      <c r="I18" s="84" t="s">
        <v>549</v>
      </c>
      <c r="J18" s="84" t="s">
        <v>550</v>
      </c>
      <c r="K18" s="84" t="s">
        <v>551</v>
      </c>
      <c r="L18" s="84" t="s">
        <v>552</v>
      </c>
      <c r="M18" s="84" t="s">
        <v>553</v>
      </c>
      <c r="N18" s="85" t="s">
        <v>396</v>
      </c>
      <c r="O18" s="85" t="s">
        <v>397</v>
      </c>
      <c r="P18" s="85" t="s">
        <v>398</v>
      </c>
      <c r="Q18" s="85" t="s">
        <v>546</v>
      </c>
      <c r="R18" s="86" t="s">
        <v>554</v>
      </c>
    </row>
    <row r="19" spans="5:18" ht="20.25" customHeight="1">
      <c r="E19" s="87" t="s">
        <v>558</v>
      </c>
      <c r="F19" s="88">
        <f>104033.97-1932.45</f>
        <v>102101.52</v>
      </c>
      <c r="G19" s="88"/>
      <c r="H19" s="88"/>
      <c r="I19" s="89">
        <v>0.01</v>
      </c>
      <c r="J19" s="89">
        <v>2.5000000000000001E-2</v>
      </c>
      <c r="K19" s="89">
        <v>0.63500000000000001</v>
      </c>
      <c r="L19" s="89">
        <v>0.08</v>
      </c>
      <c r="M19" s="89">
        <v>0.25</v>
      </c>
      <c r="N19" s="75">
        <f>I19*$F$19</f>
        <v>1021.0152</v>
      </c>
      <c r="O19" s="75">
        <f>J19*$F$19</f>
        <v>2552.5380000000005</v>
      </c>
      <c r="P19" s="75">
        <f>K19*$F$19</f>
        <v>64834.465200000006</v>
      </c>
      <c r="Q19" s="75">
        <f>L19*$F$19</f>
        <v>8168.1216000000004</v>
      </c>
      <c r="R19" s="215">
        <f>M19*$F$19</f>
        <v>25525.38</v>
      </c>
    </row>
    <row r="20" spans="5:18" ht="20.25" customHeight="1">
      <c r="E20" s="87" t="s">
        <v>559</v>
      </c>
      <c r="F20" s="88">
        <f>91451.51-1715.74</f>
        <v>89735.76999999999</v>
      </c>
      <c r="G20" s="88"/>
      <c r="H20" s="88"/>
      <c r="I20" s="89">
        <v>0</v>
      </c>
      <c r="J20" s="89">
        <v>0.01</v>
      </c>
      <c r="K20" s="89">
        <v>0.7</v>
      </c>
      <c r="L20" s="89">
        <v>0.04</v>
      </c>
      <c r="M20" s="89">
        <v>0.25</v>
      </c>
      <c r="N20" s="75">
        <f>I20*$F$20</f>
        <v>0</v>
      </c>
      <c r="O20" s="75">
        <f>J20*$F$20</f>
        <v>897.35769999999991</v>
      </c>
      <c r="P20" s="75">
        <f>K20*$F$20</f>
        <v>62815.03899999999</v>
      </c>
      <c r="Q20" s="75">
        <f>L20*$F$20</f>
        <v>3589.4307999999996</v>
      </c>
      <c r="R20" s="215">
        <f>M20*$F$20</f>
        <v>22433.942499999997</v>
      </c>
    </row>
    <row r="21" spans="5:18" ht="20.25" customHeight="1">
      <c r="E21" s="87" t="s">
        <v>559</v>
      </c>
      <c r="F21" s="88">
        <f>91807.56-1715.44</f>
        <v>90092.12</v>
      </c>
      <c r="G21" s="88"/>
      <c r="H21" s="88"/>
      <c r="I21" s="89">
        <v>0</v>
      </c>
      <c r="J21" s="89">
        <v>0.01</v>
      </c>
      <c r="K21" s="89">
        <v>0.7</v>
      </c>
      <c r="L21" s="89">
        <v>0.04</v>
      </c>
      <c r="M21" s="89">
        <v>0.25</v>
      </c>
      <c r="N21" s="75">
        <f>I21*$F$21</f>
        <v>0</v>
      </c>
      <c r="O21" s="75">
        <f>J21*$F$21</f>
        <v>900.9212</v>
      </c>
      <c r="P21" s="75">
        <f>K21*$F$21</f>
        <v>63064.483999999989</v>
      </c>
      <c r="Q21" s="75">
        <f>L21*$F$21</f>
        <v>3603.6848</v>
      </c>
      <c r="R21" s="215">
        <f>M21*$F$21</f>
        <v>22523.03</v>
      </c>
    </row>
    <row r="22" spans="5:18" ht="20.25" customHeight="1">
      <c r="E22" s="87" t="s">
        <v>560</v>
      </c>
      <c r="F22" s="88">
        <f>93068.79-1730.37</f>
        <v>91338.42</v>
      </c>
      <c r="G22" s="88"/>
      <c r="H22" s="88"/>
      <c r="I22" s="89">
        <v>0.02</v>
      </c>
      <c r="J22" s="89">
        <v>0.01</v>
      </c>
      <c r="K22" s="89">
        <v>0.6</v>
      </c>
      <c r="L22" s="89">
        <v>0.17</v>
      </c>
      <c r="M22" s="89">
        <v>0.2</v>
      </c>
      <c r="N22" s="75">
        <f>I22*$F$22</f>
        <v>1826.7683999999999</v>
      </c>
      <c r="O22" s="75">
        <f>J22*$F$22</f>
        <v>913.38419999999996</v>
      </c>
      <c r="P22" s="75">
        <f>K22*$F$22</f>
        <v>54803.051999999996</v>
      </c>
      <c r="Q22" s="75">
        <f>L22*$F$22</f>
        <v>15527.531400000002</v>
      </c>
      <c r="R22" s="215">
        <f>M22*$F$22</f>
        <v>18267.684000000001</v>
      </c>
    </row>
    <row r="23" spans="5:18" ht="20.25" customHeight="1">
      <c r="E23" s="87" t="s">
        <v>560</v>
      </c>
      <c r="F23" s="88">
        <f>94762.93-1764.2</f>
        <v>92998.73</v>
      </c>
      <c r="G23" s="88"/>
      <c r="H23" s="88"/>
      <c r="I23" s="89">
        <v>0</v>
      </c>
      <c r="J23" s="89">
        <v>0.01</v>
      </c>
      <c r="K23" s="89">
        <v>0.8</v>
      </c>
      <c r="L23" s="89">
        <v>0.04</v>
      </c>
      <c r="M23" s="89">
        <v>0.15</v>
      </c>
      <c r="N23" s="75">
        <f>I23*$F$23</f>
        <v>0</v>
      </c>
      <c r="O23" s="75">
        <f>J23*$F$23</f>
        <v>929.9873</v>
      </c>
      <c r="P23" s="75">
        <f>K23*$F$23</f>
        <v>74398.983999999997</v>
      </c>
      <c r="Q23" s="75">
        <f>L23*$F$23</f>
        <v>3719.9492</v>
      </c>
      <c r="R23" s="215">
        <f>M23*$F$23</f>
        <v>13949.809499999999</v>
      </c>
    </row>
    <row r="24" spans="5:18" ht="20.25" customHeight="1">
      <c r="E24" s="87" t="s">
        <v>560</v>
      </c>
      <c r="F24" s="88">
        <f>99360.75-1858.39</f>
        <v>97502.36</v>
      </c>
      <c r="G24" s="88"/>
      <c r="H24" s="88"/>
      <c r="I24" s="89">
        <v>0</v>
      </c>
      <c r="J24" s="89">
        <v>0</v>
      </c>
      <c r="K24" s="89">
        <v>0.8</v>
      </c>
      <c r="L24" s="89">
        <v>0.05</v>
      </c>
      <c r="M24" s="89">
        <v>0.15</v>
      </c>
      <c r="N24" s="75">
        <f>I24*$F$24</f>
        <v>0</v>
      </c>
      <c r="O24" s="75">
        <f>J24*$F$24</f>
        <v>0</v>
      </c>
      <c r="P24" s="75">
        <f>K24*$F$24</f>
        <v>78001.888000000006</v>
      </c>
      <c r="Q24" s="75">
        <f>L24*$F$24</f>
        <v>4875.1180000000004</v>
      </c>
      <c r="R24" s="215">
        <f>M24*$F$24</f>
        <v>14625.353999999999</v>
      </c>
    </row>
    <row r="25" spans="5:18" ht="20.25" customHeight="1">
      <c r="E25" s="87" t="s">
        <v>560</v>
      </c>
      <c r="F25" s="88">
        <f>95259.02-1689.99</f>
        <v>93569.03</v>
      </c>
      <c r="G25" s="88"/>
      <c r="H25" s="88"/>
      <c r="I25" s="89">
        <v>0</v>
      </c>
      <c r="J25" s="89">
        <v>0</v>
      </c>
      <c r="K25" s="89">
        <v>0.8</v>
      </c>
      <c r="L25" s="89">
        <v>0.05</v>
      </c>
      <c r="M25" s="89">
        <v>0.15</v>
      </c>
      <c r="N25" s="75">
        <f>I25*$F$25</f>
        <v>0</v>
      </c>
      <c r="O25" s="75">
        <f>J25*$F$25</f>
        <v>0</v>
      </c>
      <c r="P25" s="75">
        <f>K25*$F$25</f>
        <v>74855.224000000002</v>
      </c>
      <c r="Q25" s="75">
        <f>L25*$F$25</f>
        <v>4678.4515000000001</v>
      </c>
      <c r="R25" s="215">
        <f>M25*$F$25</f>
        <v>14035.354499999999</v>
      </c>
    </row>
    <row r="26" spans="5:18" ht="20.25" customHeight="1">
      <c r="E26" s="87" t="s">
        <v>560</v>
      </c>
      <c r="F26" s="88">
        <f>79115.37-351.77</f>
        <v>78763.599999999991</v>
      </c>
      <c r="G26" s="88"/>
      <c r="H26" s="88"/>
      <c r="I26" s="89">
        <v>0</v>
      </c>
      <c r="J26" s="89">
        <v>0</v>
      </c>
      <c r="K26" s="89">
        <v>0.8</v>
      </c>
      <c r="L26" s="89">
        <v>0.05</v>
      </c>
      <c r="M26" s="89">
        <v>0.15</v>
      </c>
      <c r="N26" s="75">
        <f t="shared" ref="N26:R27" si="0">I26*$F$26</f>
        <v>0</v>
      </c>
      <c r="O26" s="75">
        <f t="shared" si="0"/>
        <v>0</v>
      </c>
      <c r="P26" s="75">
        <f t="shared" si="0"/>
        <v>63010.879999999997</v>
      </c>
      <c r="Q26" s="75">
        <f t="shared" si="0"/>
        <v>3938.18</v>
      </c>
      <c r="R26" s="75">
        <f t="shared" si="0"/>
        <v>11814.539999999999</v>
      </c>
    </row>
    <row r="27" spans="5:18" ht="20.25" customHeight="1">
      <c r="E27" s="87" t="s">
        <v>560</v>
      </c>
      <c r="F27" s="88">
        <v>0</v>
      </c>
      <c r="G27" s="88"/>
      <c r="H27" s="88"/>
      <c r="I27" s="89">
        <v>0</v>
      </c>
      <c r="J27" s="89">
        <v>0</v>
      </c>
      <c r="K27" s="89">
        <v>0.8</v>
      </c>
      <c r="L27" s="89">
        <v>0.05</v>
      </c>
      <c r="M27" s="89">
        <v>0.15</v>
      </c>
      <c r="N27" s="75">
        <f t="shared" si="0"/>
        <v>0</v>
      </c>
      <c r="O27" s="75">
        <f t="shared" si="0"/>
        <v>0</v>
      </c>
      <c r="P27" s="75">
        <f>K27*$F$27</f>
        <v>0</v>
      </c>
      <c r="Q27" s="75">
        <f>L27*$F$27</f>
        <v>0</v>
      </c>
      <c r="R27" s="75">
        <f>M27*$F$27</f>
        <v>0</v>
      </c>
    </row>
    <row r="28" spans="5:18" ht="20.25" customHeight="1">
      <c r="E28" s="87" t="s">
        <v>561</v>
      </c>
      <c r="F28" s="88">
        <f>75030.35-1213.25</f>
        <v>73817.100000000006</v>
      </c>
      <c r="G28" s="88"/>
      <c r="H28" s="88"/>
      <c r="I28" s="89">
        <v>0</v>
      </c>
      <c r="J28" s="89">
        <v>0.01</v>
      </c>
      <c r="K28" s="89">
        <v>0.85</v>
      </c>
      <c r="L28" s="89">
        <v>0.04</v>
      </c>
      <c r="M28" s="89">
        <v>0.1</v>
      </c>
      <c r="N28" s="75">
        <f>I28*$F$28</f>
        <v>0</v>
      </c>
      <c r="O28" s="75">
        <f>J28*$F$28</f>
        <v>738.17100000000005</v>
      </c>
      <c r="P28" s="75">
        <f>K28*$F$28</f>
        <v>62744.535000000003</v>
      </c>
      <c r="Q28" s="75">
        <f>L28*$F$28</f>
        <v>2952.6840000000002</v>
      </c>
      <c r="R28" s="75">
        <f>M28*$F$28</f>
        <v>7381.7100000000009</v>
      </c>
    </row>
    <row r="29" spans="5:18" ht="20.25" customHeight="1">
      <c r="E29" s="87" t="s">
        <v>561</v>
      </c>
      <c r="F29" s="88">
        <f>30785.42-1236.44</f>
        <v>29548.98</v>
      </c>
      <c r="G29" s="88"/>
      <c r="H29" s="88"/>
      <c r="I29" s="89">
        <v>0</v>
      </c>
      <c r="J29" s="89">
        <v>0</v>
      </c>
      <c r="K29" s="89">
        <v>0.85</v>
      </c>
      <c r="L29" s="89">
        <v>0.05</v>
      </c>
      <c r="M29" s="89">
        <v>0.1</v>
      </c>
      <c r="N29" s="75">
        <f>I29*$F$29</f>
        <v>0</v>
      </c>
      <c r="O29" s="75">
        <f>J29*$F$29</f>
        <v>0</v>
      </c>
      <c r="P29" s="75">
        <f>K29*$F$29</f>
        <v>25116.632999999998</v>
      </c>
      <c r="Q29" s="75">
        <f>L29*$F$29</f>
        <v>1477.4490000000001</v>
      </c>
      <c r="R29" s="75">
        <f>M29*$F$29</f>
        <v>2954.8980000000001</v>
      </c>
    </row>
    <row r="30" spans="5:18" ht="20.25" customHeight="1">
      <c r="E30" s="87" t="s">
        <v>561</v>
      </c>
      <c r="F30" s="88">
        <f>66753.01-640.82</f>
        <v>66112.189999999988</v>
      </c>
      <c r="G30" s="88"/>
      <c r="H30" s="88"/>
      <c r="I30" s="89">
        <v>0</v>
      </c>
      <c r="J30" s="89">
        <v>0</v>
      </c>
      <c r="K30" s="89">
        <v>0.85</v>
      </c>
      <c r="L30" s="89">
        <v>0.05</v>
      </c>
      <c r="M30" s="89">
        <v>0.1</v>
      </c>
      <c r="N30" s="75">
        <f>I30*$F$30</f>
        <v>0</v>
      </c>
      <c r="O30" s="75">
        <f>J30*$F$30</f>
        <v>0</v>
      </c>
      <c r="P30" s="75">
        <f>K30*$F$30</f>
        <v>56195.361499999985</v>
      </c>
      <c r="Q30" s="75">
        <f>L30*$F$30</f>
        <v>3305.6094999999996</v>
      </c>
      <c r="R30" s="75">
        <f>M30*$F$30</f>
        <v>6611.2189999999991</v>
      </c>
    </row>
    <row r="31" spans="5:18" ht="20.25" customHeight="1">
      <c r="E31" s="87" t="s">
        <v>561</v>
      </c>
      <c r="F31" s="88">
        <f>77821.87-1395.77</f>
        <v>76426.099999999991</v>
      </c>
      <c r="G31" s="88"/>
      <c r="H31" s="88"/>
      <c r="I31" s="89">
        <v>0</v>
      </c>
      <c r="J31" s="89">
        <v>0</v>
      </c>
      <c r="K31" s="89">
        <v>0.85</v>
      </c>
      <c r="L31" s="89">
        <v>0.05</v>
      </c>
      <c r="M31" s="89">
        <v>0.1</v>
      </c>
      <c r="N31" s="75">
        <f>I31*$F$31</f>
        <v>0</v>
      </c>
      <c r="O31" s="75">
        <f>J31*$F$31</f>
        <v>0</v>
      </c>
      <c r="P31" s="75">
        <f>K31*$F$31</f>
        <v>64962.18499999999</v>
      </c>
      <c r="Q31" s="75">
        <f>L31*$F$31</f>
        <v>3821.3049999999998</v>
      </c>
      <c r="R31" s="75">
        <f>M31*$F$31</f>
        <v>7642.61</v>
      </c>
    </row>
    <row r="32" spans="5:18" ht="20.25" customHeight="1">
      <c r="E32" s="87" t="s">
        <v>561</v>
      </c>
      <c r="F32" s="88">
        <f>81305.43-1389.43</f>
        <v>79916</v>
      </c>
      <c r="G32" s="88"/>
      <c r="H32" s="88"/>
      <c r="I32" s="89">
        <v>0</v>
      </c>
      <c r="J32" s="89">
        <v>0</v>
      </c>
      <c r="K32" s="89">
        <v>0.85</v>
      </c>
      <c r="L32" s="89">
        <v>0.05</v>
      </c>
      <c r="M32" s="89">
        <v>0.1</v>
      </c>
      <c r="N32" s="75">
        <f>I32*$F$32</f>
        <v>0</v>
      </c>
      <c r="O32" s="75">
        <f>J32*$F$32</f>
        <v>0</v>
      </c>
      <c r="P32" s="75">
        <f>K32*$F$32</f>
        <v>67928.599999999991</v>
      </c>
      <c r="Q32" s="75">
        <f>L32*$F$32</f>
        <v>3995.8</v>
      </c>
      <c r="R32" s="75">
        <f>M32*$F$32</f>
        <v>7991.6</v>
      </c>
    </row>
    <row r="33" spans="5:20" ht="20.25" customHeight="1">
      <c r="E33" s="87" t="s">
        <v>561</v>
      </c>
      <c r="F33" s="88">
        <f>30891.73</f>
        <v>30891.73</v>
      </c>
      <c r="G33" s="88"/>
      <c r="H33" s="88"/>
      <c r="I33" s="89">
        <v>0</v>
      </c>
      <c r="J33" s="89">
        <v>0</v>
      </c>
      <c r="K33" s="89">
        <v>0.85</v>
      </c>
      <c r="L33" s="89">
        <v>0.05</v>
      </c>
      <c r="M33" s="89">
        <v>0.1</v>
      </c>
      <c r="N33" s="75">
        <f>I33*$F$33</f>
        <v>0</v>
      </c>
      <c r="O33" s="75">
        <f>J33*$F$33</f>
        <v>0</v>
      </c>
      <c r="P33" s="75">
        <f>K33*$F$33</f>
        <v>26257.970499999999</v>
      </c>
      <c r="Q33" s="75">
        <f>L33*$F$33</f>
        <v>1544.5865000000001</v>
      </c>
      <c r="R33" s="75">
        <f>M33*$F$33</f>
        <v>3089.1730000000002</v>
      </c>
    </row>
    <row r="34" spans="5:20" ht="20.25" customHeight="1">
      <c r="E34" s="87" t="s">
        <v>561</v>
      </c>
      <c r="F34" s="88">
        <v>0</v>
      </c>
      <c r="G34" s="88"/>
      <c r="H34" s="88"/>
      <c r="I34" s="89">
        <v>0</v>
      </c>
      <c r="J34" s="89">
        <v>0</v>
      </c>
      <c r="K34" s="89">
        <v>0.85</v>
      </c>
      <c r="L34" s="89">
        <v>0.05</v>
      </c>
      <c r="M34" s="89">
        <v>0.1</v>
      </c>
      <c r="N34" s="75">
        <f>I34*$F$34</f>
        <v>0</v>
      </c>
      <c r="O34" s="75">
        <f>J34*$F$34</f>
        <v>0</v>
      </c>
      <c r="P34" s="75">
        <f>K34*$F$34</f>
        <v>0</v>
      </c>
      <c r="Q34" s="75">
        <f>L34*$F$34</f>
        <v>0</v>
      </c>
      <c r="R34" s="75">
        <f>M34*$F$34</f>
        <v>0</v>
      </c>
    </row>
    <row r="35" spans="5:20" ht="20.25" customHeight="1">
      <c r="E35" s="87" t="s">
        <v>834</v>
      </c>
      <c r="F35" s="88">
        <v>7455.79</v>
      </c>
      <c r="G35" s="88"/>
      <c r="H35" s="88"/>
      <c r="I35" s="89">
        <v>0</v>
      </c>
      <c r="J35" s="89">
        <v>0</v>
      </c>
      <c r="K35" s="89">
        <v>0.65</v>
      </c>
      <c r="L35" s="89">
        <v>0.1</v>
      </c>
      <c r="M35" s="89">
        <v>0.25</v>
      </c>
      <c r="N35" s="75">
        <f>I35*$F$35</f>
        <v>0</v>
      </c>
      <c r="O35" s="75">
        <f>J35*$F$35</f>
        <v>0</v>
      </c>
      <c r="P35" s="75">
        <f>K35*$F$35</f>
        <v>4846.2635</v>
      </c>
      <c r="Q35" s="75">
        <f>L35*$F$35</f>
        <v>745.57900000000006</v>
      </c>
      <c r="R35" s="75">
        <f>M35*$F$35</f>
        <v>1863.9475</v>
      </c>
    </row>
    <row r="36" spans="5:20" ht="20.25" customHeight="1">
      <c r="E36" s="87" t="s">
        <v>821</v>
      </c>
      <c r="F36" s="88">
        <f>91467.21-1772.73</f>
        <v>89694.48000000001</v>
      </c>
      <c r="G36" s="88"/>
      <c r="H36" s="88"/>
      <c r="I36" s="89">
        <v>0.01</v>
      </c>
      <c r="J36" s="89">
        <v>0.05</v>
      </c>
      <c r="K36" s="89">
        <v>0.36</v>
      </c>
      <c r="L36" s="89">
        <v>0.28000000000000003</v>
      </c>
      <c r="M36" s="89">
        <v>0.3</v>
      </c>
      <c r="N36" s="75">
        <f>I36*$F$36</f>
        <v>896.9448000000001</v>
      </c>
      <c r="O36" s="75">
        <f>J36*$F$36</f>
        <v>4484.7240000000011</v>
      </c>
      <c r="P36" s="75">
        <f>K36*$F$36</f>
        <v>32290.012800000004</v>
      </c>
      <c r="Q36" s="75">
        <f>L36*$F$36</f>
        <v>25114.454400000006</v>
      </c>
      <c r="R36" s="75">
        <f>M36*$F$36</f>
        <v>26908.344000000001</v>
      </c>
    </row>
    <row r="37" spans="5:20" ht="20.25" customHeight="1">
      <c r="E37" s="87" t="s">
        <v>822</v>
      </c>
      <c r="F37" s="88">
        <f>80145.63-1569.3</f>
        <v>78576.33</v>
      </c>
      <c r="G37" s="88"/>
      <c r="H37" s="88"/>
      <c r="I37" s="89">
        <v>0.1</v>
      </c>
      <c r="J37" s="89">
        <v>5.0000000000000001E-3</v>
      </c>
      <c r="K37" s="89">
        <v>0.41499999999999998</v>
      </c>
      <c r="L37" s="89">
        <v>0.23</v>
      </c>
      <c r="M37" s="89">
        <v>0.25</v>
      </c>
      <c r="N37" s="75">
        <f>I37*$F$37</f>
        <v>7857.6330000000007</v>
      </c>
      <c r="O37" s="75">
        <f>J37*$F$37</f>
        <v>392.88165000000004</v>
      </c>
      <c r="P37" s="75">
        <f>K37*$F$37</f>
        <v>32609.176950000001</v>
      </c>
      <c r="Q37" s="75">
        <f>L37*$F$37</f>
        <v>18072.555899999999</v>
      </c>
      <c r="R37" s="75">
        <f>M37*$F$37</f>
        <v>19644.0825</v>
      </c>
    </row>
    <row r="38" spans="5:20" ht="20.25" customHeight="1">
      <c r="E38" s="169" t="s">
        <v>823</v>
      </c>
      <c r="F38" s="88">
        <f>62998.02-1097.33</f>
        <v>61900.689999999995</v>
      </c>
      <c r="G38" s="88"/>
      <c r="H38" s="88"/>
      <c r="I38" s="89">
        <v>0.08</v>
      </c>
      <c r="J38" s="89">
        <v>0.01</v>
      </c>
      <c r="K38" s="89">
        <v>0.45</v>
      </c>
      <c r="L38" s="89">
        <v>0.26</v>
      </c>
      <c r="M38" s="89">
        <v>0.2</v>
      </c>
      <c r="N38" s="75">
        <f>I38*$F$38</f>
        <v>4952.0551999999998</v>
      </c>
      <c r="O38" s="75">
        <f>J38*$F$38</f>
        <v>619.00689999999997</v>
      </c>
      <c r="P38" s="75">
        <f>K38*$F$38</f>
        <v>27855.3105</v>
      </c>
      <c r="Q38" s="75">
        <f>L38*$F$38</f>
        <v>16094.179399999999</v>
      </c>
      <c r="R38" s="75">
        <f>M38*$F$38</f>
        <v>12380.137999999999</v>
      </c>
    </row>
    <row r="39" spans="5:20" ht="20.25" customHeight="1">
      <c r="E39" s="169" t="s">
        <v>823</v>
      </c>
      <c r="F39" s="88">
        <f>61669.9-1178.58</f>
        <v>60491.32</v>
      </c>
      <c r="G39" s="88"/>
      <c r="H39" s="88"/>
      <c r="I39" s="89">
        <v>0.08</v>
      </c>
      <c r="J39" s="89">
        <v>0.01</v>
      </c>
      <c r="K39" s="89">
        <v>0.45</v>
      </c>
      <c r="L39" s="89">
        <v>0.26</v>
      </c>
      <c r="M39" s="89">
        <v>0.2</v>
      </c>
      <c r="N39" s="75">
        <f>I39*$F$39</f>
        <v>4839.3055999999997</v>
      </c>
      <c r="O39" s="75">
        <f>J39*$F$39</f>
        <v>604.91319999999996</v>
      </c>
      <c r="P39" s="75">
        <f>K39*$F$39</f>
        <v>27221.094000000001</v>
      </c>
      <c r="Q39" s="75">
        <f>L39*$F$39</f>
        <v>15727.743200000001</v>
      </c>
      <c r="R39" s="75">
        <f>M39*$F$39</f>
        <v>12098.264000000001</v>
      </c>
    </row>
    <row r="40" spans="5:20" ht="20.25" customHeight="1">
      <c r="E40" s="87" t="s">
        <v>562</v>
      </c>
      <c r="F40" s="88">
        <f>73172.6-1411.53</f>
        <v>71761.070000000007</v>
      </c>
      <c r="G40" s="88"/>
      <c r="H40" s="88"/>
      <c r="I40" s="89">
        <v>0.4</v>
      </c>
      <c r="J40" s="89">
        <v>0</v>
      </c>
      <c r="K40" s="89">
        <v>0.1</v>
      </c>
      <c r="L40" s="89">
        <v>0.4</v>
      </c>
      <c r="M40" s="89">
        <v>0.1</v>
      </c>
      <c r="N40" s="75">
        <f>I40*$F$40</f>
        <v>28704.428000000004</v>
      </c>
      <c r="O40" s="75">
        <f>J40*$F$40</f>
        <v>0</v>
      </c>
      <c r="P40" s="75">
        <f>K40*$F$40</f>
        <v>7176.1070000000009</v>
      </c>
      <c r="Q40" s="75">
        <f>L40*$F$40</f>
        <v>28704.428000000004</v>
      </c>
      <c r="R40" s="75">
        <f>M40*$F$40</f>
        <v>7176.1070000000009</v>
      </c>
    </row>
    <row r="41" spans="5:20" ht="20.25" customHeight="1">
      <c r="E41" s="87" t="s">
        <v>563</v>
      </c>
      <c r="F41" s="88">
        <f>120072.4-2404.88</f>
        <v>117667.51999999999</v>
      </c>
      <c r="G41" s="88"/>
      <c r="H41" s="88"/>
      <c r="I41" s="89">
        <v>0.01</v>
      </c>
      <c r="J41" s="89">
        <v>1.4999999999999999E-2</v>
      </c>
      <c r="K41" s="89">
        <v>0.19500000000000001</v>
      </c>
      <c r="L41" s="89">
        <v>0.2</v>
      </c>
      <c r="M41" s="89">
        <v>0.57999999999999996</v>
      </c>
      <c r="N41" s="75">
        <f>I41*$F$41</f>
        <v>1176.6751999999999</v>
      </c>
      <c r="O41" s="75">
        <f>J41*$F$41</f>
        <v>1765.0127999999997</v>
      </c>
      <c r="P41" s="75">
        <f>K41*$F$41</f>
        <v>22945.166399999998</v>
      </c>
      <c r="Q41" s="75">
        <f>L41*$F$41</f>
        <v>23533.504000000001</v>
      </c>
      <c r="R41" s="75">
        <f>M41*$F$41</f>
        <v>68247.161599999992</v>
      </c>
    </row>
    <row r="42" spans="5:20" ht="20.25" customHeight="1" thickBot="1">
      <c r="E42" s="90" t="s">
        <v>824</v>
      </c>
      <c r="F42" s="91">
        <f>24596.02-426.76</f>
        <v>24169.260000000002</v>
      </c>
      <c r="G42" s="91"/>
      <c r="H42" s="91"/>
      <c r="I42" s="92">
        <v>0</v>
      </c>
      <c r="J42" s="92">
        <v>0</v>
      </c>
      <c r="K42" s="92">
        <v>0.5</v>
      </c>
      <c r="L42" s="92">
        <v>0.25</v>
      </c>
      <c r="M42" s="92">
        <v>0.25</v>
      </c>
      <c r="N42" s="75">
        <f>I42*$F$42</f>
        <v>0</v>
      </c>
      <c r="O42" s="75">
        <f>J42*$F$42</f>
        <v>0</v>
      </c>
      <c r="P42" s="75">
        <f>K42*$F$42</f>
        <v>12084.630000000001</v>
      </c>
      <c r="Q42" s="75">
        <f>L42*$F$42</f>
        <v>6042.3150000000005</v>
      </c>
      <c r="R42" s="75">
        <f>M42*$F$42</f>
        <v>6042.3150000000005</v>
      </c>
    </row>
    <row r="43" spans="5:20" ht="17.25" thickTop="1" thickBot="1">
      <c r="E43" s="93" t="s">
        <v>427</v>
      </c>
      <c r="F43" s="94">
        <f>SUM(F19:F42)</f>
        <v>1604530.11</v>
      </c>
      <c r="G43" s="94"/>
      <c r="H43" s="94"/>
      <c r="I43" s="95"/>
      <c r="J43" s="95"/>
      <c r="K43" s="95"/>
      <c r="L43" s="95"/>
      <c r="M43" s="95"/>
      <c r="N43" s="216">
        <f>SUM(N19:N42)</f>
        <v>51274.825400000002</v>
      </c>
      <c r="O43" s="216">
        <f>SUM(O19:O42)</f>
        <v>14798.897950000002</v>
      </c>
      <c r="P43" s="216">
        <f>SUM(P19:P42)</f>
        <v>1006017.06235</v>
      </c>
      <c r="Q43" s="216">
        <f>SUM(Q19:Q42)</f>
        <v>199232.66020000004</v>
      </c>
      <c r="R43" s="217">
        <f>SUM(R19:R42)</f>
        <v>333206.66409999999</v>
      </c>
      <c r="T43" s="96">
        <f>F43-N43-O43-P43-Q43-R43</f>
        <v>0</v>
      </c>
    </row>
    <row r="44" spans="5:20" ht="6.75" customHeight="1">
      <c r="I44" s="97"/>
      <c r="J44" s="97"/>
      <c r="K44" s="97"/>
      <c r="L44" s="97"/>
      <c r="M44" s="97"/>
      <c r="N44" s="98"/>
      <c r="O44" s="98"/>
      <c r="P44" s="98"/>
      <c r="Q44" s="98"/>
    </row>
    <row r="45" spans="5:20">
      <c r="I45" s="97"/>
      <c r="J45" s="97"/>
      <c r="K45" s="97"/>
      <c r="L45" s="97"/>
      <c r="M45" s="97"/>
      <c r="N45" s="98"/>
      <c r="O45" s="98"/>
      <c r="P45" s="98"/>
      <c r="Q45" s="98"/>
    </row>
    <row r="46" spans="5:20">
      <c r="F46" s="595" t="s">
        <v>669</v>
      </c>
      <c r="I46" s="97"/>
      <c r="J46" s="97"/>
      <c r="K46" s="97"/>
      <c r="L46" s="97"/>
      <c r="M46" s="97"/>
      <c r="N46" s="98"/>
      <c r="O46" s="98"/>
      <c r="P46" s="98"/>
      <c r="Q46" s="98"/>
    </row>
    <row r="47" spans="5:20">
      <c r="F47" s="80" t="s">
        <v>669</v>
      </c>
      <c r="I47" s="97"/>
      <c r="J47" s="97"/>
      <c r="K47" s="97"/>
      <c r="L47" s="97"/>
      <c r="M47" s="97"/>
    </row>
    <row r="48" spans="5:20">
      <c r="I48" s="97"/>
      <c r="J48" s="97"/>
      <c r="K48" s="97"/>
      <c r="L48" s="97"/>
      <c r="M48" s="97"/>
    </row>
    <row r="49" spans="9:13">
      <c r="I49" s="97"/>
      <c r="J49" s="97"/>
      <c r="K49" s="97"/>
      <c r="L49" s="97"/>
      <c r="M49" s="97"/>
    </row>
    <row r="50" spans="9:13">
      <c r="I50" s="97"/>
      <c r="J50" s="97"/>
      <c r="K50" s="97"/>
      <c r="L50" s="97"/>
      <c r="M50" s="97"/>
    </row>
    <row r="51" spans="9:13">
      <c r="I51" s="97"/>
      <c r="J51" s="97"/>
      <c r="K51" s="97"/>
      <c r="L51" s="97"/>
      <c r="M51" s="97"/>
    </row>
    <row r="52" spans="9:13">
      <c r="I52" s="97"/>
      <c r="J52" s="97"/>
      <c r="K52" s="97"/>
      <c r="L52" s="97"/>
      <c r="M52" s="97"/>
    </row>
    <row r="53" spans="9:13">
      <c r="I53" s="97"/>
      <c r="J53" s="97"/>
      <c r="K53" s="97"/>
      <c r="L53" s="97"/>
      <c r="M53" s="97"/>
    </row>
    <row r="54" spans="9:13">
      <c r="I54" s="97"/>
      <c r="J54" s="97"/>
      <c r="K54" s="97"/>
      <c r="L54" s="97"/>
      <c r="M54" s="97"/>
    </row>
    <row r="55" spans="9:13">
      <c r="I55" s="97"/>
      <c r="J55" s="97"/>
      <c r="K55" s="97"/>
      <c r="L55" s="97"/>
      <c r="M55" s="97"/>
    </row>
    <row r="56" spans="9:13">
      <c r="I56" s="97"/>
      <c r="J56" s="97"/>
      <c r="K56" s="97"/>
      <c r="L56" s="97"/>
      <c r="M56" s="97"/>
    </row>
    <row r="57" spans="9:13">
      <c r="I57" s="97"/>
      <c r="J57" s="97"/>
      <c r="K57" s="97"/>
      <c r="L57" s="97"/>
      <c r="M57" s="97"/>
    </row>
    <row r="58" spans="9:13">
      <c r="I58" s="97"/>
      <c r="J58" s="97"/>
      <c r="K58" s="97"/>
      <c r="L58" s="97"/>
      <c r="M58" s="97"/>
    </row>
    <row r="59" spans="9:13">
      <c r="I59" s="97"/>
      <c r="J59" s="97"/>
      <c r="K59" s="97"/>
      <c r="L59" s="97"/>
      <c r="M59" s="97"/>
    </row>
    <row r="60" spans="9:13">
      <c r="I60" s="97"/>
      <c r="J60" s="97"/>
      <c r="K60" s="97"/>
      <c r="L60" s="97"/>
      <c r="M60" s="97"/>
    </row>
    <row r="61" spans="9:13">
      <c r="I61" s="97"/>
      <c r="J61" s="97"/>
      <c r="K61" s="97"/>
      <c r="L61" s="97"/>
      <c r="M61" s="97"/>
    </row>
  </sheetData>
  <phoneticPr fontId="18" type="noConversion"/>
  <pageMargins left="0" right="0" top="2" bottom="1" header="0.5" footer="0.5"/>
  <pageSetup paperSize="5" scale="8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M29"/>
  <sheetViews>
    <sheetView showGridLines="0" topLeftCell="B3" zoomScale="75" workbookViewId="0">
      <selection activeCell="G13" sqref="G13"/>
    </sheetView>
  </sheetViews>
  <sheetFormatPr defaultColWidth="11.42578125" defaultRowHeight="15.75"/>
  <cols>
    <col min="1" max="1" width="9.140625" style="130" customWidth="1"/>
    <col min="2" max="2" width="0.85546875" style="130" customWidth="1"/>
    <col min="3" max="3" width="1.140625" style="130" customWidth="1"/>
    <col min="4" max="4" width="11.42578125" style="130" customWidth="1"/>
    <col min="5" max="5" width="31.28515625" style="130" customWidth="1"/>
    <col min="6" max="6" width="22.28515625" style="131" customWidth="1"/>
    <col min="7" max="7" width="24.7109375" style="131" customWidth="1"/>
    <col min="8" max="8" width="0.85546875" style="131" customWidth="1"/>
    <col min="9" max="9" width="1.42578125" style="130" customWidth="1"/>
    <col min="10" max="10" width="15" style="130" customWidth="1"/>
    <col min="11" max="11" width="11.42578125" style="130" customWidth="1"/>
    <col min="12" max="12" width="16.5703125" style="130" customWidth="1"/>
    <col min="13" max="13" width="45.5703125" style="130" customWidth="1"/>
    <col min="14" max="16384" width="11.42578125" style="130"/>
  </cols>
  <sheetData>
    <row r="2" spans="3:13" ht="4.5" customHeight="1"/>
    <row r="3" spans="3:13" ht="4.5" customHeight="1" thickBot="1"/>
    <row r="4" spans="3:13" ht="3.75" customHeight="1">
      <c r="C4" s="132"/>
      <c r="D4" s="133"/>
      <c r="E4" s="133"/>
      <c r="F4" s="134"/>
      <c r="G4" s="134"/>
      <c r="H4" s="135"/>
    </row>
    <row r="5" spans="3:13">
      <c r="C5" s="136"/>
      <c r="D5" s="100" t="s">
        <v>567</v>
      </c>
      <c r="E5" s="137"/>
      <c r="F5" s="138"/>
      <c r="G5" s="138"/>
      <c r="H5" s="139"/>
    </row>
    <row r="6" spans="3:13">
      <c r="C6" s="136"/>
      <c r="D6" s="137"/>
      <c r="E6" s="137"/>
      <c r="F6" s="138"/>
      <c r="G6" s="138"/>
      <c r="H6" s="139"/>
    </row>
    <row r="7" spans="3:13">
      <c r="C7" s="136"/>
      <c r="D7" s="137"/>
      <c r="E7" s="137"/>
      <c r="F7" s="140"/>
      <c r="G7" s="625">
        <v>2014</v>
      </c>
      <c r="H7" s="139"/>
    </row>
    <row r="8" spans="3:13">
      <c r="C8" s="136"/>
      <c r="D8" s="137"/>
      <c r="E8" s="137"/>
      <c r="F8" s="141" t="s">
        <v>564</v>
      </c>
      <c r="G8" s="141" t="s">
        <v>565</v>
      </c>
      <c r="H8" s="139"/>
    </row>
    <row r="9" spans="3:13">
      <c r="C9" s="136"/>
      <c r="D9" s="137"/>
      <c r="E9" s="137"/>
      <c r="F9" s="138"/>
      <c r="G9" s="142"/>
      <c r="H9" s="139"/>
    </row>
    <row r="10" spans="3:13">
      <c r="C10" s="136"/>
      <c r="D10" s="137"/>
      <c r="E10" s="143" t="s">
        <v>396</v>
      </c>
      <c r="F10" s="144">
        <f>'Att. O Data - Elk River'!G6</f>
        <v>3832473</v>
      </c>
      <c r="G10" s="669">
        <v>318544</v>
      </c>
      <c r="H10" s="139"/>
      <c r="J10" s="577" t="s">
        <v>669</v>
      </c>
    </row>
    <row r="11" spans="3:13">
      <c r="C11" s="136"/>
      <c r="D11" s="137"/>
      <c r="E11" s="143" t="s">
        <v>397</v>
      </c>
      <c r="F11" s="144">
        <f>'Att. O Data - Elk River'!G7</f>
        <v>710988</v>
      </c>
      <c r="G11" s="669">
        <v>22081</v>
      </c>
      <c r="H11" s="139"/>
      <c r="J11" s="577" t="s">
        <v>669</v>
      </c>
    </row>
    <row r="12" spans="3:13">
      <c r="C12" s="136"/>
      <c r="D12" s="137"/>
      <c r="E12" s="143" t="s">
        <v>398</v>
      </c>
      <c r="F12" s="144">
        <f>'Att. O Data - Elk River'!G8</f>
        <v>36058427</v>
      </c>
      <c r="G12" s="669">
        <v>1258763</v>
      </c>
      <c r="H12" s="139"/>
      <c r="J12" s="577" t="s">
        <v>669</v>
      </c>
    </row>
    <row r="13" spans="3:13" ht="16.5" thickBot="1">
      <c r="C13" s="136"/>
      <c r="D13" s="137"/>
      <c r="E13" s="143" t="s">
        <v>566</v>
      </c>
      <c r="F13" s="145">
        <f>'Att. O Data - Elk River'!G9</f>
        <v>6058878</v>
      </c>
      <c r="G13" s="670">
        <v>314674</v>
      </c>
      <c r="H13" s="139" t="e">
        <f>F13-G13-#REF!</f>
        <v>#REF!</v>
      </c>
      <c r="J13" s="577" t="s">
        <v>669</v>
      </c>
    </row>
    <row r="14" spans="3:13" ht="64.5" thickTop="1" thickBot="1">
      <c r="C14" s="136"/>
      <c r="D14" s="137"/>
      <c r="E14" s="143" t="s">
        <v>427</v>
      </c>
      <c r="F14" s="144">
        <f>SUM(F10:F13)</f>
        <v>46660766</v>
      </c>
      <c r="G14" s="144">
        <f>SUM(G10:G13)</f>
        <v>1914062</v>
      </c>
      <c r="H14" s="139"/>
      <c r="J14" s="146" t="s">
        <v>669</v>
      </c>
      <c r="L14" s="147">
        <v>1914062</v>
      </c>
      <c r="M14" s="152" t="s">
        <v>902</v>
      </c>
    </row>
    <row r="15" spans="3:13">
      <c r="C15" s="136"/>
      <c r="D15" s="137"/>
      <c r="E15" s="137"/>
      <c r="F15" s="138"/>
      <c r="G15" s="138"/>
      <c r="H15" s="139"/>
    </row>
    <row r="16" spans="3:13">
      <c r="C16" s="136"/>
      <c r="D16" s="137"/>
      <c r="E16" s="137"/>
      <c r="F16" s="138"/>
      <c r="G16" s="138"/>
      <c r="H16" s="139"/>
    </row>
    <row r="17" spans="3:10">
      <c r="C17" s="136"/>
      <c r="D17" s="137"/>
      <c r="E17" s="143"/>
      <c r="F17" s="138"/>
      <c r="G17" s="138"/>
      <c r="H17" s="139"/>
    </row>
    <row r="18" spans="3:10">
      <c r="C18" s="136"/>
      <c r="D18" s="137"/>
      <c r="E18" s="137"/>
      <c r="F18" s="138"/>
      <c r="G18" s="138"/>
      <c r="H18" s="139"/>
    </row>
    <row r="19" spans="3:10">
      <c r="C19" s="136"/>
      <c r="D19" s="137"/>
      <c r="E19" s="137"/>
      <c r="F19" s="138"/>
      <c r="G19" s="138"/>
      <c r="H19" s="139"/>
    </row>
    <row r="20" spans="3:10">
      <c r="C20" s="136"/>
      <c r="D20" s="137"/>
      <c r="E20" s="137"/>
      <c r="F20" s="138"/>
      <c r="G20" s="138"/>
      <c r="H20" s="139"/>
    </row>
    <row r="21" spans="3:10" ht="4.5" customHeight="1" thickBot="1">
      <c r="C21" s="148"/>
      <c r="D21" s="149"/>
      <c r="E21" s="149"/>
      <c r="F21" s="150"/>
      <c r="G21" s="150"/>
      <c r="H21" s="151"/>
    </row>
    <row r="22" spans="3:10" ht="4.5" customHeight="1"/>
    <row r="29" spans="3:10">
      <c r="F29" s="578" t="s">
        <v>669</v>
      </c>
      <c r="J29" s="577" t="s">
        <v>669</v>
      </c>
    </row>
  </sheetData>
  <phoneticPr fontId="37" type="noConversion"/>
  <pageMargins left="2.25" right="0.75" top="1" bottom="1" header="0.5" footer="0.5"/>
  <pageSetup orientation="landscape" horizontalDpi="300" verticalDpi="300" r:id="rId1"/>
  <headerFooter alignWithMargins="0"/>
  <ignoredErrors>
    <ignoredError sqref="H13" evalErro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55"/>
  <sheetViews>
    <sheetView showGridLines="0" topLeftCell="C27" workbookViewId="0">
      <selection activeCell="E50" sqref="E50"/>
    </sheetView>
  </sheetViews>
  <sheetFormatPr defaultRowHeight="12.75"/>
  <cols>
    <col min="1" max="1" width="9.140625" style="231"/>
    <col min="2" max="2" width="1.140625" style="231" customWidth="1"/>
    <col min="3" max="3" width="1.85546875" style="231" customWidth="1"/>
    <col min="4" max="4" width="41.42578125" style="231" customWidth="1"/>
    <col min="5" max="5" width="19.7109375" style="232" customWidth="1"/>
    <col min="6" max="6" width="15.5703125" style="231" customWidth="1"/>
    <col min="7" max="8" width="1.85546875" style="231" customWidth="1"/>
    <col min="9" max="9" width="14" style="231" bestFit="1" customWidth="1"/>
    <col min="10" max="10" width="19.5703125" style="231" bestFit="1" customWidth="1"/>
    <col min="11" max="16384" width="9.140625" style="231"/>
  </cols>
  <sheetData>
    <row r="3" spans="3:11" ht="13.5" thickBot="1"/>
    <row r="4" spans="3:11">
      <c r="C4" s="233"/>
      <c r="D4" s="234"/>
      <c r="E4" s="235"/>
      <c r="F4" s="234"/>
      <c r="G4" s="236"/>
    </row>
    <row r="5" spans="3:11" ht="15.75">
      <c r="C5" s="237"/>
      <c r="D5" s="238" t="s">
        <v>594</v>
      </c>
      <c r="E5" s="239"/>
      <c r="F5" s="240"/>
      <c r="G5" s="241"/>
      <c r="I5" s="589">
        <v>42004</v>
      </c>
    </row>
    <row r="6" spans="3:11">
      <c r="C6" s="237"/>
      <c r="D6" s="240"/>
      <c r="E6" s="239"/>
      <c r="F6" s="240"/>
      <c r="G6" s="241"/>
      <c r="I6" s="590" t="s">
        <v>121</v>
      </c>
    </row>
    <row r="7" spans="3:11">
      <c r="C7" s="237"/>
      <c r="D7" s="242" t="s">
        <v>819</v>
      </c>
      <c r="E7" s="239"/>
      <c r="F7" s="240"/>
      <c r="G7" s="241"/>
    </row>
    <row r="8" spans="3:11">
      <c r="C8" s="237"/>
      <c r="D8" s="243" t="s">
        <v>816</v>
      </c>
      <c r="E8" s="665">
        <v>68000</v>
      </c>
      <c r="F8" s="671"/>
      <c r="G8" s="241"/>
    </row>
    <row r="9" spans="3:11">
      <c r="C9" s="237"/>
      <c r="D9" s="243" t="s">
        <v>587</v>
      </c>
      <c r="E9" s="593"/>
      <c r="F9" s="593">
        <v>31248.42</v>
      </c>
      <c r="G9" s="241"/>
    </row>
    <row r="10" spans="3:11">
      <c r="C10" s="237"/>
      <c r="D10" s="243" t="s">
        <v>588</v>
      </c>
      <c r="E10" s="665">
        <f>SUM(E8:E9)</f>
        <v>68000</v>
      </c>
      <c r="F10" s="665">
        <f>SUM(F8:F9)</f>
        <v>31248.42</v>
      </c>
      <c r="G10" s="241"/>
      <c r="I10" s="663">
        <v>820556</v>
      </c>
      <c r="J10" s="624"/>
      <c r="K10" s="231" t="s">
        <v>669</v>
      </c>
    </row>
    <row r="11" spans="3:11">
      <c r="C11" s="237"/>
      <c r="D11" s="240"/>
      <c r="E11" s="665"/>
      <c r="F11" s="671"/>
      <c r="G11" s="241"/>
    </row>
    <row r="12" spans="3:11">
      <c r="C12" s="237"/>
      <c r="D12" s="240"/>
      <c r="E12" s="665"/>
      <c r="F12" s="671"/>
      <c r="G12" s="241"/>
    </row>
    <row r="13" spans="3:11">
      <c r="C13" s="237"/>
      <c r="D13" s="245" t="s">
        <v>589</v>
      </c>
      <c r="E13" s="665"/>
      <c r="F13" s="671"/>
      <c r="G13" s="241"/>
    </row>
    <row r="14" spans="3:11">
      <c r="C14" s="237"/>
      <c r="D14" s="243" t="s">
        <v>816</v>
      </c>
      <c r="E14" s="665"/>
      <c r="F14" s="671"/>
      <c r="G14" s="241"/>
    </row>
    <row r="15" spans="3:11">
      <c r="C15" s="237"/>
      <c r="D15" s="243" t="s">
        <v>587</v>
      </c>
      <c r="E15" s="593"/>
      <c r="F15" s="593"/>
      <c r="G15" s="241"/>
    </row>
    <row r="16" spans="3:11">
      <c r="C16" s="237"/>
      <c r="D16" s="243" t="s">
        <v>588</v>
      </c>
      <c r="E16" s="666">
        <f>SUM(E14:E15)</f>
        <v>0</v>
      </c>
      <c r="F16" s="666">
        <f>SUM(F14:F15)</f>
        <v>0</v>
      </c>
      <c r="G16" s="241"/>
      <c r="I16" s="588">
        <v>0</v>
      </c>
    </row>
    <row r="17" spans="3:10">
      <c r="C17" s="237"/>
      <c r="D17" s="240"/>
      <c r="E17" s="665"/>
      <c r="F17" s="671"/>
      <c r="G17" s="241"/>
      <c r="I17" s="588"/>
    </row>
    <row r="18" spans="3:10">
      <c r="C18" s="237"/>
      <c r="D18" s="240"/>
      <c r="E18" s="665"/>
      <c r="F18" s="671"/>
      <c r="G18" s="241"/>
      <c r="I18" s="588"/>
    </row>
    <row r="19" spans="3:10">
      <c r="C19" s="237"/>
      <c r="D19" s="242" t="s">
        <v>590</v>
      </c>
      <c r="E19" s="665"/>
      <c r="F19" s="671"/>
      <c r="G19" s="241"/>
      <c r="I19" s="588"/>
    </row>
    <row r="20" spans="3:10">
      <c r="C20" s="237"/>
      <c r="D20" s="243" t="s">
        <v>816</v>
      </c>
      <c r="E20" s="665"/>
      <c r="F20" s="671"/>
      <c r="G20" s="241"/>
      <c r="I20" s="588"/>
    </row>
    <row r="21" spans="3:10">
      <c r="C21" s="237"/>
      <c r="D21" s="243" t="s">
        <v>587</v>
      </c>
      <c r="E21" s="593"/>
      <c r="F21" s="593"/>
      <c r="G21" s="241"/>
      <c r="I21" s="588"/>
    </row>
    <row r="22" spans="3:10">
      <c r="C22" s="237"/>
      <c r="D22" s="243" t="s">
        <v>588</v>
      </c>
      <c r="E22" s="665">
        <f>SUM(E20:E21)</f>
        <v>0</v>
      </c>
      <c r="F22" s="665">
        <f>SUM(F20:F21)</f>
        <v>0</v>
      </c>
      <c r="G22" s="241"/>
      <c r="I22" s="588">
        <v>0</v>
      </c>
    </row>
    <row r="23" spans="3:10">
      <c r="C23" s="237"/>
      <c r="D23" s="243"/>
      <c r="E23" s="665"/>
      <c r="F23" s="671"/>
      <c r="G23" s="241"/>
      <c r="I23" s="588"/>
    </row>
    <row r="24" spans="3:10">
      <c r="C24" s="237"/>
      <c r="D24" s="242"/>
      <c r="E24" s="665"/>
      <c r="F24" s="671"/>
      <c r="G24" s="241"/>
      <c r="I24" s="588"/>
    </row>
    <row r="25" spans="3:10">
      <c r="C25" s="237"/>
      <c r="D25" s="242" t="s">
        <v>591</v>
      </c>
      <c r="E25" s="665"/>
      <c r="F25" s="671"/>
      <c r="G25" s="241"/>
      <c r="I25" s="588"/>
    </row>
    <row r="26" spans="3:10">
      <c r="C26" s="237"/>
      <c r="D26" s="243" t="s">
        <v>816</v>
      </c>
      <c r="E26" s="665"/>
      <c r="F26" s="671"/>
      <c r="G26" s="241"/>
      <c r="I26" s="588"/>
    </row>
    <row r="27" spans="3:10">
      <c r="C27" s="237"/>
      <c r="D27" s="243" t="s">
        <v>587</v>
      </c>
      <c r="E27" s="593"/>
      <c r="F27" s="593">
        <v>41311.25</v>
      </c>
      <c r="G27" s="241"/>
      <c r="I27" s="588"/>
    </row>
    <row r="28" spans="3:10">
      <c r="C28" s="237"/>
      <c r="D28" s="243" t="s">
        <v>588</v>
      </c>
      <c r="E28" s="665">
        <f>SUM(E26:E27)</f>
        <v>0</v>
      </c>
      <c r="F28" s="665">
        <f>SUM(F26:F27)</f>
        <v>41311.25</v>
      </c>
      <c r="G28" s="241"/>
      <c r="I28" s="588"/>
      <c r="J28" s="231" t="s">
        <v>904</v>
      </c>
    </row>
    <row r="29" spans="3:10">
      <c r="C29" s="237"/>
      <c r="D29" s="243"/>
      <c r="E29" s="665"/>
      <c r="F29" s="665"/>
      <c r="G29" s="241"/>
      <c r="I29" s="588"/>
      <c r="J29" s="576" t="s">
        <v>669</v>
      </c>
    </row>
    <row r="30" spans="3:10">
      <c r="C30" s="237"/>
      <c r="D30" s="246" t="s">
        <v>627</v>
      </c>
      <c r="E30" s="665"/>
      <c r="F30" s="665"/>
      <c r="G30" s="241"/>
      <c r="I30" s="588"/>
    </row>
    <row r="31" spans="3:10">
      <c r="C31" s="237"/>
      <c r="D31" s="243" t="s">
        <v>816</v>
      </c>
      <c r="E31" s="665">
        <v>200000</v>
      </c>
      <c r="F31" s="665"/>
      <c r="G31" s="241"/>
      <c r="I31" s="588"/>
    </row>
    <row r="32" spans="3:10">
      <c r="C32" s="237"/>
      <c r="D32" s="243" t="s">
        <v>587</v>
      </c>
      <c r="E32" s="593"/>
      <c r="F32" s="593">
        <v>82400</v>
      </c>
      <c r="G32" s="241"/>
      <c r="I32" s="588"/>
    </row>
    <row r="33" spans="3:10">
      <c r="C33" s="237"/>
      <c r="D33" s="243" t="s">
        <v>588</v>
      </c>
      <c r="E33" s="665">
        <f>SUM(E31:E32)</f>
        <v>200000</v>
      </c>
      <c r="F33" s="665">
        <f>SUM(F31:F32)</f>
        <v>82400</v>
      </c>
      <c r="G33" s="241"/>
      <c r="I33" s="588">
        <v>1960000</v>
      </c>
    </row>
    <row r="34" spans="3:10">
      <c r="C34" s="237"/>
      <c r="D34" s="243"/>
      <c r="E34" s="665"/>
      <c r="F34" s="665"/>
      <c r="G34" s="241"/>
      <c r="I34" s="588"/>
    </row>
    <row r="35" spans="3:10">
      <c r="C35" s="237"/>
      <c r="D35" s="246" t="s">
        <v>903</v>
      </c>
      <c r="E35" s="665"/>
      <c r="F35" s="665"/>
      <c r="G35" s="241"/>
      <c r="I35" s="588"/>
    </row>
    <row r="36" spans="3:10">
      <c r="C36" s="237"/>
      <c r="D36" s="243" t="s">
        <v>816</v>
      </c>
      <c r="E36" s="665">
        <v>405000</v>
      </c>
      <c r="F36" s="665"/>
      <c r="G36" s="241"/>
      <c r="I36" s="588"/>
    </row>
    <row r="37" spans="3:10">
      <c r="C37" s="237"/>
      <c r="D37" s="243" t="s">
        <v>587</v>
      </c>
      <c r="E37" s="593"/>
      <c r="F37" s="593">
        <v>20163.330000000002</v>
      </c>
      <c r="G37" s="241"/>
      <c r="I37" s="588"/>
    </row>
    <row r="38" spans="3:10">
      <c r="C38" s="237"/>
      <c r="D38" s="243" t="s">
        <v>588</v>
      </c>
      <c r="E38" s="665">
        <f>SUM(E36:E37)</f>
        <v>405000</v>
      </c>
      <c r="F38" s="665">
        <f>SUM(F36:F37)</f>
        <v>20163.330000000002</v>
      </c>
      <c r="G38" s="241"/>
      <c r="I38" s="588">
        <v>1625000</v>
      </c>
    </row>
    <row r="39" spans="3:10">
      <c r="C39" s="237"/>
      <c r="D39" s="240"/>
      <c r="E39" s="244"/>
      <c r="F39" s="671"/>
      <c r="G39" s="241"/>
      <c r="I39" s="588"/>
    </row>
    <row r="40" spans="3:10">
      <c r="C40" s="237"/>
      <c r="D40" s="243" t="s">
        <v>817</v>
      </c>
      <c r="E40" s="594">
        <f>E8+E14+E20+E26+E31+E36</f>
        <v>673000</v>
      </c>
      <c r="F40" s="594">
        <f>F9+F15+F21+F27+F32+F37</f>
        <v>175123</v>
      </c>
      <c r="G40" s="241"/>
      <c r="I40" s="664">
        <f>I10+I16+I22+I28+I33+I38</f>
        <v>4405556</v>
      </c>
      <c r="J40" s="591">
        <f>I40-'EIA 412 BALANCE SHEET'!F19</f>
        <v>0</v>
      </c>
    </row>
    <row r="41" spans="3:10">
      <c r="C41" s="237"/>
      <c r="D41" s="592" t="s">
        <v>122</v>
      </c>
      <c r="E41" s="665">
        <f>E8+E26+E20+E14+E31+E36</f>
        <v>673000</v>
      </c>
      <c r="F41" s="665">
        <f>F32+F27+F21+F15+F9+F37</f>
        <v>175123</v>
      </c>
      <c r="G41" s="241"/>
      <c r="I41" s="588"/>
    </row>
    <row r="42" spans="3:10">
      <c r="C42" s="237"/>
      <c r="D42" s="240"/>
      <c r="E42" s="239"/>
      <c r="F42" s="239"/>
      <c r="G42" s="241"/>
      <c r="I42" s="588"/>
      <c r="J42" s="634"/>
    </row>
    <row r="43" spans="3:10">
      <c r="C43" s="237"/>
      <c r="D43" s="248" t="s">
        <v>592</v>
      </c>
      <c r="E43" s="239"/>
      <c r="F43" s="249"/>
      <c r="G43" s="241"/>
      <c r="I43" s="588"/>
    </row>
    <row r="44" spans="3:10">
      <c r="C44" s="237"/>
      <c r="D44" s="243" t="s">
        <v>816</v>
      </c>
      <c r="E44" s="244">
        <v>189353</v>
      </c>
      <c r="F44" s="240"/>
      <c r="G44" s="241"/>
      <c r="I44" s="588">
        <v>1599876</v>
      </c>
    </row>
    <row r="45" spans="3:10">
      <c r="C45" s="237"/>
      <c r="D45" s="248"/>
      <c r="E45" s="247">
        <f>SUM(E44)</f>
        <v>189353</v>
      </c>
      <c r="F45" s="240"/>
      <c r="G45" s="241"/>
      <c r="I45" s="588"/>
    </row>
    <row r="46" spans="3:10">
      <c r="C46" s="237"/>
      <c r="D46" s="248"/>
      <c r="E46" s="239"/>
      <c r="F46" s="240"/>
      <c r="G46" s="241"/>
      <c r="I46" s="588"/>
    </row>
    <row r="47" spans="3:10">
      <c r="C47" s="237"/>
      <c r="D47" s="248" t="s">
        <v>593</v>
      </c>
      <c r="E47" s="239"/>
      <c r="F47" s="249"/>
      <c r="G47" s="241"/>
      <c r="I47" s="588"/>
    </row>
    <row r="48" spans="3:10">
      <c r="C48" s="237"/>
      <c r="D48" s="248"/>
      <c r="E48" s="239"/>
      <c r="F48" s="249"/>
      <c r="G48" s="241"/>
      <c r="I48" s="588"/>
    </row>
    <row r="49" spans="3:9">
      <c r="C49" s="237"/>
      <c r="D49" s="240"/>
      <c r="E49" s="244"/>
      <c r="F49" s="250"/>
      <c r="G49" s="241"/>
      <c r="I49" s="588"/>
    </row>
    <row r="50" spans="3:9" ht="13.5" thickBot="1">
      <c r="C50" s="237"/>
      <c r="D50" s="243" t="s">
        <v>818</v>
      </c>
      <c r="E50" s="251">
        <f>E40+E45</f>
        <v>862353</v>
      </c>
      <c r="F50" s="252">
        <f>F41</f>
        <v>175123</v>
      </c>
      <c r="G50" s="241"/>
      <c r="I50" s="635">
        <f>I40+I44</f>
        <v>6005432</v>
      </c>
    </row>
    <row r="51" spans="3:9" ht="14.25" thickTop="1" thickBot="1">
      <c r="C51" s="253"/>
      <c r="D51" s="254"/>
      <c r="E51" s="255"/>
      <c r="F51" s="254"/>
      <c r="G51" s="256"/>
    </row>
    <row r="53" spans="3:9">
      <c r="E53" s="239" t="s">
        <v>669</v>
      </c>
      <c r="F53" s="249"/>
      <c r="I53" s="591" t="s">
        <v>669</v>
      </c>
    </row>
    <row r="54" spans="3:9">
      <c r="D54" s="257"/>
      <c r="E54" s="232" t="s">
        <v>669</v>
      </c>
      <c r="F54" s="249"/>
    </row>
    <row r="55" spans="3:9">
      <c r="I55" s="231" t="s">
        <v>669</v>
      </c>
    </row>
  </sheetData>
  <phoneticPr fontId="47" type="noConversion"/>
  <pageMargins left="0.75" right="0.75" top="1" bottom="1" header="0.5" footer="0.5"/>
  <pageSetup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4:N30"/>
  <sheetViews>
    <sheetView showGridLines="0" topLeftCell="A4" zoomScale="75" workbookViewId="0">
      <selection activeCell="E27" sqref="E27"/>
    </sheetView>
  </sheetViews>
  <sheetFormatPr defaultRowHeight="15"/>
  <cols>
    <col min="1" max="1" width="9.140625" style="153"/>
    <col min="2" max="3" width="2.7109375" style="153" customWidth="1"/>
    <col min="4" max="4" width="13" style="153" customWidth="1"/>
    <col min="5" max="7" width="12.85546875" style="153" customWidth="1"/>
    <col min="8" max="9" width="12.85546875" customWidth="1"/>
    <col min="10" max="10" width="3.42578125" customWidth="1"/>
    <col min="11" max="11" width="3.42578125" style="153" customWidth="1"/>
    <col min="12" max="12" width="9.85546875" style="153" bestFit="1" customWidth="1"/>
    <col min="13" max="13" width="23.85546875" style="153" customWidth="1"/>
    <col min="14" max="16384" width="9.140625" style="153"/>
  </cols>
  <sheetData>
    <row r="4" spans="3:14" ht="9" customHeight="1" thickBot="1"/>
    <row r="5" spans="3:14" ht="9" customHeight="1">
      <c r="C5" s="154"/>
      <c r="D5" s="155"/>
      <c r="E5" s="155"/>
      <c r="F5" s="155"/>
      <c r="G5" s="155"/>
    </row>
    <row r="6" spans="3:14" ht="18">
      <c r="C6" s="156"/>
      <c r="D6" s="100" t="s">
        <v>861</v>
      </c>
      <c r="E6" s="157"/>
      <c r="F6" s="158"/>
      <c r="G6" s="158"/>
    </row>
    <row r="7" spans="3:14" ht="15.75">
      <c r="C7" s="156"/>
      <c r="D7" s="159"/>
      <c r="E7" s="157"/>
      <c r="F7" s="157"/>
      <c r="G7" s="157"/>
    </row>
    <row r="8" spans="3:14">
      <c r="C8" s="156"/>
      <c r="D8" s="159"/>
      <c r="E8" s="159"/>
      <c r="F8" s="159"/>
      <c r="G8" s="159"/>
    </row>
    <row r="9" spans="3:14" ht="15.75">
      <c r="C9" s="156"/>
      <c r="D9" s="157">
        <v>2014</v>
      </c>
      <c r="E9" s="159"/>
      <c r="G9" s="159"/>
    </row>
    <row r="10" spans="3:14">
      <c r="C10" s="156"/>
      <c r="D10" s="159"/>
      <c r="E10" s="159"/>
      <c r="F10" s="160"/>
      <c r="G10" s="159"/>
    </row>
    <row r="11" spans="3:14">
      <c r="C11" s="156"/>
      <c r="D11" s="159"/>
      <c r="E11" s="159"/>
      <c r="F11" s="160"/>
      <c r="G11" s="159"/>
    </row>
    <row r="12" spans="3:14" ht="21" customHeight="1">
      <c r="C12" s="156"/>
      <c r="D12" s="161"/>
      <c r="E12" s="586" t="s">
        <v>862</v>
      </c>
      <c r="F12"/>
      <c r="G12"/>
    </row>
    <row r="13" spans="3:14" ht="21" customHeight="1" thickBot="1">
      <c r="C13" s="156"/>
      <c r="D13" s="162"/>
      <c r="E13" s="162" t="s">
        <v>571</v>
      </c>
      <c r="F13"/>
      <c r="G13"/>
      <c r="K13"/>
      <c r="L13"/>
      <c r="M13"/>
      <c r="N13"/>
    </row>
    <row r="14" spans="3:14" ht="21" customHeight="1">
      <c r="C14" s="156"/>
      <c r="D14" s="161" t="s">
        <v>572</v>
      </c>
      <c r="E14" s="733">
        <v>42797.5</v>
      </c>
      <c r="F14"/>
      <c r="G14"/>
      <c r="K14"/>
      <c r="L14"/>
      <c r="M14"/>
      <c r="N14"/>
    </row>
    <row r="15" spans="3:14" ht="21" customHeight="1">
      <c r="C15" s="156"/>
      <c r="D15" s="161" t="s">
        <v>573</v>
      </c>
      <c r="E15" s="733">
        <v>40082.5</v>
      </c>
      <c r="F15"/>
      <c r="G15"/>
      <c r="K15"/>
      <c r="L15"/>
      <c r="M15"/>
      <c r="N15"/>
    </row>
    <row r="16" spans="3:14" ht="21" customHeight="1">
      <c r="C16" s="156"/>
      <c r="D16" s="161" t="s">
        <v>574</v>
      </c>
      <c r="E16" s="733">
        <v>37173</v>
      </c>
      <c r="F16"/>
      <c r="G16"/>
      <c r="K16"/>
      <c r="L16"/>
      <c r="M16"/>
      <c r="N16"/>
    </row>
    <row r="17" spans="3:14" ht="21" customHeight="1">
      <c r="C17" s="156"/>
      <c r="D17" s="161" t="s">
        <v>575</v>
      </c>
      <c r="E17" s="733">
        <v>35507.47</v>
      </c>
      <c r="F17"/>
      <c r="G17"/>
      <c r="K17"/>
      <c r="L17"/>
      <c r="M17"/>
      <c r="N17"/>
    </row>
    <row r="18" spans="3:14" ht="21" customHeight="1">
      <c r="C18" s="156"/>
      <c r="D18" s="161" t="s">
        <v>576</v>
      </c>
      <c r="E18" s="733">
        <v>45458</v>
      </c>
      <c r="F18"/>
      <c r="G18"/>
      <c r="K18"/>
      <c r="L18"/>
      <c r="M18"/>
      <c r="N18"/>
    </row>
    <row r="19" spans="3:14" ht="21" customHeight="1">
      <c r="C19" s="156"/>
      <c r="D19" s="161" t="s">
        <v>577</v>
      </c>
      <c r="E19" s="733">
        <v>46040.31</v>
      </c>
      <c r="F19"/>
      <c r="G19"/>
      <c r="K19"/>
      <c r="L19"/>
      <c r="M19"/>
      <c r="N19"/>
    </row>
    <row r="20" spans="3:14" ht="21" customHeight="1">
      <c r="C20" s="156"/>
      <c r="D20" s="161" t="s">
        <v>578</v>
      </c>
      <c r="E20" s="733">
        <v>47478.5</v>
      </c>
      <c r="F20"/>
      <c r="G20"/>
      <c r="K20"/>
      <c r="L20"/>
      <c r="M20"/>
      <c r="N20"/>
    </row>
    <row r="21" spans="3:14" ht="21" customHeight="1">
      <c r="C21" s="156"/>
      <c r="D21" s="161" t="s">
        <v>579</v>
      </c>
      <c r="E21" s="733">
        <v>46280.3</v>
      </c>
      <c r="F21"/>
      <c r="G21"/>
      <c r="K21"/>
      <c r="L21"/>
      <c r="M21"/>
      <c r="N21"/>
    </row>
    <row r="22" spans="3:14" ht="21" customHeight="1">
      <c r="C22" s="156"/>
      <c r="D22" s="161" t="s">
        <v>580</v>
      </c>
      <c r="E22" s="733">
        <v>46459.5</v>
      </c>
      <c r="F22"/>
      <c r="G22"/>
      <c r="K22"/>
      <c r="L22"/>
      <c r="M22"/>
      <c r="N22"/>
    </row>
    <row r="23" spans="3:14" ht="21" customHeight="1">
      <c r="C23" s="156"/>
      <c r="D23" s="161" t="s">
        <v>581</v>
      </c>
      <c r="E23" s="733">
        <v>35371.46</v>
      </c>
      <c r="F23"/>
      <c r="G23"/>
      <c r="K23"/>
      <c r="L23"/>
      <c r="M23"/>
      <c r="N23"/>
    </row>
    <row r="24" spans="3:14" ht="21" customHeight="1">
      <c r="C24" s="156"/>
      <c r="D24" s="161" t="s">
        <v>582</v>
      </c>
      <c r="E24" s="733">
        <v>38462.300000000003</v>
      </c>
      <c r="F24"/>
      <c r="G24"/>
      <c r="K24"/>
      <c r="L24"/>
      <c r="M24"/>
      <c r="N24"/>
    </row>
    <row r="25" spans="3:14" ht="21" customHeight="1" thickBot="1">
      <c r="C25" s="156"/>
      <c r="D25" s="162" t="s">
        <v>583</v>
      </c>
      <c r="E25" s="734">
        <v>40093.449999999997</v>
      </c>
      <c r="F25"/>
      <c r="G25"/>
      <c r="K25"/>
      <c r="L25"/>
      <c r="M25"/>
      <c r="N25"/>
    </row>
    <row r="26" spans="3:14" ht="21" customHeight="1">
      <c r="C26" s="156"/>
      <c r="D26" s="161" t="s">
        <v>427</v>
      </c>
      <c r="E26" s="163">
        <f>SUM(E14:E25)</f>
        <v>501204.29000000004</v>
      </c>
      <c r="F26"/>
      <c r="G26"/>
      <c r="K26"/>
      <c r="L26"/>
      <c r="M26"/>
      <c r="N26"/>
    </row>
    <row r="27" spans="3:14" ht="21" customHeight="1">
      <c r="C27" s="156"/>
      <c r="D27" s="166" t="s">
        <v>863</v>
      </c>
      <c r="E27" s="167">
        <f>E26/12</f>
        <v>41767.02416666667</v>
      </c>
      <c r="F27"/>
      <c r="G27"/>
      <c r="K27"/>
      <c r="L27"/>
      <c r="M27"/>
      <c r="N27"/>
    </row>
    <row r="28" spans="3:14" ht="8.25" customHeight="1" thickBot="1">
      <c r="C28" s="164"/>
      <c r="D28" s="165"/>
      <c r="E28" s="165"/>
      <c r="F28"/>
      <c r="G28"/>
      <c r="K28"/>
      <c r="L28"/>
      <c r="M28"/>
      <c r="N28"/>
    </row>
    <row r="29" spans="3:14" ht="8.25" customHeight="1">
      <c r="F29"/>
      <c r="G29"/>
    </row>
    <row r="30" spans="3:14">
      <c r="E30" s="587" t="s">
        <v>669</v>
      </c>
      <c r="F30"/>
      <c r="G30"/>
    </row>
  </sheetData>
  <phoneticPr fontId="18" type="noConversion"/>
  <pageMargins left="2.71" right="0.7" top="0.98" bottom="0.75" header="0.3" footer="0.3"/>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L37"/>
  <sheetViews>
    <sheetView showGridLines="0" topLeftCell="A9" workbookViewId="0">
      <selection activeCell="O23" sqref="O23"/>
    </sheetView>
  </sheetViews>
  <sheetFormatPr defaultRowHeight="15"/>
  <cols>
    <col min="1" max="1" width="9.140625" style="180"/>
    <col min="2" max="3" width="0.85546875" style="180" customWidth="1"/>
    <col min="4" max="4" width="22.140625" style="180" customWidth="1"/>
    <col min="5" max="6" width="9.140625" style="180"/>
    <col min="7" max="7" width="12.28515625" style="180" customWidth="1"/>
    <col min="8" max="8" width="24.140625" style="180" customWidth="1"/>
    <col min="9" max="9" width="14.28515625" style="180" customWidth="1"/>
    <col min="10" max="10" width="14.140625" style="180" customWidth="1"/>
    <col min="11" max="11" width="16.42578125" style="180" customWidth="1"/>
    <col min="12" max="13" width="1.140625" style="180" customWidth="1"/>
    <col min="14" max="16384" width="9.140625" style="180"/>
  </cols>
  <sheetData>
    <row r="1" spans="3:12" ht="18.75">
      <c r="D1" s="181"/>
    </row>
    <row r="2" spans="3:12">
      <c r="D2" s="182"/>
    </row>
    <row r="4" spans="3:12">
      <c r="E4" s="182"/>
    </row>
    <row r="5" spans="3:12">
      <c r="E5" s="182"/>
    </row>
    <row r="6" spans="3:12">
      <c r="E6" s="182"/>
    </row>
    <row r="7" spans="3:12">
      <c r="E7" s="182"/>
    </row>
    <row r="8" spans="3:12">
      <c r="E8" s="182"/>
    </row>
    <row r="9" spans="3:12" ht="6.75" customHeight="1" thickBot="1">
      <c r="E9" s="182"/>
    </row>
    <row r="10" spans="3:12" ht="6.75" customHeight="1">
      <c r="C10" s="183"/>
      <c r="D10" s="184"/>
      <c r="E10" s="184"/>
      <c r="F10" s="184"/>
      <c r="G10" s="184"/>
      <c r="H10" s="184"/>
      <c r="I10" s="184"/>
      <c r="J10" s="184"/>
      <c r="K10" s="184"/>
      <c r="L10" s="185"/>
    </row>
    <row r="11" spans="3:12">
      <c r="C11" s="186"/>
      <c r="D11" s="204" t="s">
        <v>610</v>
      </c>
      <c r="E11" s="187"/>
      <c r="F11" s="187"/>
      <c r="G11" s="187"/>
      <c r="H11" s="187"/>
      <c r="I11" s="187"/>
      <c r="J11" s="187"/>
      <c r="K11" s="187"/>
      <c r="L11" s="188"/>
    </row>
    <row r="12" spans="3:12">
      <c r="C12" s="186"/>
      <c r="D12" s="187"/>
      <c r="E12" s="187"/>
      <c r="F12" s="187"/>
      <c r="G12" s="187"/>
      <c r="H12" s="187"/>
      <c r="I12" s="187"/>
      <c r="J12" s="187"/>
      <c r="K12" s="194">
        <v>2014</v>
      </c>
      <c r="L12" s="188"/>
    </row>
    <row r="13" spans="3:12" s="192" customFormat="1">
      <c r="C13" s="189"/>
      <c r="D13" s="190" t="s">
        <v>597</v>
      </c>
      <c r="E13" s="190"/>
      <c r="F13" s="190"/>
      <c r="G13" s="190" t="s">
        <v>598</v>
      </c>
      <c r="H13" s="190" t="s">
        <v>599</v>
      </c>
      <c r="I13" s="190" t="s">
        <v>600</v>
      </c>
      <c r="J13" s="190" t="s">
        <v>601</v>
      </c>
      <c r="K13" s="190" t="s">
        <v>602</v>
      </c>
      <c r="L13" s="191"/>
    </row>
    <row r="14" spans="3:12">
      <c r="C14" s="186"/>
      <c r="D14" s="193"/>
      <c r="E14" s="193"/>
      <c r="F14" s="193"/>
      <c r="G14" s="190"/>
      <c r="H14" s="190"/>
      <c r="I14" s="190"/>
      <c r="J14" s="193"/>
      <c r="K14" s="187"/>
      <c r="L14" s="188"/>
    </row>
    <row r="15" spans="3:12">
      <c r="C15" s="186"/>
      <c r="D15" s="187"/>
      <c r="E15" s="187"/>
      <c r="F15" s="187"/>
      <c r="G15" s="194"/>
      <c r="H15" s="194"/>
      <c r="I15" s="194"/>
      <c r="J15" s="187"/>
      <c r="K15" s="187"/>
      <c r="L15" s="188"/>
    </row>
    <row r="16" spans="3:12">
      <c r="C16" s="186"/>
      <c r="D16" s="195" t="s">
        <v>603</v>
      </c>
      <c r="E16" s="187"/>
      <c r="F16" s="187"/>
      <c r="G16" s="194">
        <v>1997</v>
      </c>
      <c r="H16" s="194">
        <f>G16+30</f>
        <v>2027</v>
      </c>
      <c r="I16" s="196">
        <v>57190</v>
      </c>
      <c r="J16" s="197">
        <v>34694</v>
      </c>
      <c r="K16" s="197">
        <v>2287</v>
      </c>
      <c r="L16" s="188"/>
    </row>
    <row r="17" spans="3:12">
      <c r="C17" s="186"/>
      <c r="D17" s="195"/>
      <c r="E17" s="187"/>
      <c r="F17" s="187"/>
      <c r="G17" s="194"/>
      <c r="H17" s="194"/>
      <c r="I17" s="196"/>
      <c r="J17" s="197"/>
      <c r="K17" s="197"/>
      <c r="L17" s="188"/>
    </row>
    <row r="18" spans="3:12">
      <c r="C18" s="186"/>
      <c r="D18" s="195" t="s">
        <v>604</v>
      </c>
      <c r="E18" s="187"/>
      <c r="F18" s="187"/>
      <c r="G18" s="194">
        <v>2006</v>
      </c>
      <c r="H18" s="194">
        <f>G18+30</f>
        <v>2036</v>
      </c>
      <c r="I18" s="196">
        <v>68600</v>
      </c>
      <c r="J18" s="197">
        <v>20581</v>
      </c>
      <c r="K18" s="197">
        <v>2287</v>
      </c>
      <c r="L18" s="188"/>
    </row>
    <row r="19" spans="3:12">
      <c r="C19" s="186"/>
      <c r="D19" s="195"/>
      <c r="E19" s="187"/>
      <c r="F19" s="187"/>
      <c r="G19" s="194"/>
      <c r="H19" s="194"/>
      <c r="I19" s="196"/>
      <c r="J19" s="197"/>
      <c r="K19" s="197"/>
      <c r="L19" s="188"/>
    </row>
    <row r="20" spans="3:12">
      <c r="C20" s="186"/>
      <c r="D20" s="195" t="s">
        <v>605</v>
      </c>
      <c r="E20" s="187"/>
      <c r="F20" s="187"/>
      <c r="G20" s="194">
        <v>1982</v>
      </c>
      <c r="H20" s="194">
        <f>G20+30</f>
        <v>2012</v>
      </c>
      <c r="I20" s="196">
        <v>62591</v>
      </c>
      <c r="J20" s="197">
        <v>62591</v>
      </c>
      <c r="K20" s="197"/>
      <c r="L20" s="188"/>
    </row>
    <row r="21" spans="3:12">
      <c r="C21" s="186"/>
      <c r="D21" s="195"/>
      <c r="E21" s="187"/>
      <c r="F21" s="187"/>
      <c r="G21" s="194"/>
      <c r="H21" s="194"/>
      <c r="I21" s="196"/>
      <c r="J21" s="197"/>
      <c r="K21" s="197"/>
      <c r="L21" s="188"/>
    </row>
    <row r="22" spans="3:12">
      <c r="C22" s="186"/>
      <c r="D22" s="195" t="s">
        <v>606</v>
      </c>
      <c r="E22" s="187"/>
      <c r="F22" s="187"/>
      <c r="G22" s="194">
        <v>1994</v>
      </c>
      <c r="H22" s="194">
        <f>G22+30</f>
        <v>2024</v>
      </c>
      <c r="I22" s="196">
        <v>79822</v>
      </c>
      <c r="J22" s="197">
        <v>56408</v>
      </c>
      <c r="K22" s="197">
        <v>3193</v>
      </c>
      <c r="L22" s="188"/>
    </row>
    <row r="23" spans="3:12">
      <c r="C23" s="186"/>
      <c r="D23" s="195"/>
      <c r="E23" s="187"/>
      <c r="F23" s="187"/>
      <c r="G23" s="194"/>
      <c r="H23" s="194"/>
      <c r="I23" s="196"/>
      <c r="J23" s="197"/>
      <c r="K23" s="197"/>
      <c r="L23" s="188"/>
    </row>
    <row r="24" spans="3:12">
      <c r="C24" s="186"/>
      <c r="D24" s="195" t="s">
        <v>607</v>
      </c>
      <c r="E24" s="187"/>
      <c r="F24" s="187"/>
      <c r="G24" s="194">
        <v>2003</v>
      </c>
      <c r="H24" s="194">
        <f>G24+30</f>
        <v>2033</v>
      </c>
      <c r="I24" s="196">
        <v>41674</v>
      </c>
      <c r="J24" s="197">
        <v>16947</v>
      </c>
      <c r="K24" s="197">
        <v>1667</v>
      </c>
      <c r="L24" s="188"/>
    </row>
    <row r="25" spans="3:12">
      <c r="C25" s="186"/>
      <c r="D25" s="195"/>
      <c r="E25" s="187"/>
      <c r="F25" s="187"/>
      <c r="G25" s="194"/>
      <c r="H25" s="194"/>
      <c r="I25" s="196"/>
      <c r="J25" s="197"/>
      <c r="K25" s="197"/>
      <c r="L25" s="188"/>
    </row>
    <row r="26" spans="3:12">
      <c r="C26" s="186"/>
      <c r="D26" s="195" t="s">
        <v>909</v>
      </c>
      <c r="E26" s="187"/>
      <c r="F26" s="187"/>
      <c r="G26" s="194">
        <v>2014</v>
      </c>
      <c r="H26" s="194">
        <v>2044</v>
      </c>
      <c r="I26" s="196">
        <v>124338</v>
      </c>
      <c r="J26" s="197">
        <v>3109</v>
      </c>
      <c r="K26" s="197">
        <v>3109</v>
      </c>
      <c r="L26" s="188"/>
    </row>
    <row r="27" spans="3:12">
      <c r="C27" s="186"/>
      <c r="D27" s="195"/>
      <c r="E27" s="187"/>
      <c r="F27" s="187"/>
      <c r="G27" s="194"/>
      <c r="H27" s="194"/>
      <c r="I27" s="196"/>
      <c r="J27" s="197"/>
      <c r="K27" s="197"/>
      <c r="L27" s="188"/>
    </row>
    <row r="28" spans="3:12">
      <c r="C28" s="186"/>
      <c r="D28" s="195" t="s">
        <v>608</v>
      </c>
      <c r="E28" s="187"/>
      <c r="F28" s="187"/>
      <c r="G28" s="194">
        <v>2006</v>
      </c>
      <c r="H28" s="194">
        <f>G28+30</f>
        <v>2036</v>
      </c>
      <c r="I28" s="196">
        <v>68600</v>
      </c>
      <c r="J28" s="197">
        <v>18294</v>
      </c>
      <c r="K28" s="197">
        <v>2287</v>
      </c>
      <c r="L28" s="188"/>
    </row>
    <row r="29" spans="3:12">
      <c r="C29" s="186"/>
      <c r="D29" s="195"/>
      <c r="E29" s="187"/>
      <c r="F29" s="187"/>
      <c r="G29" s="194"/>
      <c r="H29" s="194"/>
      <c r="I29" s="196"/>
      <c r="J29" s="197"/>
      <c r="K29" s="197"/>
      <c r="L29" s="188"/>
    </row>
    <row r="30" spans="3:12">
      <c r="C30" s="186"/>
      <c r="D30" s="195" t="s">
        <v>609</v>
      </c>
      <c r="E30" s="187"/>
      <c r="F30" s="187"/>
      <c r="G30" s="194">
        <v>2006</v>
      </c>
      <c r="H30" s="194">
        <f>G30+30</f>
        <v>2036</v>
      </c>
      <c r="I30" s="196">
        <v>95800</v>
      </c>
      <c r="J30" s="197">
        <v>25546</v>
      </c>
      <c r="K30" s="197">
        <v>3193</v>
      </c>
      <c r="L30" s="188"/>
    </row>
    <row r="31" spans="3:12">
      <c r="C31" s="186"/>
      <c r="D31" s="195"/>
      <c r="E31" s="187"/>
      <c r="F31" s="187"/>
      <c r="G31" s="194"/>
      <c r="H31" s="194"/>
      <c r="I31" s="196"/>
      <c r="J31" s="197"/>
      <c r="K31" s="197"/>
      <c r="L31" s="188"/>
    </row>
    <row r="32" spans="3:12">
      <c r="C32" s="186"/>
      <c r="D32" s="195" t="s">
        <v>910</v>
      </c>
      <c r="E32" s="187"/>
      <c r="F32" s="187"/>
      <c r="G32" s="194">
        <v>2014</v>
      </c>
      <c r="H32" s="194">
        <v>2044</v>
      </c>
      <c r="I32" s="196">
        <v>112373</v>
      </c>
      <c r="J32" s="197">
        <v>4058</v>
      </c>
      <c r="K32" s="197">
        <v>4058</v>
      </c>
      <c r="L32" s="188"/>
    </row>
    <row r="33" spans="3:12">
      <c r="C33" s="186"/>
      <c r="D33" s="187"/>
      <c r="E33" s="187"/>
      <c r="F33" s="187"/>
      <c r="G33" s="194"/>
      <c r="H33" s="194"/>
      <c r="I33" s="196"/>
      <c r="J33" s="197" t="s">
        <v>669</v>
      </c>
      <c r="K33" s="197"/>
      <c r="L33" s="188"/>
    </row>
    <row r="34" spans="3:12" ht="15.75" thickBot="1">
      <c r="C34" s="186"/>
      <c r="D34" s="187"/>
      <c r="E34" s="187"/>
      <c r="F34" s="187"/>
      <c r="G34" s="198"/>
      <c r="H34" s="198"/>
      <c r="I34" s="199"/>
      <c r="J34" s="200"/>
      <c r="K34" s="200"/>
      <c r="L34" s="188"/>
    </row>
    <row r="35" spans="3:12">
      <c r="C35" s="186"/>
      <c r="D35" s="187" t="s">
        <v>427</v>
      </c>
      <c r="E35" s="187"/>
      <c r="F35" s="187"/>
      <c r="G35" s="194"/>
      <c r="H35" s="194"/>
      <c r="I35" s="197">
        <f>SUM(I16:I32)</f>
        <v>710988</v>
      </c>
      <c r="J35" s="197">
        <f>SUM(J16:J32)</f>
        <v>242228</v>
      </c>
      <c r="K35" s="197">
        <f>SUM(K16:K32)</f>
        <v>22081</v>
      </c>
      <c r="L35" s="188"/>
    </row>
    <row r="36" spans="3:12" ht="5.25" customHeight="1" thickBot="1">
      <c r="C36" s="201"/>
      <c r="D36" s="202"/>
      <c r="E36" s="202"/>
      <c r="F36" s="202"/>
      <c r="G36" s="202"/>
      <c r="H36" s="202"/>
      <c r="I36" s="202"/>
      <c r="J36" s="202"/>
      <c r="K36" s="202"/>
      <c r="L36" s="203"/>
    </row>
    <row r="37" spans="3:12" ht="5.25" customHeight="1"/>
  </sheetData>
  <phoneticPr fontId="18" type="noConversion"/>
  <pageMargins left="0.7" right="0.7" top="0.75" bottom="0.75" header="0.3" footer="0.3"/>
  <pageSetup scale="69"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M29"/>
  <sheetViews>
    <sheetView showGridLines="0" topLeftCell="B1" workbookViewId="0">
      <selection activeCell="G27" sqref="G27"/>
    </sheetView>
  </sheetViews>
  <sheetFormatPr defaultRowHeight="12.75"/>
  <cols>
    <col min="3" max="4" width="1.140625" customWidth="1"/>
    <col min="5" max="5" width="3.7109375" style="205" customWidth="1"/>
    <col min="6" max="6" width="23.42578125" customWidth="1"/>
    <col min="7" max="8" width="22.140625" customWidth="1"/>
    <col min="9" max="9" width="20.85546875" customWidth="1"/>
    <col min="10" max="10" width="24.5703125" customWidth="1"/>
    <col min="11" max="11" width="22" customWidth="1"/>
    <col min="12" max="12" width="22.28515625" customWidth="1"/>
    <col min="13" max="14" width="1.5703125" customWidth="1"/>
  </cols>
  <sheetData>
    <row r="3" spans="4:13" ht="7.5" customHeight="1" thickBot="1"/>
    <row r="4" spans="4:13" ht="7.5" customHeight="1">
      <c r="D4" s="171"/>
      <c r="E4" s="206"/>
      <c r="F4" s="172"/>
      <c r="G4" s="172"/>
      <c r="H4" s="172"/>
      <c r="I4" s="172"/>
      <c r="J4" s="172"/>
      <c r="K4" s="172"/>
      <c r="L4" s="172"/>
      <c r="M4" s="173"/>
    </row>
    <row r="5" spans="4:13" ht="21" customHeight="1">
      <c r="D5" s="174"/>
      <c r="E5" s="207"/>
      <c r="F5" s="100" t="s">
        <v>620</v>
      </c>
      <c r="G5" s="175"/>
      <c r="H5" s="175"/>
      <c r="I5" s="175"/>
      <c r="J5" s="175"/>
      <c r="K5" s="175"/>
      <c r="L5" s="175"/>
      <c r="M5" s="176"/>
    </row>
    <row r="6" spans="4:13">
      <c r="D6" s="174"/>
      <c r="E6" s="207"/>
      <c r="F6" s="209" t="s">
        <v>566</v>
      </c>
      <c r="G6" s="208" t="s">
        <v>612</v>
      </c>
      <c r="H6" s="208" t="s">
        <v>613</v>
      </c>
      <c r="I6" s="208" t="s">
        <v>614</v>
      </c>
      <c r="J6" s="208" t="s">
        <v>615</v>
      </c>
      <c r="K6" s="208" t="s">
        <v>616</v>
      </c>
      <c r="L6" s="208" t="s">
        <v>864</v>
      </c>
      <c r="M6" s="176"/>
    </row>
    <row r="7" spans="4:13">
      <c r="D7" s="174"/>
      <c r="E7" s="207"/>
      <c r="F7" s="175"/>
      <c r="G7" s="175"/>
      <c r="H7" s="175"/>
      <c r="I7" s="175"/>
      <c r="J7" s="175"/>
      <c r="K7" s="175"/>
      <c r="L7" s="175"/>
      <c r="M7" s="176"/>
    </row>
    <row r="8" spans="4:13">
      <c r="D8" s="174"/>
      <c r="E8" s="207"/>
      <c r="F8" s="208" t="s">
        <v>611</v>
      </c>
      <c r="G8" s="175"/>
      <c r="H8" s="175"/>
      <c r="I8" s="175"/>
      <c r="J8" s="175"/>
      <c r="K8" s="175"/>
      <c r="L8" s="175"/>
      <c r="M8" s="176"/>
    </row>
    <row r="9" spans="4:13">
      <c r="D9" s="174"/>
      <c r="E9" s="207">
        <v>1</v>
      </c>
      <c r="F9" s="175" t="s">
        <v>617</v>
      </c>
      <c r="G9" s="214"/>
      <c r="H9" s="214"/>
      <c r="I9" s="210">
        <v>265023</v>
      </c>
      <c r="J9" s="210">
        <v>0</v>
      </c>
      <c r="K9" s="210">
        <v>264672</v>
      </c>
      <c r="L9" s="210">
        <v>0</v>
      </c>
      <c r="M9" s="176"/>
    </row>
    <row r="10" spans="4:13">
      <c r="D10" s="174"/>
      <c r="E10" s="207">
        <v>2</v>
      </c>
      <c r="F10" s="175" t="s">
        <v>621</v>
      </c>
      <c r="G10" s="225">
        <v>1991</v>
      </c>
      <c r="H10" s="226" t="s">
        <v>624</v>
      </c>
      <c r="I10" s="210">
        <v>23389</v>
      </c>
      <c r="J10" s="227">
        <v>14453</v>
      </c>
      <c r="K10" s="227">
        <f>I10-J10</f>
        <v>8936</v>
      </c>
      <c r="L10" s="227">
        <v>970</v>
      </c>
      <c r="M10" s="176"/>
    </row>
    <row r="11" spans="4:13">
      <c r="D11" s="174"/>
      <c r="E11" s="207">
        <v>3</v>
      </c>
      <c r="F11" s="175" t="s">
        <v>618</v>
      </c>
      <c r="G11" s="225">
        <v>1961</v>
      </c>
      <c r="H11" s="226" t="s">
        <v>625</v>
      </c>
      <c r="I11" s="210">
        <f>1022947+1836413</f>
        <v>2859360</v>
      </c>
      <c r="J11" s="227">
        <f>498250+749207</f>
        <v>1247457</v>
      </c>
      <c r="K11" s="227">
        <f>I11-J11</f>
        <v>1611903</v>
      </c>
      <c r="L11" s="227">
        <f>27854+68322</f>
        <v>96176</v>
      </c>
      <c r="M11" s="176"/>
    </row>
    <row r="12" spans="4:13" ht="13.5" thickBot="1">
      <c r="D12" s="174"/>
      <c r="E12" s="207">
        <v>4</v>
      </c>
      <c r="F12" s="214" t="s">
        <v>622</v>
      </c>
      <c r="G12" s="228">
        <v>1973</v>
      </c>
      <c r="H12" s="229" t="s">
        <v>626</v>
      </c>
      <c r="I12" s="211">
        <f>113695+2464468+32537+300406</f>
        <v>2911106</v>
      </c>
      <c r="J12" s="230">
        <f>48816+1261230+26972+118998</f>
        <v>1456016</v>
      </c>
      <c r="K12" s="230">
        <f>I12-J12</f>
        <v>1455090</v>
      </c>
      <c r="L12" s="230">
        <f>11415+179166+3473+23473+1</f>
        <v>217528</v>
      </c>
      <c r="M12" s="176"/>
    </row>
    <row r="13" spans="4:13" ht="13.5" thickTop="1">
      <c r="D13" s="174"/>
      <c r="E13" s="207"/>
      <c r="F13" s="209" t="s">
        <v>619</v>
      </c>
      <c r="G13" s="175"/>
      <c r="H13" s="175"/>
      <c r="I13" s="212">
        <f>SUM(I9:I12)</f>
        <v>6058878</v>
      </c>
      <c r="J13" s="672">
        <f>SUM(J9:J12)</f>
        <v>2717926</v>
      </c>
      <c r="K13" s="212">
        <f>SUM(K9:K12)</f>
        <v>3340601</v>
      </c>
      <c r="L13" s="672">
        <f>SUM(L9:L12)</f>
        <v>314674</v>
      </c>
      <c r="M13" s="176"/>
    </row>
    <row r="14" spans="4:13" ht="6.75" customHeight="1" thickBot="1">
      <c r="D14" s="177"/>
      <c r="E14" s="213"/>
      <c r="F14" s="178"/>
      <c r="G14" s="178"/>
      <c r="H14" s="178"/>
      <c r="I14" s="178"/>
      <c r="J14" s="178"/>
      <c r="K14" s="178"/>
      <c r="L14" s="178"/>
      <c r="M14" s="179"/>
    </row>
    <row r="15" spans="4:13" ht="6.75" customHeight="1"/>
    <row r="16" spans="4:13">
      <c r="L16" s="535" t="s">
        <v>669</v>
      </c>
    </row>
    <row r="29" spans="10:10">
      <c r="J29" t="s">
        <v>669</v>
      </c>
    </row>
  </sheetData>
  <phoneticPr fontId="2" type="noConversion"/>
  <pageMargins left="0.75" right="0.75" top="1" bottom="1" header="0.5" footer="0.5"/>
  <pageSetup scale="66"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X65"/>
  <sheetViews>
    <sheetView showGridLines="0" zoomScale="75" zoomScaleNormal="100" workbookViewId="0">
      <pane xSplit="5" ySplit="8" topLeftCell="F18" activePane="bottomRight" state="frozen"/>
      <selection pane="topRight"/>
      <selection pane="bottomLeft"/>
      <selection pane="bottomRight" activeCell="M25" sqref="M25"/>
    </sheetView>
  </sheetViews>
  <sheetFormatPr defaultRowHeight="15"/>
  <cols>
    <col min="1" max="1" width="9.140625" style="258"/>
    <col min="2" max="2" width="2.7109375" style="258" customWidth="1"/>
    <col min="3" max="3" width="1.7109375" style="258" customWidth="1"/>
    <col min="4" max="4" width="9.140625" style="258"/>
    <col min="5" max="5" width="48.42578125" style="258" customWidth="1"/>
    <col min="6" max="6" width="12" style="258" customWidth="1"/>
    <col min="7" max="7" width="12.5703125" style="258" bestFit="1" customWidth="1"/>
    <col min="8" max="8" width="13.140625" style="258" customWidth="1"/>
    <col min="9" max="9" width="16.42578125" style="258" bestFit="1" customWidth="1"/>
    <col min="10" max="10" width="14.140625" style="258" customWidth="1"/>
    <col min="11" max="11" width="1" style="258" customWidth="1"/>
    <col min="12" max="12" width="2.7109375" style="258" customWidth="1"/>
    <col min="13" max="15" width="11.5703125" style="258" bestFit="1" customWidth="1"/>
    <col min="16" max="16" width="9.140625" style="258"/>
    <col min="17" max="17" width="11.5703125" style="258" bestFit="1" customWidth="1"/>
    <col min="18" max="16384" width="9.140625" style="258"/>
  </cols>
  <sheetData>
    <row r="2" spans="3:24" ht="15.75" thickBot="1"/>
    <row r="3" spans="3:24" ht="3.75" customHeight="1">
      <c r="C3" s="259"/>
      <c r="D3" s="260"/>
      <c r="E3" s="260"/>
      <c r="F3" s="260"/>
      <c r="G3" s="260"/>
      <c r="H3" s="260"/>
      <c r="I3" s="260"/>
      <c r="J3" s="260"/>
      <c r="K3" s="261"/>
    </row>
    <row r="4" spans="3:24" ht="15.75">
      <c r="C4" s="262"/>
      <c r="D4" s="100" t="s">
        <v>906</v>
      </c>
      <c r="E4" s="263"/>
      <c r="F4" s="263"/>
      <c r="G4" s="263"/>
      <c r="H4" s="263"/>
      <c r="I4" s="263"/>
      <c r="J4" s="263"/>
      <c r="K4" s="264"/>
    </row>
    <row r="5" spans="3:24">
      <c r="C5" s="262"/>
      <c r="D5" s="263"/>
      <c r="E5" s="584" t="s">
        <v>119</v>
      </c>
      <c r="F5" s="263"/>
      <c r="G5" s="263"/>
      <c r="H5" s="263"/>
      <c r="I5" s="263"/>
      <c r="J5" s="263"/>
      <c r="K5" s="264"/>
    </row>
    <row r="6" spans="3:24">
      <c r="C6" s="262"/>
      <c r="D6" s="583" t="s">
        <v>865</v>
      </c>
      <c r="E6" s="263"/>
      <c r="F6" s="263"/>
      <c r="G6" s="263"/>
      <c r="H6" s="263"/>
      <c r="I6" s="263"/>
      <c r="J6" s="263"/>
      <c r="K6" s="264"/>
    </row>
    <row r="7" spans="3:24">
      <c r="C7" s="262"/>
      <c r="D7" s="263"/>
      <c r="E7" s="263"/>
      <c r="F7" s="757" t="s">
        <v>628</v>
      </c>
      <c r="G7" s="757"/>
      <c r="H7" s="757"/>
      <c r="I7" s="757"/>
      <c r="J7" s="757"/>
      <c r="K7" s="264"/>
    </row>
    <row r="8" spans="3:24">
      <c r="C8" s="262"/>
      <c r="D8" s="263" t="s">
        <v>396</v>
      </c>
      <c r="E8" s="263"/>
      <c r="F8" s="265" t="s">
        <v>396</v>
      </c>
      <c r="G8" s="265" t="s">
        <v>397</v>
      </c>
      <c r="H8" s="265" t="s">
        <v>398</v>
      </c>
      <c r="I8" s="265" t="s">
        <v>629</v>
      </c>
      <c r="J8" s="265" t="s">
        <v>630</v>
      </c>
      <c r="K8" s="264"/>
    </row>
    <row r="9" spans="3:24">
      <c r="C9" s="262"/>
      <c r="D9" s="263"/>
      <c r="E9" s="263" t="s">
        <v>631</v>
      </c>
      <c r="F9" s="266">
        <v>56137</v>
      </c>
      <c r="G9" s="266">
        <v>0</v>
      </c>
      <c r="H9" s="266">
        <v>0</v>
      </c>
      <c r="I9" s="266">
        <v>0</v>
      </c>
      <c r="J9" s="266">
        <f t="shared" ref="J9:J15" si="0">SUM(F9:I9)</f>
        <v>56137</v>
      </c>
      <c r="K9" s="264"/>
    </row>
    <row r="10" spans="3:24">
      <c r="C10" s="262"/>
      <c r="D10" s="263"/>
      <c r="E10" s="263" t="s">
        <v>632</v>
      </c>
      <c r="F10" s="266">
        <v>0</v>
      </c>
      <c r="G10" s="266">
        <v>0</v>
      </c>
      <c r="H10" s="266">
        <v>0</v>
      </c>
      <c r="I10" s="266">
        <v>0</v>
      </c>
      <c r="J10" s="266">
        <f t="shared" si="0"/>
        <v>0</v>
      </c>
      <c r="K10" s="264"/>
      <c r="N10" s="581" t="s">
        <v>669</v>
      </c>
    </row>
    <row r="11" spans="3:24">
      <c r="C11" s="262"/>
      <c r="D11" s="263"/>
      <c r="E11" s="263" t="s">
        <v>633</v>
      </c>
      <c r="F11" s="266">
        <v>10516</v>
      </c>
      <c r="G11" s="266">
        <v>0</v>
      </c>
      <c r="H11" s="266">
        <v>0</v>
      </c>
      <c r="I11" s="266">
        <v>0</v>
      </c>
      <c r="J11" s="266">
        <f t="shared" si="0"/>
        <v>10516</v>
      </c>
      <c r="K11" s="264"/>
      <c r="M11" s="585" t="s">
        <v>669</v>
      </c>
      <c r="N11" s="585" t="s">
        <v>669</v>
      </c>
      <c r="O11" s="585"/>
    </row>
    <row r="12" spans="3:24">
      <c r="C12" s="262"/>
      <c r="D12" s="263"/>
      <c r="E12" s="263" t="s">
        <v>634</v>
      </c>
      <c r="F12" s="266">
        <v>0</v>
      </c>
      <c r="G12" s="266">
        <v>0</v>
      </c>
      <c r="H12" s="266">
        <v>0</v>
      </c>
      <c r="I12" s="266">
        <v>0</v>
      </c>
      <c r="J12" s="266">
        <f t="shared" si="0"/>
        <v>0</v>
      </c>
      <c r="K12" s="264"/>
    </row>
    <row r="13" spans="3:24">
      <c r="C13" s="262"/>
      <c r="D13" s="263"/>
      <c r="E13" s="263" t="s">
        <v>635</v>
      </c>
      <c r="F13" s="266">
        <v>26282</v>
      </c>
      <c r="G13" s="266">
        <v>0</v>
      </c>
      <c r="H13" s="266">
        <v>0</v>
      </c>
      <c r="I13" s="266">
        <v>0</v>
      </c>
      <c r="J13" s="266">
        <f t="shared" si="0"/>
        <v>26282</v>
      </c>
      <c r="K13" s="264"/>
      <c r="M13" s="581" t="s">
        <v>669</v>
      </c>
      <c r="N13" s="585" t="s">
        <v>669</v>
      </c>
      <c r="O13" s="585"/>
    </row>
    <row r="14" spans="3:24">
      <c r="C14" s="262"/>
      <c r="D14" s="263"/>
      <c r="E14" s="263" t="s">
        <v>636</v>
      </c>
      <c r="F14" s="266">
        <v>8663</v>
      </c>
      <c r="G14" s="266">
        <v>0</v>
      </c>
      <c r="H14" s="266"/>
      <c r="I14" s="266">
        <v>0</v>
      </c>
      <c r="J14" s="266">
        <f t="shared" si="0"/>
        <v>8663</v>
      </c>
      <c r="K14" s="264"/>
      <c r="M14" s="585" t="s">
        <v>669</v>
      </c>
      <c r="N14" s="585" t="s">
        <v>669</v>
      </c>
    </row>
    <row r="15" spans="3:24">
      <c r="C15" s="262"/>
      <c r="D15" s="263"/>
      <c r="E15" s="263" t="s">
        <v>637</v>
      </c>
      <c r="F15" s="266">
        <v>30427</v>
      </c>
      <c r="G15" s="266">
        <v>0</v>
      </c>
      <c r="H15" s="266">
        <v>0</v>
      </c>
      <c r="I15" s="266">
        <v>0</v>
      </c>
      <c r="J15" s="266">
        <f t="shared" si="0"/>
        <v>30427</v>
      </c>
      <c r="K15" s="264"/>
      <c r="M15" s="580">
        <f>SUM(F13:F15)</f>
        <v>65372</v>
      </c>
      <c r="N15" s="581" t="s">
        <v>97</v>
      </c>
      <c r="P15" s="585" t="s">
        <v>669</v>
      </c>
      <c r="Q15"/>
      <c r="R15"/>
      <c r="S15"/>
      <c r="T15"/>
      <c r="U15"/>
      <c r="V15"/>
      <c r="W15"/>
      <c r="X15"/>
    </row>
    <row r="16" spans="3:24">
      <c r="C16" s="262"/>
      <c r="D16" s="263"/>
      <c r="E16" s="263"/>
      <c r="F16" s="266"/>
      <c r="G16" s="266"/>
      <c r="H16" s="266"/>
      <c r="I16" s="266"/>
      <c r="J16" s="266"/>
      <c r="K16" s="264"/>
      <c r="M16" s="580">
        <f>SUM(H9:H11)</f>
        <v>0</v>
      </c>
      <c r="N16" s="581" t="s">
        <v>98</v>
      </c>
    </row>
    <row r="17" spans="3:15">
      <c r="C17" s="262"/>
      <c r="D17" s="263" t="s">
        <v>638</v>
      </c>
      <c r="E17" s="263"/>
      <c r="F17" s="266"/>
      <c r="G17" s="266"/>
      <c r="H17" s="266"/>
      <c r="I17" s="266"/>
      <c r="J17" s="266"/>
      <c r="K17" s="264"/>
    </row>
    <row r="18" spans="3:15">
      <c r="C18" s="262"/>
      <c r="D18" s="263"/>
      <c r="E18" s="263" t="s">
        <v>639</v>
      </c>
      <c r="F18" s="266">
        <v>0</v>
      </c>
      <c r="G18" s="266">
        <v>518</v>
      </c>
      <c r="H18" s="266">
        <v>25356</v>
      </c>
      <c r="I18" s="266"/>
      <c r="J18" s="266">
        <f t="shared" ref="J18:J25" si="1">SUM(F18:I18)</f>
        <v>25874</v>
      </c>
      <c r="K18" s="264"/>
    </row>
    <row r="19" spans="3:15">
      <c r="C19" s="262"/>
      <c r="D19" s="263"/>
      <c r="E19" s="263" t="s">
        <v>640</v>
      </c>
      <c r="F19" s="266">
        <v>0</v>
      </c>
      <c r="G19" s="266">
        <v>5770</v>
      </c>
      <c r="H19" s="266">
        <v>282704</v>
      </c>
      <c r="I19" s="266"/>
      <c r="J19" s="266">
        <f t="shared" si="1"/>
        <v>288474</v>
      </c>
      <c r="K19" s="264"/>
    </row>
    <row r="20" spans="3:15">
      <c r="C20" s="262"/>
      <c r="D20" s="263"/>
      <c r="E20" s="263" t="s">
        <v>641</v>
      </c>
      <c r="F20" s="266">
        <v>0</v>
      </c>
      <c r="G20" s="266">
        <v>2561</v>
      </c>
      <c r="H20" s="266">
        <v>125511</v>
      </c>
      <c r="I20" s="266"/>
      <c r="J20" s="266">
        <f t="shared" si="1"/>
        <v>128072</v>
      </c>
      <c r="K20" s="264"/>
      <c r="O20" s="581"/>
    </row>
    <row r="21" spans="3:15">
      <c r="C21" s="262"/>
      <c r="D21" s="263"/>
      <c r="E21" s="263" t="s">
        <v>642</v>
      </c>
      <c r="F21" s="266">
        <v>0</v>
      </c>
      <c r="G21" s="266">
        <v>526</v>
      </c>
      <c r="H21" s="266">
        <v>25787</v>
      </c>
      <c r="I21" s="266"/>
      <c r="J21" s="266">
        <f t="shared" si="1"/>
        <v>26313</v>
      </c>
      <c r="K21" s="264"/>
      <c r="O21" s="581"/>
    </row>
    <row r="22" spans="3:15">
      <c r="C22" s="262"/>
      <c r="D22" s="263"/>
      <c r="E22" s="263" t="s">
        <v>643</v>
      </c>
      <c r="F22" s="266">
        <v>0</v>
      </c>
      <c r="G22" s="266">
        <v>2387</v>
      </c>
      <c r="H22" s="266">
        <v>116940</v>
      </c>
      <c r="I22" s="266"/>
      <c r="J22" s="266">
        <f t="shared" si="1"/>
        <v>119327</v>
      </c>
      <c r="K22" s="264"/>
      <c r="O22" s="581"/>
    </row>
    <row r="23" spans="3:15">
      <c r="C23" s="262"/>
      <c r="D23" s="263"/>
      <c r="E23" s="263" t="s">
        <v>644</v>
      </c>
      <c r="F23" s="266">
        <v>0</v>
      </c>
      <c r="G23" s="266">
        <v>137</v>
      </c>
      <c r="H23" s="266">
        <v>6718</v>
      </c>
      <c r="I23" s="266"/>
      <c r="J23" s="266">
        <f t="shared" si="1"/>
        <v>6855</v>
      </c>
      <c r="K23" s="264"/>
      <c r="O23" s="581"/>
    </row>
    <row r="24" spans="3:15">
      <c r="C24" s="262"/>
      <c r="D24" s="263"/>
      <c r="E24" s="263" t="s">
        <v>645</v>
      </c>
      <c r="F24" s="266">
        <v>0</v>
      </c>
      <c r="G24" s="266">
        <v>1697</v>
      </c>
      <c r="H24" s="266">
        <v>83159</v>
      </c>
      <c r="I24" s="266"/>
      <c r="J24" s="266">
        <f t="shared" si="1"/>
        <v>84856</v>
      </c>
      <c r="K24" s="264"/>
      <c r="O24" s="581"/>
    </row>
    <row r="25" spans="3:15" ht="15.75" thickBot="1">
      <c r="C25" s="262"/>
      <c r="D25" s="263"/>
      <c r="E25" s="263" t="s">
        <v>646</v>
      </c>
      <c r="F25" s="267">
        <v>0</v>
      </c>
      <c r="G25" s="267">
        <v>2678</v>
      </c>
      <c r="H25" s="267">
        <v>131243</v>
      </c>
      <c r="I25" s="267">
        <v>60799</v>
      </c>
      <c r="J25" s="267">
        <f t="shared" si="1"/>
        <v>194720</v>
      </c>
      <c r="K25" s="264"/>
      <c r="M25" s="580">
        <f>H19+H20+H21+H23+H24+H13</f>
        <v>523879</v>
      </c>
      <c r="N25" s="581" t="s">
        <v>333</v>
      </c>
      <c r="O25" s="581" t="s">
        <v>669</v>
      </c>
    </row>
    <row r="26" spans="3:15" ht="15.75" thickTop="1">
      <c r="C26" s="262"/>
      <c r="D26" s="263"/>
      <c r="E26" s="263"/>
      <c r="F26" s="266">
        <f>SUM(F9:F25)</f>
        <v>132025</v>
      </c>
      <c r="G26" s="266">
        <f>SUM(G9:G25)</f>
        <v>16274</v>
      </c>
      <c r="H26" s="266">
        <f>SUM(H9:H25)</f>
        <v>797418</v>
      </c>
      <c r="I26" s="266">
        <f>SUM(I9:I25)</f>
        <v>60799</v>
      </c>
      <c r="J26" s="266">
        <f>SUM(J9:J25)</f>
        <v>1006516</v>
      </c>
      <c r="K26" s="264"/>
    </row>
    <row r="27" spans="3:15" ht="15.75" thickBot="1">
      <c r="C27" s="262"/>
      <c r="D27" s="263"/>
      <c r="E27" s="268" t="s">
        <v>833</v>
      </c>
      <c r="F27" s="269">
        <v>0</v>
      </c>
      <c r="G27" s="269">
        <v>0</v>
      </c>
      <c r="H27" s="269">
        <v>317373</v>
      </c>
      <c r="I27" s="269">
        <v>0</v>
      </c>
      <c r="J27" s="269">
        <f>SUM(F27:I27)</f>
        <v>317373</v>
      </c>
      <c r="K27" s="264"/>
    </row>
    <row r="28" spans="3:15" ht="15.75" thickTop="1">
      <c r="C28" s="262"/>
      <c r="D28" s="263"/>
      <c r="E28" s="263"/>
      <c r="F28" s="266">
        <f>F26+F27</f>
        <v>132025</v>
      </c>
      <c r="G28" s="266">
        <f>G26+G27</f>
        <v>16274</v>
      </c>
      <c r="H28" s="266">
        <f>H26+H27</f>
        <v>1114791</v>
      </c>
      <c r="I28" s="266">
        <f>SUM(I26:I27)</f>
        <v>60799</v>
      </c>
      <c r="J28" s="266">
        <f>SUM(J26:J27)</f>
        <v>1323889</v>
      </c>
      <c r="K28" s="264"/>
    </row>
    <row r="29" spans="3:15">
      <c r="C29" s="262"/>
      <c r="D29" s="263"/>
      <c r="E29" s="263"/>
      <c r="F29" s="266"/>
      <c r="G29" s="266"/>
      <c r="H29" s="266"/>
      <c r="I29" s="266"/>
      <c r="J29" s="579" t="s">
        <v>669</v>
      </c>
      <c r="K29" s="264"/>
    </row>
    <row r="30" spans="3:15">
      <c r="C30" s="262"/>
      <c r="D30" s="263"/>
      <c r="E30" s="263"/>
      <c r="F30" s="266"/>
      <c r="G30" s="266"/>
      <c r="H30" s="266"/>
      <c r="I30" s="266"/>
      <c r="J30" s="266"/>
      <c r="K30" s="264"/>
    </row>
    <row r="31" spans="3:15">
      <c r="C31" s="262"/>
      <c r="D31" s="263"/>
      <c r="E31" s="263"/>
      <c r="F31" s="266"/>
      <c r="G31" s="266"/>
      <c r="H31" s="266"/>
      <c r="I31" s="266"/>
      <c r="J31" s="266"/>
      <c r="K31" s="264"/>
    </row>
    <row r="32" spans="3:15">
      <c r="C32" s="262"/>
      <c r="D32" s="263" t="s">
        <v>647</v>
      </c>
      <c r="E32" s="263"/>
      <c r="F32" s="266"/>
      <c r="G32" s="266"/>
      <c r="H32" s="266"/>
      <c r="I32" s="266">
        <f>1455+1885</f>
        <v>3340</v>
      </c>
      <c r="J32" s="266">
        <f>SUM(F32:I32)</f>
        <v>3340</v>
      </c>
      <c r="K32" s="264"/>
    </row>
    <row r="33" spans="3:11">
      <c r="C33" s="262"/>
      <c r="D33" s="263"/>
      <c r="E33" s="263"/>
      <c r="F33" s="266"/>
      <c r="G33" s="266"/>
      <c r="H33" s="266"/>
      <c r="I33" s="266"/>
      <c r="J33" s="266"/>
      <c r="K33" s="264"/>
    </row>
    <row r="34" spans="3:11">
      <c r="C34" s="262"/>
      <c r="D34" s="263"/>
      <c r="E34" s="263"/>
      <c r="F34" s="266"/>
      <c r="G34" s="266"/>
      <c r="H34" s="266"/>
      <c r="I34" s="266"/>
      <c r="J34" s="266"/>
      <c r="K34" s="264"/>
    </row>
    <row r="35" spans="3:11">
      <c r="C35" s="262"/>
      <c r="D35" s="263"/>
      <c r="E35" s="263"/>
      <c r="F35" s="266"/>
      <c r="G35" s="266"/>
      <c r="H35" s="266"/>
      <c r="I35" s="266"/>
      <c r="J35" s="266"/>
      <c r="K35" s="264"/>
    </row>
    <row r="36" spans="3:11">
      <c r="C36" s="262"/>
      <c r="D36" s="263" t="s">
        <v>648</v>
      </c>
      <c r="E36" s="263"/>
      <c r="F36" s="266"/>
      <c r="G36" s="266"/>
      <c r="H36" s="266"/>
      <c r="I36" s="266"/>
      <c r="J36" s="266"/>
      <c r="K36" s="264"/>
    </row>
    <row r="37" spans="3:11">
      <c r="C37" s="262"/>
      <c r="D37" s="263"/>
      <c r="E37" s="263" t="s">
        <v>649</v>
      </c>
      <c r="F37" s="266"/>
      <c r="G37" s="266"/>
      <c r="H37" s="266"/>
      <c r="I37" s="579">
        <v>35191</v>
      </c>
      <c r="J37" s="266">
        <f>SUM(F37:I37)</f>
        <v>35191</v>
      </c>
      <c r="K37" s="264"/>
    </row>
    <row r="38" spans="3:11">
      <c r="C38" s="262"/>
      <c r="D38" s="263"/>
      <c r="E38" s="263" t="s">
        <v>650</v>
      </c>
      <c r="F38" s="266"/>
      <c r="G38" s="266"/>
      <c r="H38" s="266"/>
      <c r="I38" s="266">
        <f>12207+1064</f>
        <v>13271</v>
      </c>
      <c r="J38" s="266">
        <f>SUM(F38:I38)</f>
        <v>13271</v>
      </c>
      <c r="K38" s="264"/>
    </row>
    <row r="39" spans="3:11">
      <c r="C39" s="262"/>
      <c r="D39" s="263"/>
      <c r="E39" s="263" t="s">
        <v>651</v>
      </c>
      <c r="F39" s="266"/>
      <c r="G39" s="266"/>
      <c r="H39" s="266"/>
      <c r="I39" s="266"/>
      <c r="J39" s="266">
        <f>SUM(F39:I39)</f>
        <v>0</v>
      </c>
      <c r="K39" s="264"/>
    </row>
    <row r="40" spans="3:11">
      <c r="C40" s="262"/>
      <c r="D40" s="263"/>
      <c r="E40" s="263"/>
      <c r="F40" s="266"/>
      <c r="G40" s="266"/>
      <c r="H40" s="266"/>
      <c r="I40" s="266"/>
      <c r="J40" s="266"/>
      <c r="K40" s="264"/>
    </row>
    <row r="41" spans="3:11">
      <c r="C41" s="262"/>
      <c r="D41" s="263" t="s">
        <v>652</v>
      </c>
      <c r="E41" s="263"/>
      <c r="F41" s="266"/>
      <c r="G41" s="266"/>
      <c r="H41" s="266"/>
      <c r="I41" s="266"/>
      <c r="J41" s="266"/>
      <c r="K41" s="264"/>
    </row>
    <row r="42" spans="3:11">
      <c r="C42" s="262"/>
      <c r="D42" s="263"/>
      <c r="E42" s="263" t="s">
        <v>653</v>
      </c>
      <c r="F42" s="266"/>
      <c r="G42" s="266"/>
      <c r="H42" s="266"/>
      <c r="I42" s="632">
        <v>64098</v>
      </c>
      <c r="J42" s="266">
        <f t="shared" ref="J42:J55" si="2">SUM(F42:I42)</f>
        <v>64098</v>
      </c>
      <c r="K42" s="264"/>
    </row>
    <row r="43" spans="3:11">
      <c r="C43" s="262"/>
      <c r="D43" s="263"/>
      <c r="E43" s="263" t="s">
        <v>654</v>
      </c>
      <c r="F43" s="266"/>
      <c r="G43" s="266"/>
      <c r="H43" s="266"/>
      <c r="I43" s="632"/>
      <c r="J43" s="266">
        <f t="shared" si="2"/>
        <v>0</v>
      </c>
      <c r="K43" s="264"/>
    </row>
    <row r="44" spans="3:11">
      <c r="C44" s="262"/>
      <c r="D44" s="263"/>
      <c r="E44" s="263" t="s">
        <v>655</v>
      </c>
      <c r="F44" s="266"/>
      <c r="G44" s="266"/>
      <c r="H44" s="266"/>
      <c r="I44" s="632"/>
      <c r="J44" s="266">
        <f t="shared" si="2"/>
        <v>0</v>
      </c>
      <c r="K44" s="264"/>
    </row>
    <row r="45" spans="3:11">
      <c r="C45" s="262"/>
      <c r="D45" s="263"/>
      <c r="E45" s="263" t="s">
        <v>656</v>
      </c>
      <c r="F45" s="266"/>
      <c r="G45" s="266"/>
      <c r="H45" s="266"/>
      <c r="I45" s="632"/>
      <c r="J45" s="266">
        <f t="shared" si="2"/>
        <v>0</v>
      </c>
      <c r="K45" s="264"/>
    </row>
    <row r="46" spans="3:11">
      <c r="C46" s="262"/>
      <c r="D46" s="263"/>
      <c r="E46" s="263" t="s">
        <v>657</v>
      </c>
      <c r="F46" s="266"/>
      <c r="G46" s="266"/>
      <c r="H46" s="266"/>
      <c r="I46" s="632"/>
      <c r="J46" s="266">
        <f t="shared" si="2"/>
        <v>0</v>
      </c>
      <c r="K46" s="264"/>
    </row>
    <row r="47" spans="3:11">
      <c r="C47" s="262"/>
      <c r="D47" s="263"/>
      <c r="E47" s="263" t="s">
        <v>658</v>
      </c>
      <c r="F47" s="266"/>
      <c r="G47" s="266"/>
      <c r="H47" s="266"/>
      <c r="I47" s="632"/>
      <c r="J47" s="266">
        <f t="shared" si="2"/>
        <v>0</v>
      </c>
      <c r="K47" s="264"/>
    </row>
    <row r="48" spans="3:11">
      <c r="C48" s="262"/>
      <c r="D48" s="263"/>
      <c r="E48" s="263" t="s">
        <v>659</v>
      </c>
      <c r="F48" s="266"/>
      <c r="G48" s="266"/>
      <c r="H48" s="266"/>
      <c r="I48" s="632"/>
      <c r="J48" s="266">
        <f t="shared" si="2"/>
        <v>0</v>
      </c>
      <c r="K48" s="264"/>
    </row>
    <row r="49" spans="3:11">
      <c r="C49" s="262"/>
      <c r="D49" s="263"/>
      <c r="E49" s="263" t="s">
        <v>660</v>
      </c>
      <c r="F49" s="266"/>
      <c r="G49" s="266"/>
      <c r="H49" s="266"/>
      <c r="I49" s="632"/>
      <c r="J49" s="266">
        <f t="shared" si="2"/>
        <v>0</v>
      </c>
      <c r="K49" s="264"/>
    </row>
    <row r="50" spans="3:11">
      <c r="C50" s="262"/>
      <c r="D50" s="263"/>
      <c r="E50" s="263" t="s">
        <v>661</v>
      </c>
      <c r="F50" s="266"/>
      <c r="G50" s="266"/>
      <c r="H50" s="266"/>
      <c r="I50" s="632">
        <v>7817</v>
      </c>
      <c r="J50" s="266">
        <f t="shared" si="2"/>
        <v>7817</v>
      </c>
      <c r="K50" s="264"/>
    </row>
    <row r="51" spans="3:11">
      <c r="C51" s="262"/>
      <c r="D51" s="263"/>
      <c r="E51" s="263" t="s">
        <v>662</v>
      </c>
      <c r="F51" s="266"/>
      <c r="G51" s="266"/>
      <c r="H51" s="266"/>
      <c r="I51" s="632"/>
      <c r="J51" s="266">
        <f t="shared" si="2"/>
        <v>0</v>
      </c>
      <c r="K51" s="264"/>
    </row>
    <row r="52" spans="3:11">
      <c r="C52" s="262"/>
      <c r="D52" s="263"/>
      <c r="E52" s="263" t="s">
        <v>663</v>
      </c>
      <c r="F52" s="266"/>
      <c r="G52" s="266"/>
      <c r="H52" s="266"/>
      <c r="I52" s="632"/>
      <c r="J52" s="266">
        <f t="shared" si="2"/>
        <v>0</v>
      </c>
      <c r="K52" s="264"/>
    </row>
    <row r="53" spans="3:11">
      <c r="C53" s="262"/>
      <c r="D53" s="263"/>
      <c r="E53" s="263" t="s">
        <v>664</v>
      </c>
      <c r="F53" s="266"/>
      <c r="G53" s="266"/>
      <c r="H53" s="266"/>
      <c r="I53" s="632"/>
      <c r="J53" s="266">
        <f t="shared" si="2"/>
        <v>0</v>
      </c>
      <c r="K53" s="264"/>
    </row>
    <row r="54" spans="3:11">
      <c r="C54" s="262"/>
      <c r="D54" s="263"/>
      <c r="E54" s="263" t="s">
        <v>665</v>
      </c>
      <c r="F54" s="266"/>
      <c r="G54" s="266"/>
      <c r="H54" s="266"/>
      <c r="I54" s="632">
        <v>79654</v>
      </c>
      <c r="J54" s="266">
        <f t="shared" si="2"/>
        <v>79654</v>
      </c>
      <c r="K54" s="264"/>
    </row>
    <row r="55" spans="3:11">
      <c r="C55" s="262"/>
      <c r="D55" s="263"/>
      <c r="E55" s="263" t="s">
        <v>646</v>
      </c>
      <c r="F55" s="266"/>
      <c r="G55" s="266"/>
      <c r="H55" s="266"/>
      <c r="I55" s="266"/>
      <c r="J55" s="266">
        <f t="shared" si="2"/>
        <v>0</v>
      </c>
      <c r="K55" s="264"/>
    </row>
    <row r="56" spans="3:11">
      <c r="C56" s="262"/>
      <c r="D56" s="263"/>
      <c r="E56" s="263"/>
      <c r="F56" s="263"/>
      <c r="G56" s="263"/>
      <c r="H56" s="263"/>
      <c r="I56" s="263"/>
      <c r="J56" s="263"/>
      <c r="K56" s="264"/>
    </row>
    <row r="57" spans="3:11">
      <c r="C57" s="262"/>
      <c r="D57" s="263"/>
      <c r="E57" s="263"/>
      <c r="F57" s="263"/>
      <c r="G57" s="263"/>
      <c r="H57" s="263"/>
      <c r="I57" s="263"/>
      <c r="J57" s="263"/>
      <c r="K57" s="264"/>
    </row>
    <row r="58" spans="3:11">
      <c r="C58" s="262"/>
      <c r="D58" s="263"/>
      <c r="E58" s="263" t="s">
        <v>630</v>
      </c>
      <c r="F58" s="266">
        <f>SUM(F28:F57)-F34</f>
        <v>132025</v>
      </c>
      <c r="G58" s="266">
        <f>SUM(G28:G57)-G34</f>
        <v>16274</v>
      </c>
      <c r="H58" s="266">
        <f>SUM(H28:H57)-H34</f>
        <v>1114791</v>
      </c>
      <c r="I58" s="266">
        <f>SUM(I28:I57)</f>
        <v>264170</v>
      </c>
      <c r="J58" s="266">
        <f>SUM(J28:J57)-J34</f>
        <v>1527260</v>
      </c>
      <c r="K58" s="264"/>
    </row>
    <row r="59" spans="3:11">
      <c r="C59" s="262"/>
      <c r="D59" s="263"/>
      <c r="E59" s="263"/>
      <c r="F59" s="263"/>
      <c r="G59" s="263"/>
      <c r="H59" s="263"/>
      <c r="I59" s="263"/>
      <c r="J59" s="263"/>
      <c r="K59" s="264"/>
    </row>
    <row r="60" spans="3:11">
      <c r="C60" s="262"/>
      <c r="D60" s="263"/>
      <c r="E60" s="270" t="s">
        <v>120</v>
      </c>
      <c r="F60" s="271">
        <f>F28</f>
        <v>132025</v>
      </c>
      <c r="G60" s="271">
        <f>G28</f>
        <v>16274</v>
      </c>
      <c r="H60" s="271">
        <f>H28+H32</f>
        <v>1114791</v>
      </c>
      <c r="I60" s="271">
        <f>I58</f>
        <v>264170</v>
      </c>
      <c r="J60" s="271">
        <f>SUM(F60:I60)</f>
        <v>1527260</v>
      </c>
      <c r="K60" s="264"/>
    </row>
    <row r="61" spans="3:11" ht="6.75" customHeight="1" thickBot="1">
      <c r="C61" s="272"/>
      <c r="D61" s="273"/>
      <c r="E61" s="273"/>
      <c r="F61" s="273"/>
      <c r="G61" s="273"/>
      <c r="H61" s="273"/>
      <c r="I61" s="273"/>
      <c r="J61" s="273"/>
      <c r="K61" s="274"/>
    </row>
    <row r="62" spans="3:11" ht="6.75" customHeight="1"/>
    <row r="63" spans="3:11">
      <c r="J63" s="585" t="s">
        <v>669</v>
      </c>
    </row>
    <row r="64" spans="3:11">
      <c r="J64" s="585" t="s">
        <v>669</v>
      </c>
    </row>
    <row r="65" spans="10:10">
      <c r="J65" s="585" t="s">
        <v>669</v>
      </c>
    </row>
  </sheetData>
  <mergeCells count="1">
    <mergeCell ref="F7:J7"/>
  </mergeCells>
  <phoneticPr fontId="47" type="noConversion"/>
  <pageMargins left="0.25" right="0.25" top="0.75" bottom="0.75" header="0.3" footer="0.3"/>
  <pageSetup scale="7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workbookViewId="0">
      <pane xSplit="4" ySplit="1" topLeftCell="H2" activePane="bottomRight" state="frozenSplit"/>
      <selection pane="topRight" activeCell="E1" sqref="E1"/>
      <selection pane="bottomLeft" activeCell="A2" sqref="A2"/>
      <selection pane="bottomRight" activeCell="D27" sqref="D26:D27"/>
    </sheetView>
  </sheetViews>
  <sheetFormatPr defaultRowHeight="12.75"/>
  <cols>
    <col min="1" max="3" width="3" style="597" customWidth="1"/>
    <col min="4" max="4" width="32.28515625" style="597" customWidth="1"/>
    <col min="5" max="6" width="2.28515625" style="597" customWidth="1"/>
    <col min="7" max="7" width="5.85546875" style="597" bestFit="1" customWidth="1"/>
    <col min="8" max="8" width="2.28515625" style="597" customWidth="1"/>
    <col min="9" max="9" width="8.7109375" style="597" bestFit="1" customWidth="1"/>
    <col min="10" max="10" width="2.28515625" style="597" customWidth="1"/>
    <col min="11" max="11" width="4.5703125" style="597" bestFit="1" customWidth="1"/>
    <col min="12" max="12" width="2.28515625" style="597" customWidth="1"/>
    <col min="13" max="13" width="23.5703125" style="597" bestFit="1" customWidth="1"/>
    <col min="14" max="14" width="2.28515625" style="597" customWidth="1"/>
    <col min="15" max="15" width="30.7109375" style="597" customWidth="1"/>
    <col min="16" max="16" width="2.28515625" style="597" customWidth="1"/>
    <col min="17" max="17" width="5.42578125" style="597" bestFit="1" customWidth="1"/>
    <col min="18" max="18" width="2.28515625" style="597" customWidth="1"/>
    <col min="19" max="19" width="3.28515625" style="597" bestFit="1" customWidth="1"/>
    <col min="20" max="20" width="2.28515625" style="597" customWidth="1"/>
    <col min="21" max="21" width="22" style="597" bestFit="1" customWidth="1"/>
    <col min="22" max="22" width="2.28515625" style="597" customWidth="1"/>
    <col min="23" max="23" width="5" style="597" bestFit="1" customWidth="1"/>
    <col min="24" max="24" width="2.28515625" style="597" customWidth="1"/>
    <col min="25" max="25" width="7.85546875" style="597" bestFit="1" customWidth="1"/>
    <col min="26" max="26" width="2.28515625" style="597" customWidth="1"/>
    <col min="27" max="27" width="7.85546875" style="597" bestFit="1" customWidth="1"/>
  </cols>
  <sheetData>
    <row r="1" spans="1:27" s="205" customFormat="1" ht="13.5" thickBot="1">
      <c r="A1" s="609"/>
      <c r="B1" s="609"/>
      <c r="C1" s="609"/>
      <c r="D1" s="609"/>
      <c r="E1" s="609"/>
      <c r="F1" s="609"/>
      <c r="G1" s="610" t="s">
        <v>377</v>
      </c>
      <c r="H1" s="609"/>
      <c r="I1" s="610" t="s">
        <v>777</v>
      </c>
      <c r="J1" s="609"/>
      <c r="K1" s="610" t="s">
        <v>778</v>
      </c>
      <c r="L1" s="609"/>
      <c r="M1" s="610" t="s">
        <v>779</v>
      </c>
      <c r="N1" s="609"/>
      <c r="O1" s="610" t="s">
        <v>780</v>
      </c>
      <c r="P1" s="609"/>
      <c r="Q1" s="610" t="s">
        <v>815</v>
      </c>
      <c r="R1" s="609"/>
      <c r="S1" s="610" t="s">
        <v>781</v>
      </c>
      <c r="T1" s="609"/>
      <c r="U1" s="610" t="s">
        <v>782</v>
      </c>
      <c r="V1" s="609"/>
      <c r="W1" s="610" t="s">
        <v>783</v>
      </c>
      <c r="X1" s="609"/>
      <c r="Y1" s="610" t="s">
        <v>784</v>
      </c>
      <c r="Z1" s="609"/>
      <c r="AA1" s="610" t="s">
        <v>290</v>
      </c>
    </row>
    <row r="2" spans="1:27" ht="13.5" thickTop="1">
      <c r="A2" s="598"/>
      <c r="B2" s="598" t="s">
        <v>785</v>
      </c>
      <c r="C2" s="598"/>
      <c r="D2" s="598"/>
      <c r="E2" s="598"/>
      <c r="F2" s="598"/>
      <c r="G2" s="598"/>
      <c r="H2" s="598"/>
      <c r="I2" s="599"/>
      <c r="J2" s="598"/>
      <c r="K2" s="598"/>
      <c r="L2" s="598"/>
      <c r="M2" s="598"/>
      <c r="N2" s="598"/>
      <c r="O2" s="598"/>
      <c r="P2" s="598"/>
      <c r="Q2" s="598"/>
      <c r="R2" s="598"/>
      <c r="S2" s="598"/>
      <c r="T2" s="598"/>
      <c r="U2" s="598"/>
      <c r="V2" s="598"/>
      <c r="W2" s="600"/>
      <c r="X2" s="598"/>
      <c r="Y2" s="600"/>
      <c r="Z2" s="598"/>
      <c r="AA2" s="600"/>
    </row>
    <row r="3" spans="1:27">
      <c r="A3" s="598"/>
      <c r="B3" s="598"/>
      <c r="C3" s="598" t="s">
        <v>786</v>
      </c>
      <c r="D3" s="598"/>
      <c r="E3" s="598"/>
      <c r="F3" s="598"/>
      <c r="G3" s="598"/>
      <c r="H3" s="598"/>
      <c r="I3" s="599"/>
      <c r="J3" s="598"/>
      <c r="K3" s="598"/>
      <c r="L3" s="598"/>
      <c r="M3" s="598"/>
      <c r="N3" s="598"/>
      <c r="O3" s="598"/>
      <c r="P3" s="598"/>
      <c r="Q3" s="598"/>
      <c r="R3" s="598"/>
      <c r="S3" s="598"/>
      <c r="T3" s="598"/>
      <c r="U3" s="598"/>
      <c r="V3" s="598"/>
      <c r="W3" s="600"/>
      <c r="X3" s="598"/>
      <c r="Y3" s="600"/>
      <c r="Z3" s="598"/>
      <c r="AA3" s="600"/>
    </row>
    <row r="4" spans="1:27">
      <c r="A4" s="598"/>
      <c r="B4" s="598"/>
      <c r="C4" s="598"/>
      <c r="D4" s="598" t="s">
        <v>787</v>
      </c>
      <c r="E4" s="598"/>
      <c r="F4" s="598"/>
      <c r="G4" s="598"/>
      <c r="H4" s="598"/>
      <c r="I4" s="599"/>
      <c r="J4" s="598"/>
      <c r="K4" s="598"/>
      <c r="L4" s="598"/>
      <c r="M4" s="598"/>
      <c r="N4" s="598"/>
      <c r="O4" s="598"/>
      <c r="P4" s="598"/>
      <c r="Q4" s="598"/>
      <c r="R4" s="598"/>
      <c r="S4" s="598"/>
      <c r="T4" s="598"/>
      <c r="U4" s="598"/>
      <c r="V4" s="598"/>
      <c r="W4" s="600"/>
      <c r="X4" s="598"/>
      <c r="Y4" s="600"/>
      <c r="Z4" s="598"/>
      <c r="AA4" s="600"/>
    </row>
    <row r="5" spans="1:27">
      <c r="A5" s="601"/>
      <c r="B5" s="601"/>
      <c r="C5" s="601"/>
      <c r="D5" s="601"/>
      <c r="E5" s="601"/>
      <c r="F5" s="601"/>
      <c r="G5" s="601"/>
      <c r="H5" s="601"/>
      <c r="I5" s="602"/>
      <c r="J5" s="601"/>
      <c r="K5" s="601"/>
      <c r="L5" s="601"/>
      <c r="M5" s="601"/>
      <c r="N5" s="601"/>
      <c r="O5" s="601"/>
      <c r="P5" s="601"/>
      <c r="Q5" s="601"/>
      <c r="R5" s="601"/>
      <c r="S5" s="603"/>
      <c r="T5" s="601"/>
      <c r="U5" s="601"/>
      <c r="V5" s="601"/>
      <c r="W5" s="604"/>
      <c r="X5" s="601"/>
      <c r="Y5" s="604"/>
      <c r="Z5" s="601"/>
      <c r="AA5" s="604"/>
    </row>
    <row r="6" spans="1:27">
      <c r="A6" s="601"/>
      <c r="B6" s="601"/>
      <c r="C6" s="601"/>
      <c r="D6" s="601"/>
      <c r="E6" s="601"/>
      <c r="F6" s="601"/>
      <c r="G6" s="601"/>
      <c r="H6" s="601"/>
      <c r="I6" s="602"/>
      <c r="J6" s="601"/>
      <c r="K6" s="601"/>
      <c r="L6" s="601"/>
      <c r="M6" s="601"/>
      <c r="N6" s="601"/>
      <c r="O6" s="601"/>
      <c r="P6" s="601"/>
      <c r="Q6" s="601"/>
      <c r="R6" s="601"/>
      <c r="S6" s="603"/>
      <c r="T6" s="601"/>
      <c r="U6" s="601"/>
      <c r="V6" s="601"/>
      <c r="W6" s="604"/>
      <c r="X6" s="601"/>
      <c r="Y6" s="604"/>
      <c r="Z6" s="601"/>
      <c r="AA6" s="604"/>
    </row>
    <row r="7" spans="1:27">
      <c r="A7" s="601"/>
      <c r="B7" s="601"/>
      <c r="C7" s="601"/>
      <c r="D7" s="601"/>
      <c r="E7" s="601"/>
      <c r="F7" s="601"/>
      <c r="G7" s="601"/>
      <c r="H7" s="601"/>
      <c r="I7" s="602"/>
      <c r="J7" s="601"/>
      <c r="K7" s="601"/>
      <c r="L7" s="601"/>
      <c r="M7" s="601"/>
      <c r="N7" s="601"/>
      <c r="O7" s="601"/>
      <c r="P7" s="601"/>
      <c r="Q7" s="601"/>
      <c r="R7" s="601"/>
      <c r="S7" s="603"/>
      <c r="T7" s="601"/>
      <c r="U7" s="601"/>
      <c r="V7" s="601"/>
      <c r="W7" s="604"/>
      <c r="X7" s="601"/>
      <c r="Y7" s="604"/>
      <c r="Z7" s="601"/>
      <c r="AA7" s="604"/>
    </row>
    <row r="8" spans="1:27">
      <c r="A8" s="601"/>
      <c r="B8" s="601"/>
      <c r="C8" s="601"/>
      <c r="D8" s="601"/>
      <c r="E8" s="601"/>
      <c r="F8" s="601"/>
      <c r="G8" s="601"/>
      <c r="H8" s="601"/>
      <c r="I8" s="602"/>
      <c r="J8" s="601"/>
      <c r="K8" s="601"/>
      <c r="L8" s="601"/>
      <c r="M8" s="601"/>
      <c r="N8" s="601"/>
      <c r="O8" s="601"/>
      <c r="P8" s="601"/>
      <c r="Q8" s="601"/>
      <c r="R8" s="601"/>
      <c r="S8" s="603"/>
      <c r="T8" s="601"/>
      <c r="U8" s="601"/>
      <c r="V8" s="601"/>
      <c r="W8" s="604"/>
      <c r="X8" s="601"/>
      <c r="Y8" s="604"/>
      <c r="Z8" s="601"/>
      <c r="AA8" s="604"/>
    </row>
    <row r="9" spans="1:27">
      <c r="A9" s="601"/>
      <c r="B9" s="601"/>
      <c r="C9" s="601"/>
      <c r="D9" s="601"/>
      <c r="E9" s="601"/>
      <c r="F9" s="601"/>
      <c r="G9" s="601"/>
      <c r="H9" s="601"/>
      <c r="I9" s="602"/>
      <c r="J9" s="601"/>
      <c r="K9" s="601"/>
      <c r="L9" s="601"/>
      <c r="M9" s="601"/>
      <c r="N9" s="601"/>
      <c r="O9" s="601"/>
      <c r="P9" s="601"/>
      <c r="Q9" s="601"/>
      <c r="R9" s="601"/>
      <c r="S9" s="603"/>
      <c r="T9" s="601"/>
      <c r="U9" s="601"/>
      <c r="V9" s="601"/>
      <c r="W9" s="604"/>
      <c r="X9" s="601"/>
      <c r="Y9" s="604"/>
      <c r="Z9" s="601"/>
      <c r="AA9" s="604"/>
    </row>
    <row r="10" spans="1:27">
      <c r="A10" s="601"/>
      <c r="B10" s="601"/>
      <c r="C10" s="601"/>
      <c r="D10" s="601"/>
      <c r="E10" s="601"/>
      <c r="F10" s="601"/>
      <c r="G10" s="601"/>
      <c r="H10" s="601"/>
      <c r="I10" s="602"/>
      <c r="J10" s="601"/>
      <c r="K10" s="601"/>
      <c r="L10" s="601"/>
      <c r="M10" s="601"/>
      <c r="N10" s="601"/>
      <c r="O10" s="601"/>
      <c r="P10" s="601"/>
      <c r="Q10" s="601"/>
      <c r="R10" s="601"/>
      <c r="S10" s="603"/>
      <c r="T10" s="601"/>
      <c r="U10" s="601"/>
      <c r="V10" s="601"/>
      <c r="W10" s="604"/>
      <c r="X10" s="601"/>
      <c r="Y10" s="604"/>
      <c r="Z10" s="601"/>
      <c r="AA10" s="604"/>
    </row>
    <row r="11" spans="1:27">
      <c r="A11" s="601"/>
      <c r="B11" s="601"/>
      <c r="C11" s="601"/>
      <c r="D11" s="601"/>
      <c r="E11" s="601"/>
      <c r="F11" s="601"/>
      <c r="G11" s="601"/>
      <c r="H11" s="601"/>
      <c r="I11" s="602"/>
      <c r="J11" s="601"/>
      <c r="K11" s="601"/>
      <c r="L11" s="601"/>
      <c r="M11" s="601"/>
      <c r="N11" s="601"/>
      <c r="O11" s="601"/>
      <c r="P11" s="601"/>
      <c r="Q11" s="601"/>
      <c r="R11" s="601"/>
      <c r="S11" s="603"/>
      <c r="T11" s="601"/>
      <c r="U11" s="601"/>
      <c r="V11" s="601"/>
      <c r="W11" s="604"/>
      <c r="X11" s="601"/>
      <c r="Y11" s="604"/>
      <c r="Z11" s="601"/>
      <c r="AA11" s="604"/>
    </row>
    <row r="12" spans="1:27">
      <c r="A12" s="601"/>
      <c r="B12" s="601"/>
      <c r="C12" s="601"/>
      <c r="D12" s="601"/>
      <c r="E12" s="601"/>
      <c r="F12" s="601"/>
      <c r="G12" s="601"/>
      <c r="H12" s="601"/>
      <c r="I12" s="602"/>
      <c r="J12" s="601"/>
      <c r="K12" s="601"/>
      <c r="L12" s="601"/>
      <c r="M12" s="601"/>
      <c r="N12" s="601"/>
      <c r="O12" s="601"/>
      <c r="P12" s="601"/>
      <c r="Q12" s="601"/>
      <c r="R12" s="601"/>
      <c r="S12" s="603"/>
      <c r="T12" s="601"/>
      <c r="U12" s="601"/>
      <c r="V12" s="601"/>
      <c r="W12" s="604"/>
      <c r="X12" s="601"/>
      <c r="Y12" s="604"/>
      <c r="Z12" s="601"/>
      <c r="AA12" s="604"/>
    </row>
    <row r="13" spans="1:27">
      <c r="A13" s="601"/>
      <c r="B13" s="601"/>
      <c r="C13" s="601"/>
      <c r="D13" s="601"/>
      <c r="E13" s="601"/>
      <c r="F13" s="601"/>
      <c r="G13" s="601"/>
      <c r="H13" s="601"/>
      <c r="I13" s="602"/>
      <c r="J13" s="601"/>
      <c r="K13" s="601"/>
      <c r="L13" s="601"/>
      <c r="M13" s="601"/>
      <c r="N13" s="601"/>
      <c r="O13" s="601"/>
      <c r="P13" s="601"/>
      <c r="Q13" s="601"/>
      <c r="R13" s="601"/>
      <c r="S13" s="603"/>
      <c r="T13" s="601"/>
      <c r="U13" s="601"/>
      <c r="V13" s="601"/>
      <c r="W13" s="604"/>
      <c r="X13" s="601"/>
      <c r="Y13" s="604"/>
      <c r="Z13" s="601"/>
      <c r="AA13" s="604"/>
    </row>
    <row r="14" spans="1:27">
      <c r="A14" s="601"/>
      <c r="B14" s="601"/>
      <c r="C14" s="601"/>
      <c r="D14" s="601"/>
      <c r="E14" s="601"/>
      <c r="F14" s="601"/>
      <c r="G14" s="601"/>
      <c r="H14" s="601"/>
      <c r="I14" s="602"/>
      <c r="J14" s="601"/>
      <c r="K14" s="601"/>
      <c r="L14" s="601"/>
      <c r="M14" s="601"/>
      <c r="N14" s="601"/>
      <c r="O14" s="601"/>
      <c r="P14" s="601"/>
      <c r="Q14" s="601"/>
      <c r="R14" s="601"/>
      <c r="S14" s="603"/>
      <c r="T14" s="601"/>
      <c r="U14" s="601"/>
      <c r="V14" s="601"/>
      <c r="W14" s="604"/>
      <c r="X14" s="601"/>
      <c r="Y14" s="604"/>
      <c r="Z14" s="601"/>
      <c r="AA14" s="604"/>
    </row>
    <row r="15" spans="1:27" s="608" customFormat="1" ht="11.25">
      <c r="A15" s="601"/>
      <c r="B15" s="601"/>
      <c r="C15" s="601"/>
      <c r="D15" s="601"/>
      <c r="E15" s="601"/>
      <c r="F15" s="601"/>
      <c r="G15" s="601"/>
      <c r="H15" s="601"/>
      <c r="I15" s="602"/>
      <c r="J15" s="601"/>
      <c r="K15" s="601"/>
      <c r="L15" s="601"/>
      <c r="M15" s="601"/>
      <c r="N15" s="601"/>
      <c r="O15" s="601"/>
      <c r="P15" s="601"/>
      <c r="Q15" s="601"/>
      <c r="R15" s="601"/>
      <c r="S15" s="603"/>
      <c r="T15" s="601"/>
      <c r="U15" s="601"/>
      <c r="V15" s="601"/>
      <c r="W15" s="604"/>
      <c r="X15" s="601"/>
      <c r="Y15" s="604"/>
      <c r="Z15" s="601"/>
      <c r="AA15" s="604"/>
    </row>
    <row r="16" spans="1:27" ht="13.5" thickBot="1">
      <c r="A16" s="601"/>
      <c r="B16" s="601"/>
      <c r="C16" s="601"/>
      <c r="D16" s="601"/>
      <c r="E16" s="601"/>
      <c r="F16" s="601"/>
      <c r="G16" s="601"/>
      <c r="H16" s="601"/>
      <c r="I16" s="602"/>
      <c r="J16" s="601"/>
      <c r="K16" s="601"/>
      <c r="L16" s="601"/>
      <c r="M16" s="601"/>
      <c r="N16" s="601"/>
      <c r="O16" s="601"/>
      <c r="P16" s="601"/>
      <c r="Q16" s="601"/>
      <c r="R16" s="601"/>
      <c r="S16" s="603"/>
      <c r="T16" s="601"/>
      <c r="U16" s="601"/>
      <c r="V16" s="601"/>
      <c r="W16" s="605"/>
      <c r="X16" s="601"/>
      <c r="Y16" s="605"/>
      <c r="Z16" s="601"/>
      <c r="AA16" s="605"/>
    </row>
    <row r="17" spans="1:27" ht="13.5" thickBot="1">
      <c r="A17" s="601"/>
      <c r="B17" s="601"/>
      <c r="C17" s="601"/>
      <c r="D17" s="601" t="s">
        <v>788</v>
      </c>
      <c r="E17" s="601"/>
      <c r="F17" s="601"/>
      <c r="G17" s="601"/>
      <c r="H17" s="601"/>
      <c r="I17" s="602"/>
      <c r="J17" s="601"/>
      <c r="K17" s="601"/>
      <c r="L17" s="601"/>
      <c r="M17" s="601"/>
      <c r="N17" s="601"/>
      <c r="O17" s="601"/>
      <c r="P17" s="601"/>
      <c r="Q17" s="601"/>
      <c r="R17" s="601"/>
      <c r="S17" s="601"/>
      <c r="T17" s="601"/>
      <c r="U17" s="601"/>
      <c r="V17" s="601"/>
      <c r="W17" s="606">
        <f>ROUND(SUM(W4:W16),5)</f>
        <v>0</v>
      </c>
      <c r="X17" s="601"/>
      <c r="Y17" s="606">
        <f>ROUND(SUM(Y4:Y16),5)</f>
        <v>0</v>
      </c>
      <c r="Z17" s="601"/>
      <c r="AA17" s="606">
        <f>AA16</f>
        <v>0</v>
      </c>
    </row>
    <row r="18" spans="1:27" ht="25.5" customHeight="1" thickBot="1">
      <c r="A18" s="601"/>
      <c r="B18" s="601"/>
      <c r="C18" s="601" t="s">
        <v>789</v>
      </c>
      <c r="D18" s="601"/>
      <c r="E18" s="601"/>
      <c r="F18" s="601"/>
      <c r="G18" s="601"/>
      <c r="H18" s="601"/>
      <c r="I18" s="602"/>
      <c r="J18" s="601"/>
      <c r="K18" s="601"/>
      <c r="L18" s="601"/>
      <c r="M18" s="601"/>
      <c r="N18" s="601"/>
      <c r="O18" s="601"/>
      <c r="P18" s="601"/>
      <c r="Q18" s="601"/>
      <c r="R18" s="601"/>
      <c r="S18" s="601"/>
      <c r="T18" s="601"/>
      <c r="U18" s="601"/>
      <c r="V18" s="601"/>
      <c r="W18" s="606">
        <f>W17</f>
        <v>0</v>
      </c>
      <c r="X18" s="601"/>
      <c r="Y18" s="606">
        <f>Y17</f>
        <v>0</v>
      </c>
      <c r="Z18" s="601"/>
      <c r="AA18" s="606">
        <f>AA17</f>
        <v>0</v>
      </c>
    </row>
    <row r="19" spans="1:27" ht="25.5" customHeight="1" thickBot="1">
      <c r="A19" s="601"/>
      <c r="B19" s="601" t="s">
        <v>790</v>
      </c>
      <c r="C19" s="601"/>
      <c r="D19" s="601"/>
      <c r="E19" s="601"/>
      <c r="F19" s="601"/>
      <c r="G19" s="601"/>
      <c r="H19" s="601"/>
      <c r="I19" s="602"/>
      <c r="J19" s="601"/>
      <c r="K19" s="601"/>
      <c r="L19" s="601"/>
      <c r="M19" s="601"/>
      <c r="N19" s="601"/>
      <c r="O19" s="601"/>
      <c r="P19" s="601"/>
      <c r="Q19" s="601"/>
      <c r="R19" s="601"/>
      <c r="S19" s="601"/>
      <c r="T19" s="601"/>
      <c r="U19" s="601"/>
      <c r="V19" s="601"/>
      <c r="W19" s="606">
        <f>W18</f>
        <v>0</v>
      </c>
      <c r="X19" s="601"/>
      <c r="Y19" s="606">
        <f>Y18</f>
        <v>0</v>
      </c>
      <c r="Z19" s="601"/>
      <c r="AA19" s="606">
        <f>AA18</f>
        <v>0</v>
      </c>
    </row>
    <row r="20" spans="1:27" s="608" customFormat="1" ht="25.5" customHeight="1" thickBot="1">
      <c r="A20" s="598" t="s">
        <v>791</v>
      </c>
      <c r="B20" s="598"/>
      <c r="C20" s="598"/>
      <c r="D20" s="598"/>
      <c r="E20" s="598"/>
      <c r="F20" s="598"/>
      <c r="G20" s="598"/>
      <c r="H20" s="598"/>
      <c r="I20" s="599"/>
      <c r="J20" s="598"/>
      <c r="K20" s="598"/>
      <c r="L20" s="598"/>
      <c r="M20" s="598"/>
      <c r="N20" s="598"/>
      <c r="O20" s="598"/>
      <c r="P20" s="598"/>
      <c r="Q20" s="598"/>
      <c r="R20" s="598"/>
      <c r="S20" s="598"/>
      <c r="T20" s="598"/>
      <c r="U20" s="598"/>
      <c r="V20" s="598"/>
      <c r="W20" s="607">
        <f>W19</f>
        <v>0</v>
      </c>
      <c r="X20" s="598"/>
      <c r="Y20" s="607">
        <f>Y19</f>
        <v>0</v>
      </c>
      <c r="Z20" s="598"/>
      <c r="AA20" s="607">
        <f>AA19</f>
        <v>0</v>
      </c>
    </row>
    <row r="21" spans="1:27" ht="13.5" thickTop="1"/>
  </sheetData>
  <pageMargins left="0.7" right="0.7" top="0.75" bottom="0.75" header="0.25" footer="0.3"/>
  <pageSetup orientation="portrait" r:id="rId1"/>
  <headerFooter>
    <oddHeader>&amp;L&amp;"Arial,Bold"&amp;8 1:34 PM
&amp;"Arial,Bold"&amp;8 03/30/12
&amp;"Arial,Bold"&amp;8 Accrual Basis&amp;C&amp;"Arial,Bold"&amp;12 UTILITIES PLUS
&amp;"Arial,Bold"&amp;14 Transaction Detail By Account
&amp;"Arial,Bold"&amp;10 January through December 2010</oddHeader>
    <oddFooter>&amp;R&amp;"Arial,Bold"&amp;8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opLeftCell="A48" workbookViewId="0">
      <selection activeCell="H35" sqref="H35"/>
    </sheetView>
  </sheetViews>
  <sheetFormatPr defaultRowHeight="12.75"/>
  <cols>
    <col min="1" max="1" width="6.7109375" customWidth="1"/>
    <col min="2" max="2" width="40.85546875" customWidth="1"/>
    <col min="3" max="3" width="16.7109375" customWidth="1"/>
    <col min="4" max="4" width="6.7109375" customWidth="1"/>
    <col min="5" max="5" width="42.28515625" customWidth="1"/>
    <col min="6" max="6" width="16.7109375" customWidth="1"/>
    <col min="7" max="7" width="9.7109375" bestFit="1" customWidth="1"/>
  </cols>
  <sheetData>
    <row r="1" spans="1:9" ht="15">
      <c r="A1" s="743" t="s">
        <v>147</v>
      </c>
      <c r="B1" s="743"/>
      <c r="C1" s="743"/>
      <c r="D1" s="743"/>
      <c r="E1" s="743"/>
      <c r="F1" s="743"/>
    </row>
    <row r="2" spans="1:9" ht="15">
      <c r="A2" s="744" t="s">
        <v>148</v>
      </c>
      <c r="B2" s="744"/>
      <c r="C2" s="744"/>
      <c r="D2" s="744"/>
      <c r="E2" s="744"/>
      <c r="F2" s="744"/>
    </row>
    <row r="3" spans="1:9" ht="15">
      <c r="A3" s="745">
        <v>42004</v>
      </c>
      <c r="B3" s="745"/>
      <c r="C3" s="745"/>
      <c r="D3" s="745"/>
      <c r="E3" s="745"/>
      <c r="F3" s="745"/>
    </row>
    <row r="5" spans="1:9" ht="15">
      <c r="A5" s="746" t="s">
        <v>149</v>
      </c>
      <c r="B5" s="746"/>
      <c r="C5" s="746"/>
      <c r="D5" s="746"/>
      <c r="E5" s="746"/>
      <c r="F5" s="746"/>
    </row>
    <row r="6" spans="1:9">
      <c r="A6" s="428" t="s">
        <v>671</v>
      </c>
      <c r="B6" s="429"/>
      <c r="C6" s="428" t="s">
        <v>150</v>
      </c>
      <c r="D6" s="428" t="s">
        <v>671</v>
      </c>
      <c r="E6" s="429"/>
      <c r="F6" s="428" t="s">
        <v>150</v>
      </c>
    </row>
    <row r="7" spans="1:9" ht="13.5" thickBot="1">
      <c r="A7" s="430" t="s">
        <v>673</v>
      </c>
      <c r="B7" s="428" t="s">
        <v>151</v>
      </c>
      <c r="C7" s="430" t="s">
        <v>152</v>
      </c>
      <c r="D7" s="430" t="s">
        <v>153</v>
      </c>
      <c r="E7" s="428" t="s">
        <v>154</v>
      </c>
      <c r="F7" s="430" t="s">
        <v>152</v>
      </c>
    </row>
    <row r="8" spans="1:9" ht="14.25" thickTop="1" thickBot="1">
      <c r="A8" s="205"/>
      <c r="B8" s="431" t="s">
        <v>155</v>
      </c>
      <c r="C8" s="432"/>
      <c r="D8" s="433"/>
      <c r="E8" s="431" t="s">
        <v>156</v>
      </c>
      <c r="F8" s="432"/>
    </row>
    <row r="9" spans="1:9" ht="13.5" thickTop="1">
      <c r="A9" s="205">
        <v>1</v>
      </c>
      <c r="B9" s="434" t="s">
        <v>157</v>
      </c>
      <c r="C9" s="435"/>
      <c r="D9" s="436"/>
      <c r="E9" s="434"/>
      <c r="F9" s="435"/>
    </row>
    <row r="10" spans="1:9">
      <c r="A10" s="437"/>
      <c r="B10" s="438" t="s">
        <v>158</v>
      </c>
      <c r="C10" s="439">
        <f>'EIA 412 ELECTRIC PLANT'!G26</f>
        <v>46660766</v>
      </c>
      <c r="D10" s="440">
        <v>29</v>
      </c>
      <c r="E10" s="438" t="s">
        <v>159</v>
      </c>
      <c r="F10" s="441">
        <v>0</v>
      </c>
    </row>
    <row r="11" spans="1:9">
      <c r="A11" s="442">
        <v>2</v>
      </c>
      <c r="B11" s="443" t="s">
        <v>160</v>
      </c>
      <c r="C11" s="444">
        <f>'EIA 412 ELECTRIC PLANT'!G28</f>
        <v>205329</v>
      </c>
      <c r="D11" s="445">
        <v>30</v>
      </c>
      <c r="E11" s="446" t="s">
        <v>161</v>
      </c>
      <c r="F11" s="447">
        <f>32969053</f>
        <v>32969053</v>
      </c>
      <c r="I11" s="471" t="s">
        <v>669</v>
      </c>
    </row>
    <row r="12" spans="1:9">
      <c r="A12" s="205">
        <v>3</v>
      </c>
      <c r="B12" s="434" t="s">
        <v>162</v>
      </c>
      <c r="C12" s="435"/>
      <c r="D12" s="436"/>
      <c r="E12" s="434"/>
      <c r="F12" s="435"/>
    </row>
    <row r="13" spans="1:9">
      <c r="A13" s="205"/>
      <c r="B13" s="434" t="s">
        <v>163</v>
      </c>
      <c r="C13" s="435"/>
      <c r="D13" s="436">
        <v>31</v>
      </c>
      <c r="E13" s="434" t="s">
        <v>164</v>
      </c>
      <c r="F13" s="435"/>
    </row>
    <row r="14" spans="1:9">
      <c r="A14" s="437"/>
      <c r="B14" s="438" t="s">
        <v>165</v>
      </c>
      <c r="C14" s="667">
        <f>-'EIA 412 ELECTRIC PLANT'!I21</f>
        <v>-20038050</v>
      </c>
      <c r="D14" s="440"/>
      <c r="E14" s="438" t="s">
        <v>166</v>
      </c>
      <c r="F14" s="441">
        <v>0</v>
      </c>
    </row>
    <row r="15" spans="1:9" ht="26.25" thickBot="1">
      <c r="A15" s="442">
        <v>4</v>
      </c>
      <c r="B15" s="448" t="s">
        <v>167</v>
      </c>
      <c r="C15" s="449">
        <f>+C10+C11+C14</f>
        <v>26828045</v>
      </c>
      <c r="D15" s="450">
        <v>32</v>
      </c>
      <c r="E15" s="451" t="s">
        <v>168</v>
      </c>
      <c r="F15" s="452">
        <f>+F14+F11+F10</f>
        <v>32969053</v>
      </c>
    </row>
    <row r="16" spans="1:9" ht="14.25" thickTop="1" thickBot="1">
      <c r="A16" s="453">
        <v>5</v>
      </c>
      <c r="B16" s="446" t="s">
        <v>169</v>
      </c>
      <c r="C16" s="447"/>
      <c r="D16" s="436"/>
      <c r="E16" s="454" t="s">
        <v>170</v>
      </c>
      <c r="F16" s="435"/>
    </row>
    <row r="17" spans="1:10" ht="13.5" thickTop="1">
      <c r="A17" s="226">
        <v>6</v>
      </c>
      <c r="B17" s="434" t="s">
        <v>162</v>
      </c>
      <c r="C17" s="435"/>
      <c r="D17" s="436"/>
      <c r="E17" s="434"/>
      <c r="F17" s="435"/>
    </row>
    <row r="18" spans="1:10">
      <c r="A18" s="205"/>
      <c r="B18" s="434" t="s">
        <v>171</v>
      </c>
      <c r="C18" s="435"/>
      <c r="D18" s="436"/>
      <c r="E18" s="434" t="s">
        <v>172</v>
      </c>
      <c r="F18" s="435"/>
    </row>
    <row r="19" spans="1:10">
      <c r="A19" s="437"/>
      <c r="B19" s="438" t="s">
        <v>173</v>
      </c>
      <c r="C19" s="441">
        <v>0</v>
      </c>
      <c r="D19" s="440">
        <v>33</v>
      </c>
      <c r="E19" s="438" t="s">
        <v>174</v>
      </c>
      <c r="F19" s="455">
        <f>'ERS4_Debt Detail'!I40</f>
        <v>4405556</v>
      </c>
    </row>
    <row r="20" spans="1:10">
      <c r="A20" s="205">
        <v>7</v>
      </c>
      <c r="B20" s="456" t="s">
        <v>175</v>
      </c>
      <c r="C20" s="435"/>
      <c r="D20" s="457" t="s">
        <v>176</v>
      </c>
      <c r="E20" s="446" t="s">
        <v>177</v>
      </c>
      <c r="F20" s="441">
        <v>0</v>
      </c>
    </row>
    <row r="21" spans="1:10" ht="13.5" thickBot="1">
      <c r="A21" s="437"/>
      <c r="B21" s="456" t="s">
        <v>178</v>
      </c>
      <c r="C21" s="458">
        <f>+C15+C16+C19</f>
        <v>26828045</v>
      </c>
      <c r="D21" s="445" t="s">
        <v>179</v>
      </c>
      <c r="E21" s="443" t="s">
        <v>180</v>
      </c>
      <c r="F21" s="441">
        <v>0</v>
      </c>
    </row>
    <row r="22" spans="1:10" ht="14.25" thickTop="1" thickBot="1">
      <c r="A22" s="205"/>
      <c r="B22" s="431" t="s">
        <v>181</v>
      </c>
      <c r="C22" s="435"/>
      <c r="D22" s="445" t="s">
        <v>182</v>
      </c>
      <c r="E22" s="443" t="s">
        <v>183</v>
      </c>
      <c r="F22" s="441">
        <v>0</v>
      </c>
    </row>
    <row r="23" spans="1:10" ht="13.5" thickTop="1">
      <c r="A23" s="437">
        <v>8</v>
      </c>
      <c r="B23" s="438" t="s">
        <v>184</v>
      </c>
      <c r="C23" s="441">
        <v>0</v>
      </c>
      <c r="D23" s="445" t="s">
        <v>185</v>
      </c>
      <c r="E23" s="443" t="s">
        <v>186</v>
      </c>
      <c r="F23" s="441">
        <v>0</v>
      </c>
    </row>
    <row r="24" spans="1:10">
      <c r="A24" s="205">
        <v>9</v>
      </c>
      <c r="B24" s="434" t="s">
        <v>162</v>
      </c>
      <c r="C24" s="435"/>
      <c r="D24" s="445"/>
      <c r="E24" s="443"/>
      <c r="F24" s="443"/>
    </row>
    <row r="25" spans="1:10">
      <c r="A25" s="437"/>
      <c r="B25" s="438" t="s">
        <v>187</v>
      </c>
      <c r="C25" s="441">
        <v>0</v>
      </c>
      <c r="D25" s="445"/>
      <c r="E25" s="443"/>
      <c r="F25" s="443"/>
    </row>
    <row r="26" spans="1:10">
      <c r="A26" s="205">
        <v>10</v>
      </c>
      <c r="B26" s="434" t="s">
        <v>188</v>
      </c>
      <c r="C26" s="435"/>
      <c r="D26" s="433">
        <v>34</v>
      </c>
      <c r="E26" s="459" t="s">
        <v>189</v>
      </c>
      <c r="F26" s="460"/>
    </row>
    <row r="27" spans="1:10">
      <c r="A27" s="437"/>
      <c r="B27" s="438" t="s">
        <v>190</v>
      </c>
      <c r="C27" s="441">
        <v>0</v>
      </c>
      <c r="D27" s="440"/>
      <c r="E27" s="438" t="s">
        <v>191</v>
      </c>
      <c r="F27" s="441">
        <v>0</v>
      </c>
    </row>
    <row r="28" spans="1:10" ht="25.5">
      <c r="A28" s="442">
        <v>11</v>
      </c>
      <c r="B28" s="461" t="s">
        <v>192</v>
      </c>
      <c r="C28" s="462">
        <f>+C29+C30+C31+C32</f>
        <v>490500</v>
      </c>
      <c r="D28" s="433">
        <v>35</v>
      </c>
      <c r="E28" s="459" t="s">
        <v>193</v>
      </c>
      <c r="F28" s="435"/>
    </row>
    <row r="29" spans="1:10">
      <c r="A29" s="463" t="s">
        <v>194</v>
      </c>
      <c r="B29" s="443" t="s">
        <v>195</v>
      </c>
      <c r="C29" s="447">
        <v>0</v>
      </c>
      <c r="D29" s="440"/>
      <c r="E29" s="464" t="s">
        <v>196</v>
      </c>
      <c r="F29" s="441">
        <v>0</v>
      </c>
      <c r="J29" t="s">
        <v>669</v>
      </c>
    </row>
    <row r="30" spans="1:10">
      <c r="A30" s="442" t="s">
        <v>197</v>
      </c>
      <c r="B30" s="443" t="s">
        <v>198</v>
      </c>
      <c r="C30" s="447">
        <v>0</v>
      </c>
      <c r="D30" s="436">
        <v>36</v>
      </c>
      <c r="E30" s="465" t="s">
        <v>199</v>
      </c>
      <c r="F30" s="435"/>
    </row>
    <row r="31" spans="1:10">
      <c r="A31" s="442" t="s">
        <v>200</v>
      </c>
      <c r="B31" s="443" t="s">
        <v>201</v>
      </c>
      <c r="C31" s="447">
        <v>0</v>
      </c>
      <c r="D31" s="440"/>
      <c r="E31" s="438" t="s">
        <v>202</v>
      </c>
      <c r="F31" s="441">
        <v>0</v>
      </c>
    </row>
    <row r="32" spans="1:10" ht="13.5" thickBot="1">
      <c r="A32" s="442" t="s">
        <v>203</v>
      </c>
      <c r="B32" s="443" t="s">
        <v>204</v>
      </c>
      <c r="C32" s="447">
        <v>490500</v>
      </c>
      <c r="D32" s="440">
        <v>37</v>
      </c>
      <c r="E32" s="466" t="s">
        <v>205</v>
      </c>
      <c r="F32" s="467">
        <f>+F19+F27+F29+F31</f>
        <v>4405556</v>
      </c>
    </row>
    <row r="33" spans="1:7" ht="27" thickTop="1" thickBot="1">
      <c r="A33" s="442">
        <v>12</v>
      </c>
      <c r="B33" s="468" t="s">
        <v>206</v>
      </c>
      <c r="C33" s="449">
        <f>+C23+C25+C27+C28</f>
        <v>490500</v>
      </c>
      <c r="D33" s="440"/>
      <c r="E33" s="431" t="s">
        <v>207</v>
      </c>
      <c r="F33" s="469"/>
    </row>
    <row r="34" spans="1:7" ht="14.25" thickTop="1" thickBot="1">
      <c r="A34" s="205"/>
      <c r="B34" s="431" t="s">
        <v>208</v>
      </c>
      <c r="C34" s="435"/>
      <c r="D34" s="445">
        <v>38</v>
      </c>
      <c r="E34" s="464" t="s">
        <v>209</v>
      </c>
      <c r="F34" s="447">
        <v>0</v>
      </c>
    </row>
    <row r="35" spans="1:7" ht="13.5" thickTop="1">
      <c r="A35" s="205">
        <v>13</v>
      </c>
      <c r="B35" s="434" t="s">
        <v>210</v>
      </c>
      <c r="C35" s="435"/>
      <c r="D35" s="445">
        <v>39</v>
      </c>
      <c r="E35" s="446" t="s">
        <v>211</v>
      </c>
      <c r="F35" s="447">
        <v>0</v>
      </c>
    </row>
    <row r="36" spans="1:7">
      <c r="A36" s="437"/>
      <c r="B36" s="438" t="s">
        <v>212</v>
      </c>
      <c r="C36" s="441">
        <f>11606610</f>
        <v>11606610</v>
      </c>
      <c r="D36" s="440">
        <v>40</v>
      </c>
      <c r="E36" s="470" t="s">
        <v>213</v>
      </c>
      <c r="F36" s="458">
        <f>+F35+F34</f>
        <v>0</v>
      </c>
    </row>
    <row r="37" spans="1:7" ht="13.5" thickBot="1">
      <c r="A37" s="205">
        <v>14</v>
      </c>
      <c r="B37" s="434" t="s">
        <v>214</v>
      </c>
      <c r="C37" s="435" t="s">
        <v>669</v>
      </c>
      <c r="D37" s="436"/>
      <c r="E37" s="434"/>
      <c r="F37" s="435"/>
    </row>
    <row r="38" spans="1:7" ht="14.25" thickTop="1" thickBot="1">
      <c r="A38" s="437"/>
      <c r="B38" s="438" t="s">
        <v>215</v>
      </c>
      <c r="C38" s="435">
        <f>363+5443+85381+8290+25832</f>
        <v>125309</v>
      </c>
      <c r="D38" s="440"/>
      <c r="E38" s="431" t="s">
        <v>216</v>
      </c>
      <c r="F38" s="469"/>
    </row>
    <row r="39" spans="1:7" ht="13.5" thickTop="1">
      <c r="A39" s="442">
        <v>15</v>
      </c>
      <c r="B39" s="443" t="s">
        <v>217</v>
      </c>
      <c r="C39" s="447">
        <f>2508840</f>
        <v>2508840</v>
      </c>
      <c r="D39" s="440">
        <v>41</v>
      </c>
      <c r="E39" s="438" t="s">
        <v>218</v>
      </c>
      <c r="F39" s="469">
        <f>191518+1408358</f>
        <v>1599876</v>
      </c>
      <c r="G39" s="471" t="s">
        <v>669</v>
      </c>
    </row>
    <row r="40" spans="1:7">
      <c r="A40" s="205">
        <v>16</v>
      </c>
      <c r="B40" s="434" t="s">
        <v>162</v>
      </c>
      <c r="C40" s="435"/>
      <c r="D40" s="436"/>
      <c r="E40" s="434"/>
      <c r="F40" s="435"/>
    </row>
    <row r="41" spans="1:7">
      <c r="A41" s="437"/>
      <c r="B41" s="438" t="s">
        <v>219</v>
      </c>
      <c r="C41" s="441">
        <v>0</v>
      </c>
      <c r="D41" s="440">
        <v>42</v>
      </c>
      <c r="E41" s="438" t="s">
        <v>220</v>
      </c>
      <c r="F41" s="441">
        <f>2122953</f>
        <v>2122953</v>
      </c>
    </row>
    <row r="42" spans="1:7">
      <c r="A42" s="205">
        <v>17</v>
      </c>
      <c r="B42" s="434" t="s">
        <v>221</v>
      </c>
      <c r="C42" s="435"/>
      <c r="D42" s="436">
        <v>43</v>
      </c>
      <c r="E42" s="465" t="s">
        <v>222</v>
      </c>
      <c r="F42" s="435"/>
    </row>
    <row r="43" spans="1:7">
      <c r="A43" s="437"/>
      <c r="B43" s="438" t="s">
        <v>223</v>
      </c>
      <c r="C43" s="441">
        <v>0</v>
      </c>
      <c r="D43" s="440"/>
      <c r="E43" s="438" t="s">
        <v>224</v>
      </c>
      <c r="F43" s="441">
        <f>612080</f>
        <v>612080</v>
      </c>
    </row>
    <row r="44" spans="1:7">
      <c r="A44" s="442">
        <v>18</v>
      </c>
      <c r="B44" s="443" t="s">
        <v>225</v>
      </c>
      <c r="C44" s="447">
        <f>979129</f>
        <v>979129</v>
      </c>
      <c r="D44" s="440">
        <v>44</v>
      </c>
      <c r="E44" s="438" t="s">
        <v>226</v>
      </c>
      <c r="F44" s="441">
        <f>452162</f>
        <v>452162</v>
      </c>
    </row>
    <row r="45" spans="1:7">
      <c r="A45" s="442">
        <v>19</v>
      </c>
      <c r="B45" s="443" t="s">
        <v>227</v>
      </c>
      <c r="C45" s="447">
        <v>0</v>
      </c>
      <c r="D45" s="440">
        <v>45</v>
      </c>
      <c r="E45" s="438" t="s">
        <v>228</v>
      </c>
      <c r="F45" s="441">
        <v>0</v>
      </c>
    </row>
    <row r="46" spans="1:7">
      <c r="A46" s="442">
        <v>20</v>
      </c>
      <c r="B46" s="443" t="s">
        <v>229</v>
      </c>
      <c r="C46" s="472">
        <f>175687</f>
        <v>175687</v>
      </c>
      <c r="D46" s="440">
        <v>46</v>
      </c>
      <c r="E46" s="438" t="s">
        <v>230</v>
      </c>
      <c r="F46" s="441">
        <f>58867</f>
        <v>58867</v>
      </c>
    </row>
    <row r="47" spans="1:7">
      <c r="A47" s="453">
        <v>21</v>
      </c>
      <c r="B47" s="443" t="s">
        <v>231</v>
      </c>
      <c r="C47" s="447">
        <v>0</v>
      </c>
      <c r="D47" s="440">
        <v>47</v>
      </c>
      <c r="E47" s="438" t="s">
        <v>232</v>
      </c>
      <c r="F47" s="441">
        <f>150914+129298+58906+54932+153350</f>
        <v>547400</v>
      </c>
    </row>
    <row r="48" spans="1:7" ht="26.25" thickBot="1">
      <c r="A48" s="453">
        <v>22</v>
      </c>
      <c r="B48" s="443" t="s">
        <v>233</v>
      </c>
      <c r="C48" s="447">
        <v>0</v>
      </c>
      <c r="D48" s="440">
        <v>48</v>
      </c>
      <c r="E48" s="473" t="s">
        <v>234</v>
      </c>
      <c r="F48" s="458">
        <f>+F47+F46+F45+F44+F43+F41+F39</f>
        <v>5393338</v>
      </c>
    </row>
    <row r="49" spans="1:6" ht="27" thickTop="1" thickBot="1">
      <c r="A49" s="453">
        <v>23</v>
      </c>
      <c r="B49" s="468" t="s">
        <v>235</v>
      </c>
      <c r="C49" s="449">
        <f>+C36+C38+C39+C41+C43+C44+C45+C46+C47+C48</f>
        <v>15395575</v>
      </c>
      <c r="D49" s="440"/>
      <c r="E49" s="431" t="s">
        <v>236</v>
      </c>
      <c r="F49" s="469"/>
    </row>
    <row r="50" spans="1:6" ht="14.25" thickTop="1" thickBot="1">
      <c r="B50" s="431" t="s">
        <v>237</v>
      </c>
      <c r="C50" s="435"/>
      <c r="D50" s="474">
        <v>49</v>
      </c>
      <c r="E50" s="465" t="s">
        <v>238</v>
      </c>
      <c r="F50" s="435"/>
    </row>
    <row r="51" spans="1:6" ht="13.5" thickTop="1">
      <c r="A51" s="475">
        <v>24</v>
      </c>
      <c r="B51" s="438" t="s">
        <v>239</v>
      </c>
      <c r="C51" s="441">
        <f>53827</f>
        <v>53827</v>
      </c>
      <c r="D51" s="440"/>
      <c r="E51" s="476" t="s">
        <v>240</v>
      </c>
      <c r="F51" s="441">
        <v>0</v>
      </c>
    </row>
    <row r="52" spans="1:6">
      <c r="A52" s="226">
        <v>25</v>
      </c>
      <c r="B52" s="434" t="s">
        <v>241</v>
      </c>
      <c r="C52" s="435"/>
      <c r="D52" s="474">
        <v>50</v>
      </c>
      <c r="E52" s="434" t="s">
        <v>242</v>
      </c>
      <c r="F52" s="435"/>
    </row>
    <row r="53" spans="1:6">
      <c r="A53" s="477"/>
      <c r="B53" s="438" t="s">
        <v>243</v>
      </c>
      <c r="C53" s="441">
        <v>0</v>
      </c>
      <c r="D53" s="440"/>
      <c r="E53" s="438" t="s">
        <v>244</v>
      </c>
      <c r="F53" s="441">
        <v>0</v>
      </c>
    </row>
    <row r="54" spans="1:6">
      <c r="A54" s="226">
        <v>26</v>
      </c>
      <c r="B54" s="434" t="s">
        <v>245</v>
      </c>
      <c r="C54" s="435"/>
      <c r="D54" s="436"/>
      <c r="E54" s="434"/>
      <c r="F54" s="435"/>
    </row>
    <row r="55" spans="1:6">
      <c r="A55" s="205"/>
      <c r="B55" s="434" t="s">
        <v>246</v>
      </c>
      <c r="C55" s="435"/>
      <c r="D55" s="436">
        <v>51</v>
      </c>
      <c r="E55" s="434" t="s">
        <v>247</v>
      </c>
      <c r="F55" s="435"/>
    </row>
    <row r="56" spans="1:6">
      <c r="A56" s="437"/>
      <c r="B56" s="438" t="s">
        <v>248</v>
      </c>
      <c r="C56" s="441">
        <v>0</v>
      </c>
      <c r="D56" s="440"/>
      <c r="E56" s="476" t="s">
        <v>249</v>
      </c>
      <c r="F56" s="469">
        <v>0</v>
      </c>
    </row>
    <row r="57" spans="1:6">
      <c r="A57" s="442">
        <v>27</v>
      </c>
      <c r="B57" s="478" t="s">
        <v>250</v>
      </c>
      <c r="C57" s="449">
        <f>+C51+C53+C56</f>
        <v>53827</v>
      </c>
      <c r="D57" s="440">
        <v>52</v>
      </c>
      <c r="E57" s="470" t="s">
        <v>251</v>
      </c>
      <c r="F57" s="458">
        <f>+F56+F53+F51</f>
        <v>0</v>
      </c>
    </row>
    <row r="58" spans="1:6" ht="26.25" thickBot="1">
      <c r="A58" s="213">
        <v>28</v>
      </c>
      <c r="B58" s="479" t="s">
        <v>252</v>
      </c>
      <c r="C58" s="480">
        <f>+C57+C49+C21+C33</f>
        <v>42767947</v>
      </c>
      <c r="D58" s="481">
        <v>53</v>
      </c>
      <c r="E58" s="482" t="s">
        <v>253</v>
      </c>
      <c r="F58" s="480">
        <f>+F57+F48+F36+F32+F15</f>
        <v>42767947</v>
      </c>
    </row>
    <row r="59" spans="1:6">
      <c r="A59" s="175"/>
      <c r="B59" s="175"/>
      <c r="C59" s="483"/>
      <c r="D59" s="175"/>
      <c r="E59" s="175"/>
      <c r="F59" s="484">
        <f>C58-F58</f>
        <v>0</v>
      </c>
    </row>
    <row r="60" spans="1:6">
      <c r="A60" s="175"/>
      <c r="B60" s="485" t="s">
        <v>254</v>
      </c>
      <c r="C60" s="483"/>
      <c r="D60" s="175"/>
      <c r="E60" s="175"/>
      <c r="F60" s="484" t="s">
        <v>669</v>
      </c>
    </row>
    <row r="61" spans="1:6">
      <c r="A61" s="175"/>
      <c r="B61" s="485" t="s">
        <v>255</v>
      </c>
      <c r="C61" s="486"/>
      <c r="D61" s="175"/>
      <c r="E61" s="175"/>
      <c r="F61" s="484"/>
    </row>
    <row r="62" spans="1:6">
      <c r="A62" s="175"/>
      <c r="B62" s="485" t="s">
        <v>256</v>
      </c>
      <c r="C62" s="486"/>
      <c r="D62" s="175"/>
      <c r="E62" s="175"/>
      <c r="F62" s="484"/>
    </row>
    <row r="63" spans="1:6">
      <c r="A63" s="175"/>
      <c r="B63" s="485" t="s">
        <v>257</v>
      </c>
      <c r="C63" s="486"/>
      <c r="D63" s="175"/>
      <c r="E63" s="175"/>
      <c r="F63" s="484"/>
    </row>
    <row r="64" spans="1:6">
      <c r="A64" s="175"/>
      <c r="B64" s="175"/>
      <c r="C64" s="486"/>
      <c r="D64" s="175"/>
      <c r="E64" s="175"/>
      <c r="F64" s="484"/>
    </row>
    <row r="65" spans="1:6">
      <c r="A65" s="175"/>
      <c r="B65" s="175"/>
      <c r="C65" s="486"/>
      <c r="D65" s="175"/>
      <c r="E65" s="175"/>
      <c r="F65" s="484"/>
    </row>
    <row r="66" spans="1:6">
      <c r="A66" s="175"/>
      <c r="B66" s="175"/>
      <c r="C66" s="486"/>
      <c r="D66" s="175"/>
      <c r="E66" s="175"/>
      <c r="F66" s="175"/>
    </row>
    <row r="67" spans="1:6">
      <c r="A67" s="175"/>
      <c r="B67" s="175"/>
      <c r="C67" s="486"/>
      <c r="D67" s="175"/>
      <c r="E67" s="175"/>
      <c r="F67" s="175"/>
    </row>
    <row r="68" spans="1:6">
      <c r="A68" s="175"/>
      <c r="B68" s="175"/>
      <c r="C68" s="486"/>
      <c r="D68" s="175"/>
      <c r="E68" s="175"/>
      <c r="F68" s="175"/>
    </row>
    <row r="69" spans="1:6">
      <c r="A69" s="175"/>
      <c r="B69" s="175"/>
      <c r="C69" s="486"/>
      <c r="D69" s="175"/>
      <c r="E69" s="175"/>
      <c r="F69" s="175"/>
    </row>
    <row r="70" spans="1:6">
      <c r="A70" s="175"/>
      <c r="B70" s="175"/>
      <c r="C70" s="486"/>
      <c r="D70" s="175"/>
      <c r="E70" s="175"/>
      <c r="F70" s="175"/>
    </row>
    <row r="71" spans="1:6">
      <c r="A71" s="175"/>
      <c r="B71" s="175"/>
      <c r="C71" s="175"/>
      <c r="D71" s="175"/>
      <c r="E71" s="175"/>
      <c r="F71" s="175"/>
    </row>
    <row r="72" spans="1:6">
      <c r="A72" s="175"/>
      <c r="B72" s="175"/>
      <c r="C72" s="175"/>
      <c r="D72" s="175"/>
      <c r="E72" s="175"/>
      <c r="F72" s="175"/>
    </row>
    <row r="73" spans="1:6">
      <c r="A73" s="175"/>
      <c r="B73" s="175"/>
      <c r="C73" s="175"/>
      <c r="D73" s="175"/>
      <c r="E73" s="175"/>
      <c r="F73" s="175"/>
    </row>
    <row r="74" spans="1:6">
      <c r="A74" s="175"/>
      <c r="B74" s="175"/>
      <c r="C74" s="175"/>
      <c r="D74" s="175"/>
      <c r="E74" s="175"/>
      <c r="F74" s="175"/>
    </row>
    <row r="75" spans="1:6">
      <c r="A75" s="175"/>
      <c r="B75" s="175"/>
      <c r="C75" s="175"/>
      <c r="D75" s="175"/>
      <c r="E75" s="175"/>
      <c r="F75" s="175"/>
    </row>
    <row r="76" spans="1:6">
      <c r="A76" s="175"/>
      <c r="B76" s="175"/>
      <c r="C76" s="175"/>
      <c r="D76" s="175"/>
      <c r="E76" s="175"/>
      <c r="F76" s="175"/>
    </row>
    <row r="77" spans="1:6">
      <c r="A77" s="175"/>
      <c r="B77" s="175"/>
      <c r="C77" s="175"/>
      <c r="D77" s="175"/>
      <c r="E77" s="175"/>
      <c r="F77" s="175"/>
    </row>
    <row r="78" spans="1:6">
      <c r="A78" s="175"/>
      <c r="B78" s="175"/>
      <c r="C78" s="175"/>
      <c r="D78" s="175"/>
      <c r="E78" s="175"/>
      <c r="F78" s="175"/>
    </row>
  </sheetData>
  <mergeCells count="4">
    <mergeCell ref="A1:F1"/>
    <mergeCell ref="A2:F2"/>
    <mergeCell ref="A3:F3"/>
    <mergeCell ref="A5:F5"/>
  </mergeCells>
  <phoneticPr fontId="47"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4"/>
  <sheetViews>
    <sheetView workbookViewId="0">
      <selection sqref="A1:AK64"/>
    </sheetView>
  </sheetViews>
  <sheetFormatPr defaultRowHeight="12.75"/>
  <cols>
    <col min="1" max="16384" width="9.140625" style="636"/>
  </cols>
  <sheetData>
    <row r="1" spans="1:37">
      <c r="A1" s="758"/>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row>
    <row r="2" spans="1:37">
      <c r="A2" s="758"/>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row>
    <row r="3" spans="1:37">
      <c r="A3" s="758"/>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row>
    <row r="4" spans="1:37">
      <c r="A4" s="758"/>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row>
    <row r="5" spans="1:37">
      <c r="A5" s="758"/>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row>
    <row r="6" spans="1:37">
      <c r="A6" s="758"/>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c r="AF6" s="758"/>
      <c r="AG6" s="758"/>
      <c r="AH6" s="758"/>
      <c r="AI6" s="758"/>
      <c r="AJ6" s="758"/>
      <c r="AK6" s="758"/>
    </row>
    <row r="7" spans="1:37">
      <c r="A7" s="758"/>
      <c r="B7" s="758"/>
      <c r="C7" s="758"/>
      <c r="D7" s="758"/>
      <c r="E7" s="758"/>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c r="AG7" s="758"/>
      <c r="AH7" s="758"/>
      <c r="AI7" s="758"/>
      <c r="AJ7" s="758"/>
      <c r="AK7" s="758"/>
    </row>
    <row r="8" spans="1:37">
      <c r="A8" s="758"/>
      <c r="B8" s="758"/>
      <c r="C8" s="758"/>
      <c r="D8" s="758"/>
      <c r="E8" s="758"/>
      <c r="F8" s="758"/>
      <c r="G8" s="758"/>
      <c r="H8" s="758"/>
      <c r="I8" s="758"/>
      <c r="J8" s="758"/>
      <c r="K8" s="758"/>
      <c r="L8" s="758"/>
      <c r="M8" s="758"/>
      <c r="N8" s="758"/>
      <c r="O8" s="758"/>
      <c r="P8" s="758"/>
      <c r="Q8" s="758"/>
      <c r="R8" s="758"/>
      <c r="S8" s="758"/>
      <c r="T8" s="758"/>
      <c r="U8" s="758"/>
      <c r="V8" s="758"/>
      <c r="W8" s="758"/>
      <c r="X8" s="758"/>
      <c r="Y8" s="758"/>
      <c r="Z8" s="758"/>
      <c r="AA8" s="758"/>
      <c r="AB8" s="758"/>
      <c r="AC8" s="758"/>
      <c r="AD8" s="758"/>
      <c r="AE8" s="758"/>
      <c r="AF8" s="758"/>
      <c r="AG8" s="758"/>
      <c r="AH8" s="758"/>
      <c r="AI8" s="758"/>
      <c r="AJ8" s="758"/>
      <c r="AK8" s="758"/>
    </row>
    <row r="9" spans="1:37">
      <c r="A9" s="758"/>
      <c r="B9" s="758"/>
      <c r="C9" s="758"/>
      <c r="D9" s="758"/>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row>
    <row r="10" spans="1:37">
      <c r="A10" s="758"/>
      <c r="B10" s="758"/>
      <c r="C10" s="758"/>
      <c r="D10" s="758"/>
      <c r="E10" s="758"/>
      <c r="F10" s="758"/>
      <c r="G10" s="758"/>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row>
    <row r="11" spans="1:37">
      <c r="A11" s="758"/>
      <c r="B11" s="758"/>
      <c r="C11" s="758"/>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row>
    <row r="12" spans="1:37">
      <c r="A12" s="758"/>
      <c r="B12" s="758"/>
      <c r="C12" s="758"/>
      <c r="D12" s="758"/>
      <c r="E12" s="758"/>
      <c r="F12" s="758"/>
      <c r="G12" s="758"/>
      <c r="H12" s="758"/>
      <c r="I12" s="758"/>
      <c r="J12" s="758"/>
      <c r="K12" s="758"/>
      <c r="L12" s="758"/>
      <c r="M12" s="758"/>
      <c r="N12" s="758"/>
      <c r="O12" s="758"/>
      <c r="P12" s="758"/>
      <c r="Q12" s="758"/>
      <c r="R12" s="758"/>
      <c r="S12" s="758"/>
      <c r="T12" s="758"/>
      <c r="U12" s="758"/>
      <c r="V12" s="758"/>
      <c r="W12" s="758"/>
      <c r="X12" s="758"/>
      <c r="Y12" s="758"/>
      <c r="Z12" s="758"/>
      <c r="AA12" s="758"/>
      <c r="AB12" s="758"/>
      <c r="AC12" s="758"/>
      <c r="AD12" s="758"/>
      <c r="AE12" s="758"/>
      <c r="AF12" s="758"/>
      <c r="AG12" s="758"/>
      <c r="AH12" s="758"/>
      <c r="AI12" s="758"/>
      <c r="AJ12" s="758"/>
      <c r="AK12" s="758"/>
    </row>
    <row r="13" spans="1:37">
      <c r="A13" s="758"/>
      <c r="B13" s="758"/>
      <c r="C13" s="758"/>
      <c r="D13" s="758"/>
      <c r="E13" s="758"/>
      <c r="F13" s="758"/>
      <c r="G13" s="758"/>
      <c r="H13" s="758"/>
      <c r="I13" s="758"/>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758"/>
      <c r="AI13" s="758"/>
      <c r="AJ13" s="758"/>
      <c r="AK13" s="758"/>
    </row>
    <row r="14" spans="1:37">
      <c r="A14" s="758"/>
      <c r="B14" s="758"/>
      <c r="C14" s="758"/>
      <c r="D14" s="758"/>
      <c r="E14" s="758"/>
      <c r="F14" s="758"/>
      <c r="G14" s="758"/>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8"/>
      <c r="AK14" s="758"/>
    </row>
    <row r="15" spans="1:37">
      <c r="A15" s="758"/>
      <c r="B15" s="758"/>
      <c r="C15" s="758"/>
      <c r="D15" s="758"/>
      <c r="E15" s="758"/>
      <c r="F15" s="758"/>
      <c r="G15" s="758"/>
      <c r="H15" s="758"/>
      <c r="I15" s="758"/>
      <c r="J15" s="758"/>
      <c r="K15" s="758"/>
      <c r="L15" s="758"/>
      <c r="M15" s="758"/>
      <c r="N15" s="758"/>
      <c r="O15" s="758"/>
      <c r="P15" s="758"/>
      <c r="Q15" s="758"/>
      <c r="R15" s="758"/>
      <c r="S15" s="758"/>
      <c r="T15" s="758"/>
      <c r="U15" s="758"/>
      <c r="V15" s="758"/>
      <c r="W15" s="758"/>
      <c r="X15" s="758"/>
      <c r="Y15" s="758"/>
      <c r="Z15" s="758"/>
      <c r="AA15" s="758"/>
      <c r="AB15" s="758"/>
      <c r="AC15" s="758"/>
      <c r="AD15" s="758"/>
      <c r="AE15" s="758"/>
      <c r="AF15" s="758"/>
      <c r="AG15" s="758"/>
      <c r="AH15" s="758"/>
      <c r="AI15" s="758"/>
      <c r="AJ15" s="758"/>
      <c r="AK15" s="758"/>
    </row>
    <row r="16" spans="1:37">
      <c r="A16" s="758"/>
      <c r="B16" s="758"/>
      <c r="C16" s="758"/>
      <c r="D16" s="758"/>
      <c r="E16" s="758"/>
      <c r="F16" s="758"/>
      <c r="G16" s="758"/>
      <c r="H16" s="758"/>
      <c r="I16" s="758"/>
      <c r="J16" s="758"/>
      <c r="K16" s="758"/>
      <c r="L16" s="758"/>
      <c r="M16" s="758"/>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8"/>
      <c r="AK16" s="758"/>
    </row>
    <row r="17" spans="1:37">
      <c r="A17" s="758"/>
      <c r="B17" s="758"/>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row>
    <row r="18" spans="1:37">
      <c r="A18" s="758"/>
      <c r="B18" s="758"/>
      <c r="C18" s="758"/>
      <c r="D18" s="758"/>
      <c r="E18" s="758"/>
      <c r="F18" s="758"/>
      <c r="G18" s="758"/>
      <c r="H18" s="758"/>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758"/>
      <c r="AI18" s="758"/>
      <c r="AJ18" s="758"/>
      <c r="AK18" s="758"/>
    </row>
    <row r="19" spans="1:37">
      <c r="A19" s="758"/>
      <c r="B19" s="758"/>
      <c r="C19" s="758"/>
      <c r="D19" s="758"/>
      <c r="E19" s="758"/>
      <c r="F19" s="758"/>
      <c r="G19" s="758"/>
      <c r="H19" s="758"/>
      <c r="I19" s="758"/>
      <c r="J19" s="758"/>
      <c r="K19" s="758"/>
      <c r="L19" s="758"/>
      <c r="M19" s="758"/>
      <c r="N19" s="758"/>
      <c r="O19" s="758"/>
      <c r="P19" s="758"/>
      <c r="Q19" s="758"/>
      <c r="R19" s="758"/>
      <c r="S19" s="758"/>
      <c r="T19" s="758"/>
      <c r="U19" s="758"/>
      <c r="V19" s="758"/>
      <c r="W19" s="758"/>
      <c r="X19" s="758"/>
      <c r="Y19" s="758"/>
      <c r="Z19" s="758"/>
      <c r="AA19" s="758"/>
      <c r="AB19" s="758"/>
      <c r="AC19" s="758"/>
      <c r="AD19" s="758"/>
      <c r="AE19" s="758"/>
      <c r="AF19" s="758"/>
      <c r="AG19" s="758"/>
      <c r="AH19" s="758"/>
      <c r="AI19" s="758"/>
      <c r="AJ19" s="758"/>
      <c r="AK19" s="758"/>
    </row>
    <row r="20" spans="1:37">
      <c r="A20" s="758"/>
      <c r="B20" s="758"/>
      <c r="C20" s="758"/>
      <c r="D20" s="758"/>
      <c r="E20" s="758"/>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58"/>
      <c r="AD20" s="758"/>
      <c r="AE20" s="758"/>
      <c r="AF20" s="758"/>
      <c r="AG20" s="758"/>
      <c r="AH20" s="758"/>
      <c r="AI20" s="758"/>
      <c r="AJ20" s="758"/>
      <c r="AK20" s="758"/>
    </row>
    <row r="21" spans="1:37">
      <c r="A21" s="758"/>
      <c r="B21" s="758"/>
      <c r="C21" s="758"/>
      <c r="D21" s="758"/>
      <c r="E21" s="758"/>
      <c r="F21" s="758"/>
      <c r="G21" s="758"/>
      <c r="H21" s="758"/>
      <c r="I21" s="758"/>
      <c r="J21" s="758"/>
      <c r="K21" s="758"/>
      <c r="L21" s="758"/>
      <c r="M21" s="758"/>
      <c r="N21" s="758"/>
      <c r="O21" s="758"/>
      <c r="P21" s="758"/>
      <c r="Q21" s="758"/>
      <c r="R21" s="758"/>
      <c r="S21" s="758"/>
      <c r="T21" s="758"/>
      <c r="U21" s="758"/>
      <c r="V21" s="758"/>
      <c r="W21" s="758"/>
      <c r="X21" s="758"/>
      <c r="Y21" s="758"/>
      <c r="Z21" s="758"/>
      <c r="AA21" s="758"/>
      <c r="AB21" s="758"/>
      <c r="AC21" s="758"/>
      <c r="AD21" s="758"/>
      <c r="AE21" s="758"/>
      <c r="AF21" s="758"/>
      <c r="AG21" s="758"/>
      <c r="AH21" s="758"/>
      <c r="AI21" s="758"/>
      <c r="AJ21" s="758"/>
      <c r="AK21" s="758"/>
    </row>
    <row r="22" spans="1:37">
      <c r="A22" s="758"/>
      <c r="B22" s="758"/>
      <c r="C22" s="758"/>
      <c r="D22" s="758"/>
      <c r="E22" s="758"/>
      <c r="F22" s="758"/>
      <c r="G22" s="758"/>
      <c r="H22" s="758"/>
      <c r="I22" s="758"/>
      <c r="J22" s="758"/>
      <c r="K22" s="758"/>
      <c r="L22" s="758"/>
      <c r="M22" s="758"/>
      <c r="N22" s="758"/>
      <c r="O22" s="758"/>
      <c r="P22" s="758"/>
      <c r="Q22" s="758"/>
      <c r="R22" s="758"/>
      <c r="S22" s="758"/>
      <c r="T22" s="758"/>
      <c r="U22" s="758"/>
      <c r="V22" s="758"/>
      <c r="W22" s="758"/>
      <c r="X22" s="758"/>
      <c r="Y22" s="758"/>
      <c r="Z22" s="758"/>
      <c r="AA22" s="758"/>
      <c r="AB22" s="758"/>
      <c r="AC22" s="758"/>
      <c r="AD22" s="758"/>
      <c r="AE22" s="758"/>
      <c r="AF22" s="758"/>
      <c r="AG22" s="758"/>
      <c r="AH22" s="758"/>
      <c r="AI22" s="758"/>
      <c r="AJ22" s="758"/>
      <c r="AK22" s="758"/>
    </row>
    <row r="23" spans="1:37">
      <c r="A23" s="758"/>
      <c r="B23" s="758"/>
      <c r="C23" s="758"/>
      <c r="D23" s="758"/>
      <c r="E23" s="758"/>
      <c r="F23" s="758"/>
      <c r="G23" s="758"/>
      <c r="H23" s="758"/>
      <c r="I23" s="758"/>
      <c r="J23" s="758"/>
      <c r="K23" s="758"/>
      <c r="L23" s="758"/>
      <c r="M23" s="758"/>
      <c r="N23" s="758"/>
      <c r="O23" s="758"/>
      <c r="P23" s="758"/>
      <c r="Q23" s="758"/>
      <c r="R23" s="758"/>
      <c r="S23" s="758"/>
      <c r="T23" s="758"/>
      <c r="U23" s="758"/>
      <c r="V23" s="758"/>
      <c r="W23" s="758"/>
      <c r="X23" s="758"/>
      <c r="Y23" s="758"/>
      <c r="Z23" s="758"/>
      <c r="AA23" s="758"/>
      <c r="AB23" s="758"/>
      <c r="AC23" s="758"/>
      <c r="AD23" s="758"/>
      <c r="AE23" s="758"/>
      <c r="AF23" s="758"/>
      <c r="AG23" s="758"/>
      <c r="AH23" s="758"/>
      <c r="AI23" s="758"/>
      <c r="AJ23" s="758"/>
      <c r="AK23" s="758"/>
    </row>
    <row r="24" spans="1:37">
      <c r="A24" s="758"/>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c r="AI24" s="758"/>
      <c r="AJ24" s="758"/>
      <c r="AK24" s="758"/>
    </row>
    <row r="25" spans="1:37">
      <c r="A25" s="758"/>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row>
    <row r="26" spans="1:37">
      <c r="A26" s="758"/>
      <c r="B26" s="758"/>
      <c r="C26" s="758"/>
      <c r="D26" s="758"/>
      <c r="E26" s="758"/>
      <c r="F26" s="758"/>
      <c r="G26" s="758"/>
      <c r="H26" s="758"/>
      <c r="I26" s="758"/>
      <c r="J26" s="758"/>
      <c r="K26" s="758"/>
      <c r="L26" s="758"/>
      <c r="M26" s="758"/>
      <c r="N26" s="758"/>
      <c r="O26" s="758"/>
      <c r="P26" s="758"/>
      <c r="Q26" s="758"/>
      <c r="R26" s="758"/>
      <c r="S26" s="758"/>
      <c r="T26" s="758"/>
      <c r="U26" s="758"/>
      <c r="V26" s="758"/>
      <c r="W26" s="758"/>
      <c r="X26" s="758"/>
      <c r="Y26" s="758"/>
      <c r="Z26" s="758"/>
      <c r="AA26" s="758"/>
      <c r="AB26" s="758"/>
      <c r="AC26" s="758"/>
      <c r="AD26" s="758"/>
      <c r="AE26" s="758"/>
      <c r="AF26" s="758"/>
      <c r="AG26" s="758"/>
      <c r="AH26" s="758"/>
      <c r="AI26" s="758"/>
      <c r="AJ26" s="758"/>
      <c r="AK26" s="758"/>
    </row>
    <row r="27" spans="1:37">
      <c r="A27" s="758"/>
      <c r="B27" s="758"/>
      <c r="C27" s="758"/>
      <c r="D27" s="758"/>
      <c r="E27" s="758"/>
      <c r="F27" s="758"/>
      <c r="G27" s="758"/>
      <c r="H27" s="758"/>
      <c r="I27" s="758"/>
      <c r="J27" s="758"/>
      <c r="K27" s="758"/>
      <c r="L27" s="758"/>
      <c r="M27" s="758"/>
      <c r="N27" s="758"/>
      <c r="O27" s="758"/>
      <c r="P27" s="758"/>
      <c r="Q27" s="758"/>
      <c r="R27" s="758"/>
      <c r="S27" s="758"/>
      <c r="T27" s="758"/>
      <c r="U27" s="758"/>
      <c r="V27" s="758"/>
      <c r="W27" s="758"/>
      <c r="X27" s="758"/>
      <c r="Y27" s="758"/>
      <c r="Z27" s="758"/>
      <c r="AA27" s="758"/>
      <c r="AB27" s="758"/>
      <c r="AC27" s="758"/>
      <c r="AD27" s="758"/>
      <c r="AE27" s="758"/>
      <c r="AF27" s="758"/>
      <c r="AG27" s="758"/>
      <c r="AH27" s="758"/>
      <c r="AI27" s="758"/>
      <c r="AJ27" s="758"/>
      <c r="AK27" s="758"/>
    </row>
    <row r="28" spans="1:37">
      <c r="A28" s="758"/>
      <c r="B28" s="758"/>
      <c r="C28" s="758"/>
      <c r="D28" s="758"/>
      <c r="E28" s="758"/>
      <c r="F28" s="758"/>
      <c r="G28" s="758"/>
      <c r="H28" s="758"/>
      <c r="I28" s="758"/>
      <c r="J28" s="758"/>
      <c r="K28" s="758"/>
      <c r="L28" s="758"/>
      <c r="M28" s="758"/>
      <c r="N28" s="758"/>
      <c r="O28" s="758"/>
      <c r="P28" s="758"/>
      <c r="Q28" s="758"/>
      <c r="R28" s="758"/>
      <c r="S28" s="758"/>
      <c r="T28" s="758"/>
      <c r="U28" s="758"/>
      <c r="V28" s="758"/>
      <c r="W28" s="758"/>
      <c r="X28" s="758"/>
      <c r="Y28" s="758"/>
      <c r="Z28" s="758"/>
      <c r="AA28" s="758"/>
      <c r="AB28" s="758"/>
      <c r="AC28" s="758"/>
      <c r="AD28" s="758"/>
      <c r="AE28" s="758"/>
      <c r="AF28" s="758"/>
      <c r="AG28" s="758"/>
      <c r="AH28" s="758"/>
      <c r="AI28" s="758"/>
      <c r="AJ28" s="758"/>
      <c r="AK28" s="758"/>
    </row>
    <row r="29" spans="1:37">
      <c r="A29" s="758"/>
      <c r="B29" s="758"/>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row>
    <row r="30" spans="1:37">
      <c r="A30" s="758"/>
      <c r="B30" s="758"/>
      <c r="C30" s="758"/>
      <c r="D30" s="758"/>
      <c r="E30" s="758"/>
      <c r="F30" s="758"/>
      <c r="G30" s="758"/>
      <c r="H30" s="758"/>
      <c r="I30" s="758"/>
      <c r="J30" s="758"/>
      <c r="K30" s="758"/>
      <c r="L30" s="758"/>
      <c r="M30" s="758"/>
      <c r="N30" s="758"/>
      <c r="O30" s="758"/>
      <c r="P30" s="758"/>
      <c r="Q30" s="758"/>
      <c r="R30" s="758"/>
      <c r="S30" s="758"/>
      <c r="T30" s="758"/>
      <c r="U30" s="758"/>
      <c r="V30" s="758"/>
      <c r="W30" s="758"/>
      <c r="X30" s="758"/>
      <c r="Y30" s="758"/>
      <c r="Z30" s="758"/>
      <c r="AA30" s="758"/>
      <c r="AB30" s="758"/>
      <c r="AC30" s="758"/>
      <c r="AD30" s="758"/>
      <c r="AE30" s="758"/>
      <c r="AF30" s="758"/>
      <c r="AG30" s="758"/>
      <c r="AH30" s="758"/>
      <c r="AI30" s="758"/>
      <c r="AJ30" s="758"/>
      <c r="AK30" s="758"/>
    </row>
    <row r="31" spans="1:37">
      <c r="A31" s="758"/>
      <c r="B31" s="758"/>
      <c r="C31" s="758"/>
      <c r="D31" s="758"/>
      <c r="E31" s="758"/>
      <c r="F31" s="758"/>
      <c r="G31" s="758"/>
      <c r="H31" s="758"/>
      <c r="I31" s="758"/>
      <c r="J31" s="758"/>
      <c r="K31" s="758"/>
      <c r="L31" s="758"/>
      <c r="M31" s="758"/>
      <c r="N31" s="758"/>
      <c r="O31" s="758"/>
      <c r="P31" s="758"/>
      <c r="Q31" s="758"/>
      <c r="R31" s="758"/>
      <c r="S31" s="758"/>
      <c r="T31" s="758"/>
      <c r="U31" s="758"/>
      <c r="V31" s="758"/>
      <c r="W31" s="758"/>
      <c r="X31" s="758"/>
      <c r="Y31" s="758"/>
      <c r="Z31" s="758"/>
      <c r="AA31" s="758"/>
      <c r="AB31" s="758"/>
      <c r="AC31" s="758"/>
      <c r="AD31" s="758"/>
      <c r="AE31" s="758"/>
      <c r="AF31" s="758"/>
      <c r="AG31" s="758"/>
      <c r="AH31" s="758"/>
      <c r="AI31" s="758"/>
      <c r="AJ31" s="758"/>
      <c r="AK31" s="758"/>
    </row>
    <row r="32" spans="1:37">
      <c r="A32" s="758"/>
      <c r="B32" s="758"/>
      <c r="C32" s="758"/>
      <c r="D32" s="758"/>
      <c r="E32" s="758"/>
      <c r="F32" s="758"/>
      <c r="G32" s="758"/>
      <c r="H32" s="758"/>
      <c r="I32" s="758"/>
      <c r="J32" s="758"/>
      <c r="K32" s="758"/>
      <c r="L32" s="758"/>
      <c r="M32" s="758"/>
      <c r="N32" s="758"/>
      <c r="O32" s="758"/>
      <c r="P32" s="758"/>
      <c r="Q32" s="758"/>
      <c r="R32" s="758"/>
      <c r="S32" s="758"/>
      <c r="T32" s="758"/>
      <c r="U32" s="758"/>
      <c r="V32" s="758"/>
      <c r="W32" s="758"/>
      <c r="X32" s="758"/>
      <c r="Y32" s="758"/>
      <c r="Z32" s="758"/>
      <c r="AA32" s="758"/>
      <c r="AB32" s="758"/>
      <c r="AC32" s="758"/>
      <c r="AD32" s="758"/>
      <c r="AE32" s="758"/>
      <c r="AF32" s="758"/>
      <c r="AG32" s="758"/>
      <c r="AH32" s="758"/>
      <c r="AI32" s="758"/>
      <c r="AJ32" s="758"/>
      <c r="AK32" s="758"/>
    </row>
    <row r="33" spans="1:37">
      <c r="A33" s="758"/>
      <c r="B33" s="758"/>
      <c r="C33" s="758"/>
      <c r="D33" s="758"/>
      <c r="E33" s="758"/>
      <c r="F33" s="758"/>
      <c r="G33" s="758"/>
      <c r="H33" s="758"/>
      <c r="I33" s="758"/>
      <c r="J33" s="758"/>
      <c r="K33" s="758"/>
      <c r="L33" s="758"/>
      <c r="M33" s="758"/>
      <c r="N33" s="758"/>
      <c r="O33" s="758"/>
      <c r="P33" s="758"/>
      <c r="Q33" s="758"/>
      <c r="R33" s="758"/>
      <c r="S33" s="758"/>
      <c r="T33" s="758"/>
      <c r="U33" s="758"/>
      <c r="V33" s="758"/>
      <c r="W33" s="758"/>
      <c r="X33" s="758"/>
      <c r="Y33" s="758"/>
      <c r="Z33" s="758"/>
      <c r="AA33" s="758"/>
      <c r="AB33" s="758"/>
      <c r="AC33" s="758"/>
      <c r="AD33" s="758"/>
      <c r="AE33" s="758"/>
      <c r="AF33" s="758"/>
      <c r="AG33" s="758"/>
      <c r="AH33" s="758"/>
      <c r="AI33" s="758"/>
      <c r="AJ33" s="758"/>
      <c r="AK33" s="758"/>
    </row>
    <row r="34" spans="1:37">
      <c r="A34" s="758"/>
      <c r="B34" s="758"/>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c r="AB34" s="758"/>
      <c r="AC34" s="758"/>
      <c r="AD34" s="758"/>
      <c r="AE34" s="758"/>
      <c r="AF34" s="758"/>
      <c r="AG34" s="758"/>
      <c r="AH34" s="758"/>
      <c r="AI34" s="758"/>
      <c r="AJ34" s="758"/>
      <c r="AK34" s="758"/>
    </row>
    <row r="35" spans="1:37">
      <c r="A35" s="758"/>
      <c r="B35" s="758"/>
      <c r="C35" s="758"/>
      <c r="D35" s="758"/>
      <c r="E35" s="758"/>
      <c r="F35" s="758"/>
      <c r="G35" s="758"/>
      <c r="H35" s="758"/>
      <c r="I35" s="758"/>
      <c r="J35" s="758"/>
      <c r="K35" s="758"/>
      <c r="L35" s="758"/>
      <c r="M35" s="758"/>
      <c r="N35" s="758"/>
      <c r="O35" s="758"/>
      <c r="P35" s="758"/>
      <c r="Q35" s="758"/>
      <c r="R35" s="758"/>
      <c r="S35" s="758"/>
      <c r="T35" s="758"/>
      <c r="U35" s="758"/>
      <c r="V35" s="758"/>
      <c r="W35" s="758"/>
      <c r="X35" s="758"/>
      <c r="Y35" s="758"/>
      <c r="Z35" s="758"/>
      <c r="AA35" s="758"/>
      <c r="AB35" s="758"/>
      <c r="AC35" s="758"/>
      <c r="AD35" s="758"/>
      <c r="AE35" s="758"/>
      <c r="AF35" s="758"/>
      <c r="AG35" s="758"/>
      <c r="AH35" s="758"/>
      <c r="AI35" s="758"/>
      <c r="AJ35" s="758"/>
      <c r="AK35" s="758"/>
    </row>
    <row r="36" spans="1:37">
      <c r="A36" s="758"/>
      <c r="B36" s="758"/>
      <c r="C36" s="758"/>
      <c r="D36" s="758"/>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C36" s="758"/>
      <c r="AD36" s="758"/>
      <c r="AE36" s="758"/>
      <c r="AF36" s="758"/>
      <c r="AG36" s="758"/>
      <c r="AH36" s="758"/>
      <c r="AI36" s="758"/>
      <c r="AJ36" s="758"/>
      <c r="AK36" s="758"/>
    </row>
    <row r="37" spans="1:37">
      <c r="A37" s="758"/>
      <c r="B37" s="758"/>
      <c r="C37" s="758"/>
      <c r="D37" s="758"/>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758"/>
      <c r="AE37" s="758"/>
      <c r="AF37" s="758"/>
      <c r="AG37" s="758"/>
      <c r="AH37" s="758"/>
      <c r="AI37" s="758"/>
      <c r="AJ37" s="758"/>
      <c r="AK37" s="758"/>
    </row>
    <row r="38" spans="1:37">
      <c r="A38" s="758"/>
      <c r="B38" s="758"/>
      <c r="C38" s="758"/>
      <c r="D38" s="758"/>
      <c r="E38" s="758"/>
      <c r="F38" s="758"/>
      <c r="G38" s="758"/>
      <c r="H38" s="758"/>
      <c r="I38" s="758"/>
      <c r="J38" s="758"/>
      <c r="K38" s="758"/>
      <c r="L38" s="758"/>
      <c r="M38" s="758"/>
      <c r="N38" s="758"/>
      <c r="O38" s="758"/>
      <c r="P38" s="758"/>
      <c r="Q38" s="758"/>
      <c r="R38" s="758"/>
      <c r="S38" s="758"/>
      <c r="T38" s="758"/>
      <c r="U38" s="758"/>
      <c r="V38" s="758"/>
      <c r="W38" s="758"/>
      <c r="X38" s="758"/>
      <c r="Y38" s="758"/>
      <c r="Z38" s="758"/>
      <c r="AA38" s="758"/>
      <c r="AB38" s="758"/>
      <c r="AC38" s="758"/>
      <c r="AD38" s="758"/>
      <c r="AE38" s="758"/>
      <c r="AF38" s="758"/>
      <c r="AG38" s="758"/>
      <c r="AH38" s="758"/>
      <c r="AI38" s="758"/>
      <c r="AJ38" s="758"/>
      <c r="AK38" s="758"/>
    </row>
    <row r="39" spans="1:37">
      <c r="A39" s="758"/>
      <c r="B39" s="758"/>
      <c r="C39" s="758"/>
      <c r="D39" s="758"/>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row>
    <row r="40" spans="1:37">
      <c r="A40" s="758"/>
      <c r="B40" s="758"/>
      <c r="C40" s="758"/>
      <c r="D40" s="758"/>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row>
    <row r="41" spans="1:37">
      <c r="A41" s="758"/>
      <c r="B41" s="758"/>
      <c r="C41" s="758"/>
      <c r="D41" s="758"/>
      <c r="E41" s="758"/>
      <c r="F41" s="758"/>
      <c r="G41" s="758"/>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758"/>
    </row>
    <row r="42" spans="1:37">
      <c r="A42" s="758"/>
      <c r="B42" s="758"/>
      <c r="C42" s="758"/>
      <c r="D42" s="758"/>
      <c r="E42" s="758"/>
      <c r="F42" s="758"/>
      <c r="G42" s="758"/>
      <c r="H42" s="758"/>
      <c r="I42" s="758"/>
      <c r="J42" s="758"/>
      <c r="K42" s="758"/>
      <c r="L42" s="758"/>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758"/>
      <c r="AJ42" s="758"/>
      <c r="AK42" s="758"/>
    </row>
    <row r="43" spans="1:37">
      <c r="A43" s="758"/>
      <c r="B43" s="758"/>
      <c r="C43" s="758"/>
      <c r="D43" s="758"/>
      <c r="E43" s="758"/>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758"/>
      <c r="AH43" s="758"/>
      <c r="AI43" s="758"/>
      <c r="AJ43" s="758"/>
      <c r="AK43" s="758"/>
    </row>
    <row r="44" spans="1:37">
      <c r="A44" s="758"/>
      <c r="B44" s="758"/>
      <c r="C44" s="758"/>
      <c r="D44" s="758"/>
      <c r="E44" s="758"/>
      <c r="F44" s="758"/>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c r="AD44" s="758"/>
      <c r="AE44" s="758"/>
      <c r="AF44" s="758"/>
      <c r="AG44" s="758"/>
      <c r="AH44" s="758"/>
      <c r="AI44" s="758"/>
      <c r="AJ44" s="758"/>
      <c r="AK44" s="758"/>
    </row>
    <row r="45" spans="1:37">
      <c r="A45" s="758"/>
      <c r="B45" s="758"/>
      <c r="C45" s="758"/>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c r="AI45" s="758"/>
      <c r="AJ45" s="758"/>
      <c r="AK45" s="758"/>
    </row>
    <row r="46" spans="1:37">
      <c r="A46" s="758"/>
      <c r="B46" s="7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row>
    <row r="47" spans="1:37">
      <c r="A47" s="758"/>
      <c r="B47" s="758"/>
      <c r="C47" s="758"/>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row>
    <row r="48" spans="1:37">
      <c r="A48" s="758"/>
      <c r="B48" s="758"/>
      <c r="C48" s="758"/>
      <c r="D48" s="758"/>
      <c r="E48" s="758"/>
      <c r="F48" s="758"/>
      <c r="G48" s="758"/>
      <c r="H48" s="758"/>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c r="AG48" s="758"/>
      <c r="AH48" s="758"/>
      <c r="AI48" s="758"/>
      <c r="AJ48" s="758"/>
      <c r="AK48" s="758"/>
    </row>
    <row r="49" spans="1:37">
      <c r="A49" s="758"/>
      <c r="B49" s="758"/>
      <c r="C49" s="758"/>
      <c r="D49" s="758"/>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c r="AD49" s="758"/>
      <c r="AE49" s="758"/>
      <c r="AF49" s="758"/>
      <c r="AG49" s="758"/>
      <c r="AH49" s="758"/>
      <c r="AI49" s="758"/>
      <c r="AJ49" s="758"/>
      <c r="AK49" s="758"/>
    </row>
    <row r="50" spans="1:37">
      <c r="A50" s="758"/>
      <c r="B50" s="758"/>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J50" s="758"/>
      <c r="AK50" s="758"/>
    </row>
    <row r="51" spans="1:37">
      <c r="A51" s="758"/>
      <c r="B51" s="758"/>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J51" s="758"/>
      <c r="AK51" s="758"/>
    </row>
    <row r="52" spans="1:37">
      <c r="A52" s="758"/>
      <c r="B52" s="758"/>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J52" s="758"/>
      <c r="AK52" s="758"/>
    </row>
    <row r="53" spans="1:37">
      <c r="A53" s="758"/>
      <c r="B53" s="758"/>
      <c r="C53" s="758"/>
      <c r="D53" s="758"/>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J53" s="758"/>
      <c r="AK53" s="758"/>
    </row>
    <row r="54" spans="1:37">
      <c r="A54" s="758"/>
      <c r="B54" s="758"/>
      <c r="C54" s="758"/>
      <c r="D54" s="758"/>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758"/>
      <c r="AH54" s="758"/>
      <c r="AI54" s="758"/>
      <c r="AJ54" s="758"/>
      <c r="AK54" s="758"/>
    </row>
    <row r="55" spans="1:37">
      <c r="A55" s="758"/>
      <c r="B55" s="758"/>
      <c r="C55" s="758"/>
      <c r="D55" s="758"/>
      <c r="E55" s="758"/>
      <c r="F55" s="758"/>
      <c r="G55" s="758"/>
      <c r="H55" s="758"/>
      <c r="I55" s="758"/>
      <c r="J55" s="758"/>
      <c r="K55" s="758"/>
      <c r="L55" s="758"/>
      <c r="M55" s="758"/>
      <c r="N55" s="758"/>
      <c r="O55" s="758"/>
      <c r="P55" s="758"/>
      <c r="Q55" s="758"/>
      <c r="R55" s="758"/>
      <c r="S55" s="758"/>
      <c r="T55" s="758"/>
      <c r="U55" s="758"/>
      <c r="V55" s="758"/>
      <c r="W55" s="758"/>
      <c r="X55" s="758"/>
      <c r="Y55" s="758"/>
      <c r="Z55" s="758"/>
      <c r="AA55" s="758"/>
      <c r="AB55" s="758"/>
      <c r="AC55" s="758"/>
      <c r="AD55" s="758"/>
      <c r="AE55" s="758"/>
      <c r="AF55" s="758"/>
      <c r="AG55" s="758"/>
      <c r="AH55" s="758"/>
      <c r="AI55" s="758"/>
      <c r="AJ55" s="758"/>
      <c r="AK55" s="758"/>
    </row>
    <row r="56" spans="1:37">
      <c r="A56" s="758"/>
      <c r="B56" s="758"/>
      <c r="C56" s="758"/>
      <c r="D56" s="758"/>
      <c r="E56" s="758"/>
      <c r="F56" s="758"/>
      <c r="G56" s="758"/>
      <c r="H56" s="758"/>
      <c r="I56" s="758"/>
      <c r="J56" s="758"/>
      <c r="K56" s="758"/>
      <c r="L56" s="758"/>
      <c r="M56" s="758"/>
      <c r="N56" s="758"/>
      <c r="O56" s="758"/>
      <c r="P56" s="758"/>
      <c r="Q56" s="758"/>
      <c r="R56" s="758"/>
      <c r="S56" s="758"/>
      <c r="T56" s="758"/>
      <c r="U56" s="758"/>
      <c r="V56" s="758"/>
      <c r="W56" s="758"/>
      <c r="X56" s="758"/>
      <c r="Y56" s="758"/>
      <c r="Z56" s="758"/>
      <c r="AA56" s="758"/>
      <c r="AB56" s="758"/>
      <c r="AC56" s="758"/>
      <c r="AD56" s="758"/>
      <c r="AE56" s="758"/>
      <c r="AF56" s="758"/>
      <c r="AG56" s="758"/>
      <c r="AH56" s="758"/>
      <c r="AI56" s="758"/>
      <c r="AJ56" s="758"/>
      <c r="AK56" s="758"/>
    </row>
    <row r="57" spans="1:37">
      <c r="A57" s="758"/>
      <c r="B57" s="758"/>
      <c r="C57" s="758"/>
      <c r="D57" s="758"/>
      <c r="E57" s="758"/>
      <c r="F57" s="758"/>
      <c r="G57" s="758"/>
      <c r="H57" s="758"/>
      <c r="I57" s="758"/>
      <c r="J57" s="758"/>
      <c r="K57" s="758"/>
      <c r="L57" s="758"/>
      <c r="M57" s="758"/>
      <c r="N57" s="758"/>
      <c r="O57" s="758"/>
      <c r="P57" s="758"/>
      <c r="Q57" s="758"/>
      <c r="R57" s="758"/>
      <c r="S57" s="758"/>
      <c r="T57" s="758"/>
      <c r="U57" s="758"/>
      <c r="V57" s="758"/>
      <c r="W57" s="758"/>
      <c r="X57" s="758"/>
      <c r="Y57" s="758"/>
      <c r="Z57" s="758"/>
      <c r="AA57" s="758"/>
      <c r="AB57" s="758"/>
      <c r="AC57" s="758"/>
      <c r="AD57" s="758"/>
      <c r="AE57" s="758"/>
      <c r="AF57" s="758"/>
      <c r="AG57" s="758"/>
      <c r="AH57" s="758"/>
      <c r="AI57" s="758"/>
      <c r="AJ57" s="758"/>
      <c r="AK57" s="758"/>
    </row>
    <row r="58" spans="1:37">
      <c r="A58" s="758"/>
      <c r="B58" s="758"/>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8"/>
    </row>
    <row r="59" spans="1:37">
      <c r="A59" s="758"/>
      <c r="B59" s="758"/>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row>
    <row r="60" spans="1:37">
      <c r="A60" s="758"/>
      <c r="B60" s="758"/>
      <c r="C60" s="758"/>
      <c r="D60" s="758"/>
      <c r="E60" s="758"/>
      <c r="F60" s="758"/>
      <c r="G60" s="758"/>
      <c r="H60" s="758"/>
      <c r="I60" s="758"/>
      <c r="J60" s="758"/>
      <c r="K60" s="758"/>
      <c r="L60" s="758"/>
      <c r="M60" s="758"/>
      <c r="N60" s="758"/>
      <c r="O60" s="758"/>
      <c r="P60" s="758"/>
      <c r="Q60" s="758"/>
      <c r="R60" s="758"/>
      <c r="S60" s="758"/>
      <c r="T60" s="758"/>
      <c r="U60" s="758"/>
      <c r="V60" s="758"/>
      <c r="W60" s="758"/>
      <c r="X60" s="758"/>
      <c r="Y60" s="758"/>
      <c r="Z60" s="758"/>
      <c r="AA60" s="758"/>
      <c r="AB60" s="758"/>
      <c r="AC60" s="758"/>
      <c r="AD60" s="758"/>
      <c r="AE60" s="758"/>
      <c r="AF60" s="758"/>
      <c r="AG60" s="758"/>
      <c r="AH60" s="758"/>
      <c r="AI60" s="758"/>
      <c r="AJ60" s="758"/>
      <c r="AK60" s="758"/>
    </row>
    <row r="61" spans="1:37">
      <c r="A61" s="758"/>
      <c r="B61" s="758"/>
      <c r="C61" s="758"/>
      <c r="D61" s="758"/>
      <c r="E61" s="758"/>
      <c r="F61" s="758"/>
      <c r="G61" s="758"/>
      <c r="H61" s="758"/>
      <c r="I61" s="758"/>
      <c r="J61" s="758"/>
      <c r="K61" s="758"/>
      <c r="L61" s="758"/>
      <c r="M61" s="758"/>
      <c r="N61" s="758"/>
      <c r="O61" s="758"/>
      <c r="P61" s="758"/>
      <c r="Q61" s="758"/>
      <c r="R61" s="758"/>
      <c r="S61" s="758"/>
      <c r="T61" s="758"/>
      <c r="U61" s="758"/>
      <c r="V61" s="758"/>
      <c r="W61" s="758"/>
      <c r="X61" s="758"/>
      <c r="Y61" s="758"/>
      <c r="Z61" s="758"/>
      <c r="AA61" s="758"/>
      <c r="AB61" s="758"/>
      <c r="AC61" s="758"/>
      <c r="AD61" s="758"/>
      <c r="AE61" s="758"/>
      <c r="AF61" s="758"/>
      <c r="AG61" s="758"/>
      <c r="AH61" s="758"/>
      <c r="AI61" s="758"/>
      <c r="AJ61" s="758"/>
      <c r="AK61" s="758"/>
    </row>
    <row r="62" spans="1:37">
      <c r="A62" s="758"/>
      <c r="B62" s="758"/>
      <c r="C62" s="758"/>
      <c r="D62" s="758"/>
      <c r="E62" s="758"/>
      <c r="F62" s="758"/>
      <c r="G62" s="758"/>
      <c r="H62" s="758"/>
      <c r="I62" s="758"/>
      <c r="J62" s="758"/>
      <c r="K62" s="758"/>
      <c r="L62" s="758"/>
      <c r="M62" s="758"/>
      <c r="N62" s="758"/>
      <c r="O62" s="758"/>
      <c r="P62" s="758"/>
      <c r="Q62" s="758"/>
      <c r="R62" s="758"/>
      <c r="S62" s="758"/>
      <c r="T62" s="758"/>
      <c r="U62" s="758"/>
      <c r="V62" s="758"/>
      <c r="W62" s="758"/>
      <c r="X62" s="758"/>
      <c r="Y62" s="758"/>
      <c r="Z62" s="758"/>
      <c r="AA62" s="758"/>
      <c r="AB62" s="758"/>
      <c r="AC62" s="758"/>
      <c r="AD62" s="758"/>
      <c r="AE62" s="758"/>
      <c r="AF62" s="758"/>
      <c r="AG62" s="758"/>
      <c r="AH62" s="758"/>
      <c r="AI62" s="758"/>
      <c r="AJ62" s="758"/>
      <c r="AK62" s="758"/>
    </row>
    <row r="63" spans="1:37">
      <c r="A63" s="758"/>
      <c r="B63" s="758"/>
      <c r="C63" s="758"/>
      <c r="D63" s="758"/>
      <c r="E63" s="758"/>
      <c r="F63" s="758"/>
      <c r="G63" s="758"/>
      <c r="H63" s="758"/>
      <c r="I63" s="758"/>
      <c r="J63" s="758"/>
      <c r="K63" s="758"/>
      <c r="L63" s="758"/>
      <c r="M63" s="758"/>
      <c r="N63" s="758"/>
      <c r="O63" s="758"/>
      <c r="P63" s="758"/>
      <c r="Q63" s="758"/>
      <c r="R63" s="758"/>
      <c r="S63" s="758"/>
      <c r="T63" s="758"/>
      <c r="U63" s="758"/>
      <c r="V63" s="758"/>
      <c r="W63" s="758"/>
      <c r="X63" s="758"/>
      <c r="Y63" s="758"/>
      <c r="Z63" s="758"/>
      <c r="AA63" s="758"/>
      <c r="AB63" s="758"/>
      <c r="AC63" s="758"/>
      <c r="AD63" s="758"/>
      <c r="AE63" s="758"/>
      <c r="AF63" s="758"/>
      <c r="AG63" s="758"/>
      <c r="AH63" s="758"/>
      <c r="AI63" s="758"/>
      <c r="AJ63" s="758"/>
      <c r="AK63" s="758"/>
    </row>
    <row r="64" spans="1:37">
      <c r="A64" s="758"/>
      <c r="B64" s="758"/>
      <c r="C64" s="758"/>
      <c r="D64" s="758"/>
      <c r="E64" s="758"/>
      <c r="F64" s="758"/>
      <c r="G64" s="758"/>
      <c r="H64" s="758"/>
      <c r="I64" s="758"/>
      <c r="J64" s="758"/>
      <c r="K64" s="758"/>
      <c r="L64" s="758"/>
      <c r="M64" s="758"/>
      <c r="N64" s="758"/>
      <c r="O64" s="758"/>
      <c r="P64" s="758"/>
      <c r="Q64" s="758"/>
      <c r="R64" s="758"/>
      <c r="S64" s="758"/>
      <c r="T64" s="758"/>
      <c r="U64" s="758"/>
      <c r="V64" s="758"/>
      <c r="W64" s="758"/>
      <c r="X64" s="758"/>
      <c r="Y64" s="758"/>
      <c r="Z64" s="758"/>
      <c r="AA64" s="758"/>
      <c r="AB64" s="758"/>
      <c r="AC64" s="758"/>
      <c r="AD64" s="758"/>
      <c r="AE64" s="758"/>
      <c r="AF64" s="758"/>
      <c r="AG64" s="758"/>
      <c r="AH64" s="758"/>
      <c r="AI64" s="758"/>
      <c r="AJ64" s="758"/>
      <c r="AK64" s="758"/>
    </row>
  </sheetData>
  <mergeCells count="1">
    <mergeCell ref="A1:AK64"/>
  </mergeCells>
  <pageMargins left="0.75" right="0.75" top="1" bottom="1" header="0.5" footer="0.5"/>
  <pageSetup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69"/>
  <sheetViews>
    <sheetView workbookViewId="0">
      <pane xSplit="6" ySplit="1" topLeftCell="P20" activePane="bottomRight" state="frozenSplit"/>
      <selection pane="topRight" activeCell="G1" sqref="G1"/>
      <selection pane="bottomLeft" activeCell="A2" sqref="A2"/>
      <selection pane="bottomRight" activeCell="Q80" sqref="Q80"/>
    </sheetView>
  </sheetViews>
  <sheetFormatPr defaultRowHeight="12.75"/>
  <cols>
    <col min="1" max="5" width="3" style="637" customWidth="1"/>
    <col min="6" max="6" width="32.7109375" style="637" customWidth="1"/>
    <col min="7" max="8" width="2.28515625" style="637" customWidth="1"/>
    <col min="9" max="9" width="9.42578125" style="637" bestFit="1" customWidth="1"/>
    <col min="10" max="10" width="2.28515625" style="637" customWidth="1"/>
    <col min="11" max="11" width="8.7109375" style="637" bestFit="1" customWidth="1"/>
    <col min="12" max="12" width="2.28515625" style="637" customWidth="1"/>
    <col min="13" max="13" width="4.5703125" style="637" bestFit="1" customWidth="1"/>
    <col min="14" max="14" width="2.28515625" style="637" customWidth="1"/>
    <col min="15" max="15" width="23.5703125" style="637" bestFit="1" customWidth="1"/>
    <col min="16" max="16" width="2.28515625" style="637" customWidth="1"/>
    <col min="17" max="17" width="30.28515625" style="637" bestFit="1" customWidth="1"/>
    <col min="18" max="18" width="2.28515625" style="637" customWidth="1"/>
    <col min="19" max="19" width="28.85546875" style="637" bestFit="1" customWidth="1"/>
    <col min="20" max="20" width="2.28515625" style="637" customWidth="1"/>
    <col min="21" max="21" width="7.85546875" style="637" bestFit="1" customWidth="1"/>
    <col min="22" max="22" width="2.28515625" style="637" customWidth="1"/>
    <col min="23" max="23" width="3.28515625" style="637" bestFit="1" customWidth="1"/>
    <col min="24" max="24" width="2.28515625" style="637" customWidth="1"/>
    <col min="25" max="25" width="22" style="637" bestFit="1" customWidth="1"/>
    <col min="26" max="26" width="2.28515625" style="637" customWidth="1"/>
    <col min="27" max="27" width="7.85546875" style="637" bestFit="1" customWidth="1"/>
    <col min="28" max="28" width="2.28515625" style="637" customWidth="1"/>
    <col min="29" max="29" width="7" style="637" bestFit="1" customWidth="1"/>
    <col min="30" max="30" width="2.28515625" style="637" customWidth="1"/>
    <col min="31" max="31" width="8.42578125" style="637" bestFit="1" customWidth="1"/>
  </cols>
  <sheetData>
    <row r="1" spans="1:31" s="205" customFormat="1" ht="13.5" thickBot="1">
      <c r="A1" s="609"/>
      <c r="B1" s="609"/>
      <c r="C1" s="609"/>
      <c r="D1" s="609"/>
      <c r="E1" s="609"/>
      <c r="F1" s="609"/>
      <c r="G1" s="609"/>
      <c r="H1" s="609"/>
      <c r="I1" s="610" t="s">
        <v>377</v>
      </c>
      <c r="J1" s="609"/>
      <c r="K1" s="610" t="s">
        <v>777</v>
      </c>
      <c r="L1" s="609"/>
      <c r="M1" s="610" t="s">
        <v>778</v>
      </c>
      <c r="N1" s="609"/>
      <c r="O1" s="610" t="s">
        <v>779</v>
      </c>
      <c r="P1" s="609"/>
      <c r="Q1" s="610" t="s">
        <v>780</v>
      </c>
      <c r="R1" s="609"/>
      <c r="S1" s="610" t="s">
        <v>835</v>
      </c>
      <c r="T1" s="609"/>
      <c r="U1" s="610" t="s">
        <v>815</v>
      </c>
      <c r="V1" s="609"/>
      <c r="W1" s="610" t="s">
        <v>781</v>
      </c>
      <c r="X1" s="609"/>
      <c r="Y1" s="610" t="s">
        <v>782</v>
      </c>
      <c r="Z1" s="609"/>
      <c r="AA1" s="610" t="s">
        <v>783</v>
      </c>
      <c r="AB1" s="609"/>
      <c r="AC1" s="610" t="s">
        <v>784</v>
      </c>
      <c r="AD1" s="609"/>
      <c r="AE1" s="610" t="s">
        <v>290</v>
      </c>
    </row>
    <row r="2" spans="1:31" ht="13.5" thickTop="1">
      <c r="A2" s="598"/>
      <c r="B2" s="598" t="s">
        <v>836</v>
      </c>
      <c r="C2" s="598"/>
      <c r="D2" s="598"/>
      <c r="E2" s="598"/>
      <c r="F2" s="598"/>
      <c r="G2" s="598"/>
      <c r="H2" s="598"/>
      <c r="I2" s="598"/>
      <c r="J2" s="598"/>
      <c r="K2" s="599"/>
      <c r="L2" s="598"/>
      <c r="M2" s="598"/>
      <c r="N2" s="598"/>
      <c r="O2" s="598"/>
      <c r="P2" s="598"/>
      <c r="Q2" s="598"/>
      <c r="R2" s="598"/>
      <c r="S2" s="598"/>
      <c r="T2" s="598"/>
      <c r="U2" s="598"/>
      <c r="V2" s="598"/>
      <c r="W2" s="598"/>
      <c r="X2" s="598"/>
      <c r="Y2" s="598"/>
      <c r="Z2" s="598"/>
      <c r="AA2" s="600"/>
      <c r="AB2" s="598"/>
      <c r="AC2" s="600"/>
      <c r="AD2" s="598"/>
      <c r="AE2" s="600"/>
    </row>
    <row r="3" spans="1:31">
      <c r="A3" s="598"/>
      <c r="B3" s="598"/>
      <c r="C3" s="598" t="s">
        <v>837</v>
      </c>
      <c r="D3" s="598"/>
      <c r="E3" s="598"/>
      <c r="F3" s="598"/>
      <c r="G3" s="598"/>
      <c r="H3" s="598"/>
      <c r="I3" s="598"/>
      <c r="J3" s="598"/>
      <c r="K3" s="599"/>
      <c r="L3" s="598"/>
      <c r="M3" s="598"/>
      <c r="N3" s="598"/>
      <c r="O3" s="598"/>
      <c r="P3" s="598"/>
      <c r="Q3" s="598"/>
      <c r="R3" s="598"/>
      <c r="S3" s="598"/>
      <c r="T3" s="598"/>
      <c r="U3" s="598"/>
      <c r="V3" s="598"/>
      <c r="W3" s="598"/>
      <c r="X3" s="598"/>
      <c r="Y3" s="598"/>
      <c r="Z3" s="598"/>
      <c r="AA3" s="600"/>
      <c r="AB3" s="598"/>
      <c r="AC3" s="600"/>
      <c r="AD3" s="598"/>
      <c r="AE3" s="600"/>
    </row>
    <row r="4" spans="1:31">
      <c r="A4" s="598"/>
      <c r="B4" s="598"/>
      <c r="C4" s="598"/>
      <c r="D4" s="598" t="s">
        <v>838</v>
      </c>
      <c r="E4" s="598"/>
      <c r="F4" s="598"/>
      <c r="G4" s="598"/>
      <c r="H4" s="598"/>
      <c r="I4" s="598"/>
      <c r="J4" s="598"/>
      <c r="K4" s="599"/>
      <c r="L4" s="598"/>
      <c r="M4" s="598"/>
      <c r="N4" s="598"/>
      <c r="O4" s="598"/>
      <c r="P4" s="598"/>
      <c r="Q4" s="598"/>
      <c r="R4" s="598"/>
      <c r="S4" s="598"/>
      <c r="T4" s="598"/>
      <c r="U4" s="598"/>
      <c r="V4" s="598"/>
      <c r="W4" s="598"/>
      <c r="X4" s="598"/>
      <c r="Y4" s="598"/>
      <c r="Z4" s="598"/>
      <c r="AA4" s="600"/>
      <c r="AB4" s="598"/>
      <c r="AC4" s="600"/>
      <c r="AD4" s="598"/>
      <c r="AE4" s="600"/>
    </row>
    <row r="5" spans="1:31">
      <c r="A5" s="601"/>
      <c r="B5" s="601"/>
      <c r="C5" s="601"/>
      <c r="D5" s="601"/>
      <c r="E5" s="601"/>
      <c r="F5" s="601"/>
      <c r="G5" s="601"/>
      <c r="H5" s="601"/>
      <c r="I5" s="601" t="s">
        <v>846</v>
      </c>
      <c r="J5" s="601"/>
      <c r="K5" s="602">
        <v>41666</v>
      </c>
      <c r="L5" s="601"/>
      <c r="M5" s="601" t="s">
        <v>875</v>
      </c>
      <c r="N5" s="601"/>
      <c r="O5" s="601" t="s">
        <v>847</v>
      </c>
      <c r="P5" s="601"/>
      <c r="Q5" s="601" t="s">
        <v>848</v>
      </c>
      <c r="R5" s="601"/>
      <c r="S5" s="601" t="s">
        <v>838</v>
      </c>
      <c r="T5" s="601"/>
      <c r="U5" s="601" t="s">
        <v>851</v>
      </c>
      <c r="V5" s="601"/>
      <c r="W5" s="603"/>
      <c r="X5" s="601"/>
      <c r="Y5" s="601" t="s">
        <v>852</v>
      </c>
      <c r="Z5" s="601"/>
      <c r="AA5" s="604">
        <v>109.31</v>
      </c>
      <c r="AB5" s="601"/>
      <c r="AC5" s="604"/>
      <c r="AD5" s="601"/>
      <c r="AE5" s="604">
        <v>-109.31</v>
      </c>
    </row>
    <row r="6" spans="1:31">
      <c r="A6" s="601"/>
      <c r="B6" s="601"/>
      <c r="C6" s="601"/>
      <c r="D6" s="601"/>
      <c r="E6" s="601"/>
      <c r="F6" s="601"/>
      <c r="G6" s="601"/>
      <c r="H6" s="601"/>
      <c r="I6" s="601" t="s">
        <v>846</v>
      </c>
      <c r="J6" s="601"/>
      <c r="K6" s="602">
        <v>41698</v>
      </c>
      <c r="L6" s="601"/>
      <c r="M6" s="601" t="s">
        <v>876</v>
      </c>
      <c r="N6" s="601"/>
      <c r="O6" s="601" t="s">
        <v>847</v>
      </c>
      <c r="P6" s="601"/>
      <c r="Q6" s="601" t="s">
        <v>848</v>
      </c>
      <c r="R6" s="601"/>
      <c r="S6" s="601" t="s">
        <v>838</v>
      </c>
      <c r="T6" s="601"/>
      <c r="U6" s="601" t="s">
        <v>851</v>
      </c>
      <c r="V6" s="601"/>
      <c r="W6" s="603"/>
      <c r="X6" s="601"/>
      <c r="Y6" s="601" t="s">
        <v>852</v>
      </c>
      <c r="Z6" s="601"/>
      <c r="AA6" s="604">
        <v>91.51</v>
      </c>
      <c r="AB6" s="601"/>
      <c r="AC6" s="604"/>
      <c r="AD6" s="601"/>
      <c r="AE6" s="604">
        <v>-200.82</v>
      </c>
    </row>
    <row r="7" spans="1:31">
      <c r="A7" s="601"/>
      <c r="B7" s="601"/>
      <c r="C7" s="601"/>
      <c r="D7" s="601"/>
      <c r="E7" s="601"/>
      <c r="F7" s="601"/>
      <c r="G7" s="601"/>
      <c r="H7" s="601"/>
      <c r="I7" s="601" t="s">
        <v>846</v>
      </c>
      <c r="J7" s="601"/>
      <c r="K7" s="602">
        <v>41719</v>
      </c>
      <c r="L7" s="601"/>
      <c r="M7" s="601" t="s">
        <v>877</v>
      </c>
      <c r="N7" s="601"/>
      <c r="O7" s="601" t="s">
        <v>847</v>
      </c>
      <c r="P7" s="601"/>
      <c r="Q7" s="601" t="s">
        <v>848</v>
      </c>
      <c r="R7" s="601"/>
      <c r="S7" s="601" t="s">
        <v>838</v>
      </c>
      <c r="T7" s="601"/>
      <c r="U7" s="601" t="s">
        <v>851</v>
      </c>
      <c r="V7" s="601"/>
      <c r="W7" s="603"/>
      <c r="X7" s="601"/>
      <c r="Y7" s="601" t="s">
        <v>852</v>
      </c>
      <c r="Z7" s="601"/>
      <c r="AA7" s="604">
        <v>84.95</v>
      </c>
      <c r="AB7" s="601"/>
      <c r="AC7" s="604"/>
      <c r="AD7" s="601"/>
      <c r="AE7" s="604">
        <v>-285.77</v>
      </c>
    </row>
    <row r="8" spans="1:31">
      <c r="A8" s="601"/>
      <c r="B8" s="601"/>
      <c r="C8" s="601"/>
      <c r="D8" s="601"/>
      <c r="E8" s="601"/>
      <c r="F8" s="601"/>
      <c r="G8" s="601"/>
      <c r="H8" s="601"/>
      <c r="I8" s="601" t="s">
        <v>846</v>
      </c>
      <c r="J8" s="601"/>
      <c r="K8" s="602">
        <v>41757</v>
      </c>
      <c r="L8" s="601"/>
      <c r="M8" s="601" t="s">
        <v>878</v>
      </c>
      <c r="N8" s="601"/>
      <c r="O8" s="601" t="s">
        <v>847</v>
      </c>
      <c r="P8" s="601"/>
      <c r="Q8" s="601" t="s">
        <v>848</v>
      </c>
      <c r="R8" s="601"/>
      <c r="S8" s="601" t="s">
        <v>838</v>
      </c>
      <c r="T8" s="601"/>
      <c r="U8" s="601" t="s">
        <v>851</v>
      </c>
      <c r="V8" s="601"/>
      <c r="W8" s="603"/>
      <c r="X8" s="601"/>
      <c r="Y8" s="601" t="s">
        <v>852</v>
      </c>
      <c r="Z8" s="601"/>
      <c r="AA8" s="604">
        <v>95.88</v>
      </c>
      <c r="AB8" s="601"/>
      <c r="AC8" s="604"/>
      <c r="AD8" s="601"/>
      <c r="AE8" s="604">
        <v>-381.65</v>
      </c>
    </row>
    <row r="9" spans="1:31">
      <c r="A9" s="601"/>
      <c r="B9" s="601"/>
      <c r="C9" s="601"/>
      <c r="D9" s="601"/>
      <c r="E9" s="601"/>
      <c r="F9" s="601"/>
      <c r="G9" s="601"/>
      <c r="H9" s="601"/>
      <c r="I9" s="601" t="s">
        <v>846</v>
      </c>
      <c r="J9" s="601"/>
      <c r="K9" s="602">
        <v>41787</v>
      </c>
      <c r="L9" s="601"/>
      <c r="M9" s="601" t="s">
        <v>879</v>
      </c>
      <c r="N9" s="601"/>
      <c r="O9" s="601" t="s">
        <v>847</v>
      </c>
      <c r="P9" s="601"/>
      <c r="Q9" s="601" t="s">
        <v>848</v>
      </c>
      <c r="R9" s="601"/>
      <c r="S9" s="601" t="s">
        <v>838</v>
      </c>
      <c r="T9" s="601"/>
      <c r="U9" s="601" t="s">
        <v>851</v>
      </c>
      <c r="V9" s="601"/>
      <c r="W9" s="603"/>
      <c r="X9" s="601"/>
      <c r="Y9" s="601" t="s">
        <v>852</v>
      </c>
      <c r="Z9" s="601"/>
      <c r="AA9" s="604">
        <v>75.91</v>
      </c>
      <c r="AB9" s="601"/>
      <c r="AC9" s="604"/>
      <c r="AD9" s="601"/>
      <c r="AE9" s="604">
        <v>-457.56</v>
      </c>
    </row>
    <row r="10" spans="1:31">
      <c r="A10" s="601"/>
      <c r="B10" s="601"/>
      <c r="C10" s="601"/>
      <c r="D10" s="601"/>
      <c r="E10" s="601"/>
      <c r="F10" s="601"/>
      <c r="G10" s="601"/>
      <c r="H10" s="601"/>
      <c r="I10" s="601" t="s">
        <v>846</v>
      </c>
      <c r="J10" s="601"/>
      <c r="K10" s="602">
        <v>41817</v>
      </c>
      <c r="L10" s="601"/>
      <c r="M10" s="601" t="s">
        <v>880</v>
      </c>
      <c r="N10" s="601"/>
      <c r="O10" s="601" t="s">
        <v>847</v>
      </c>
      <c r="P10" s="601"/>
      <c r="Q10" s="601" t="s">
        <v>848</v>
      </c>
      <c r="R10" s="601"/>
      <c r="S10" s="601" t="s">
        <v>838</v>
      </c>
      <c r="T10" s="601"/>
      <c r="U10" s="601" t="s">
        <v>851</v>
      </c>
      <c r="V10" s="601"/>
      <c r="W10" s="603"/>
      <c r="X10" s="601"/>
      <c r="Y10" s="601" t="s">
        <v>852</v>
      </c>
      <c r="Z10" s="601"/>
      <c r="AA10" s="604">
        <v>110.67</v>
      </c>
      <c r="AB10" s="601"/>
      <c r="AC10" s="604"/>
      <c r="AD10" s="601"/>
      <c r="AE10" s="604">
        <v>-568.23</v>
      </c>
    </row>
    <row r="11" spans="1:31">
      <c r="A11" s="601"/>
      <c r="B11" s="601"/>
      <c r="C11" s="601"/>
      <c r="D11" s="601"/>
      <c r="E11" s="601"/>
      <c r="F11" s="601"/>
      <c r="G11" s="601"/>
      <c r="H11" s="601"/>
      <c r="I11" s="601" t="s">
        <v>846</v>
      </c>
      <c r="J11" s="601"/>
      <c r="K11" s="602">
        <v>41849</v>
      </c>
      <c r="L11" s="601"/>
      <c r="M11" s="601" t="s">
        <v>881</v>
      </c>
      <c r="N11" s="601"/>
      <c r="O11" s="601" t="s">
        <v>847</v>
      </c>
      <c r="P11" s="601"/>
      <c r="Q11" s="601" t="s">
        <v>848</v>
      </c>
      <c r="R11" s="601"/>
      <c r="S11" s="601" t="s">
        <v>838</v>
      </c>
      <c r="T11" s="601"/>
      <c r="U11" s="601" t="s">
        <v>851</v>
      </c>
      <c r="V11" s="601"/>
      <c r="W11" s="603"/>
      <c r="X11" s="601"/>
      <c r="Y11" s="601" t="s">
        <v>852</v>
      </c>
      <c r="Z11" s="601"/>
      <c r="AA11" s="604">
        <v>99.91</v>
      </c>
      <c r="AB11" s="601"/>
      <c r="AC11" s="604"/>
      <c r="AD11" s="601"/>
      <c r="AE11" s="604">
        <v>-668.14</v>
      </c>
    </row>
    <row r="12" spans="1:31">
      <c r="A12" s="601"/>
      <c r="B12" s="601"/>
      <c r="C12" s="601"/>
      <c r="D12" s="601"/>
      <c r="E12" s="601"/>
      <c r="F12" s="601"/>
      <c r="G12" s="601"/>
      <c r="H12" s="601"/>
      <c r="I12" s="601" t="s">
        <v>846</v>
      </c>
      <c r="J12" s="601"/>
      <c r="K12" s="602">
        <v>41873</v>
      </c>
      <c r="L12" s="601"/>
      <c r="M12" s="601" t="s">
        <v>882</v>
      </c>
      <c r="N12" s="601"/>
      <c r="O12" s="601" t="s">
        <v>847</v>
      </c>
      <c r="P12" s="601"/>
      <c r="Q12" s="601" t="s">
        <v>848</v>
      </c>
      <c r="R12" s="601"/>
      <c r="S12" s="601" t="s">
        <v>838</v>
      </c>
      <c r="T12" s="601"/>
      <c r="U12" s="601" t="s">
        <v>851</v>
      </c>
      <c r="V12" s="601"/>
      <c r="W12" s="603"/>
      <c r="X12" s="601"/>
      <c r="Y12" s="601" t="s">
        <v>852</v>
      </c>
      <c r="Z12" s="601"/>
      <c r="AA12" s="604">
        <v>104.25</v>
      </c>
      <c r="AB12" s="601"/>
      <c r="AC12" s="604"/>
      <c r="AD12" s="601"/>
      <c r="AE12" s="604">
        <v>-772.39</v>
      </c>
    </row>
    <row r="13" spans="1:31">
      <c r="A13" s="601"/>
      <c r="B13" s="601"/>
      <c r="C13" s="601"/>
      <c r="D13" s="601"/>
      <c r="E13" s="601"/>
      <c r="F13" s="601"/>
      <c r="G13" s="601"/>
      <c r="H13" s="601"/>
      <c r="I13" s="601" t="s">
        <v>846</v>
      </c>
      <c r="J13" s="601"/>
      <c r="K13" s="602">
        <v>41905</v>
      </c>
      <c r="L13" s="601"/>
      <c r="M13" s="601" t="s">
        <v>883</v>
      </c>
      <c r="N13" s="601"/>
      <c r="O13" s="601" t="s">
        <v>847</v>
      </c>
      <c r="P13" s="601"/>
      <c r="Q13" s="601" t="s">
        <v>848</v>
      </c>
      <c r="R13" s="601"/>
      <c r="S13" s="601" t="s">
        <v>838</v>
      </c>
      <c r="T13" s="601"/>
      <c r="U13" s="601" t="s">
        <v>851</v>
      </c>
      <c r="V13" s="601"/>
      <c r="W13" s="603"/>
      <c r="X13" s="601"/>
      <c r="Y13" s="601" t="s">
        <v>852</v>
      </c>
      <c r="Z13" s="601"/>
      <c r="AA13" s="604">
        <v>106.75</v>
      </c>
      <c r="AB13" s="601"/>
      <c r="AC13" s="604"/>
      <c r="AD13" s="601"/>
      <c r="AE13" s="604">
        <v>-879.14</v>
      </c>
    </row>
    <row r="14" spans="1:31">
      <c r="A14" s="601"/>
      <c r="B14" s="601"/>
      <c r="C14" s="601"/>
      <c r="D14" s="601"/>
      <c r="E14" s="601"/>
      <c r="F14" s="601"/>
      <c r="G14" s="601"/>
      <c r="H14" s="601"/>
      <c r="I14" s="601" t="s">
        <v>846</v>
      </c>
      <c r="J14" s="601"/>
      <c r="K14" s="602">
        <v>41932</v>
      </c>
      <c r="L14" s="601"/>
      <c r="M14" s="601" t="s">
        <v>884</v>
      </c>
      <c r="N14" s="601"/>
      <c r="O14" s="601" t="s">
        <v>847</v>
      </c>
      <c r="P14" s="601"/>
      <c r="Q14" s="601" t="s">
        <v>848</v>
      </c>
      <c r="R14" s="601"/>
      <c r="S14" s="601" t="s">
        <v>838</v>
      </c>
      <c r="T14" s="601"/>
      <c r="U14" s="601" t="s">
        <v>851</v>
      </c>
      <c r="V14" s="601"/>
      <c r="W14" s="603"/>
      <c r="X14" s="601"/>
      <c r="Y14" s="601" t="s">
        <v>852</v>
      </c>
      <c r="Z14" s="601"/>
      <c r="AA14" s="604">
        <v>97.65</v>
      </c>
      <c r="AB14" s="601"/>
      <c r="AC14" s="604"/>
      <c r="AD14" s="601"/>
      <c r="AE14" s="604">
        <v>-976.79</v>
      </c>
    </row>
    <row r="15" spans="1:31">
      <c r="A15" s="601"/>
      <c r="B15" s="601"/>
      <c r="C15" s="601"/>
      <c r="D15" s="601"/>
      <c r="E15" s="601"/>
      <c r="F15" s="601"/>
      <c r="G15" s="601"/>
      <c r="H15" s="601"/>
      <c r="I15" s="601" t="s">
        <v>846</v>
      </c>
      <c r="J15" s="601"/>
      <c r="K15" s="602">
        <v>41967</v>
      </c>
      <c r="L15" s="601"/>
      <c r="M15" s="601" t="s">
        <v>885</v>
      </c>
      <c r="N15" s="601"/>
      <c r="O15" s="601" t="s">
        <v>847</v>
      </c>
      <c r="P15" s="601"/>
      <c r="Q15" s="601" t="s">
        <v>848</v>
      </c>
      <c r="R15" s="601"/>
      <c r="S15" s="601" t="s">
        <v>838</v>
      </c>
      <c r="T15" s="601"/>
      <c r="U15" s="601" t="s">
        <v>851</v>
      </c>
      <c r="V15" s="601"/>
      <c r="W15" s="603"/>
      <c r="X15" s="601"/>
      <c r="Y15" s="601" t="s">
        <v>852</v>
      </c>
      <c r="Z15" s="601"/>
      <c r="AA15" s="604">
        <v>100.4</v>
      </c>
      <c r="AB15" s="601"/>
      <c r="AC15" s="604"/>
      <c r="AD15" s="601"/>
      <c r="AE15" s="604">
        <v>-1077.19</v>
      </c>
    </row>
    <row r="16" spans="1:31" ht="13.5" thickBot="1">
      <c r="A16" s="601"/>
      <c r="B16" s="601"/>
      <c r="C16" s="601"/>
      <c r="D16" s="601"/>
      <c r="E16" s="601"/>
      <c r="F16" s="601"/>
      <c r="G16" s="601"/>
      <c r="H16" s="601"/>
      <c r="I16" s="601" t="s">
        <v>846</v>
      </c>
      <c r="J16" s="601"/>
      <c r="K16" s="602">
        <v>41995</v>
      </c>
      <c r="L16" s="601"/>
      <c r="M16" s="601" t="s">
        <v>886</v>
      </c>
      <c r="N16" s="601"/>
      <c r="O16" s="601" t="s">
        <v>847</v>
      </c>
      <c r="P16" s="601"/>
      <c r="Q16" s="601" t="s">
        <v>848</v>
      </c>
      <c r="R16" s="601"/>
      <c r="S16" s="601" t="s">
        <v>838</v>
      </c>
      <c r="T16" s="601"/>
      <c r="U16" s="601" t="s">
        <v>851</v>
      </c>
      <c r="V16" s="601"/>
      <c r="W16" s="603"/>
      <c r="X16" s="601"/>
      <c r="Y16" s="601" t="s">
        <v>852</v>
      </c>
      <c r="Z16" s="601"/>
      <c r="AA16" s="675">
        <v>86.88</v>
      </c>
      <c r="AB16" s="601"/>
      <c r="AC16" s="675"/>
      <c r="AD16" s="601"/>
      <c r="AE16" s="675">
        <v>-1164.07</v>
      </c>
    </row>
    <row r="17" spans="1:31">
      <c r="A17" s="601"/>
      <c r="B17" s="601"/>
      <c r="C17" s="601"/>
      <c r="D17" s="601" t="s">
        <v>839</v>
      </c>
      <c r="E17" s="601"/>
      <c r="F17" s="601"/>
      <c r="G17" s="601"/>
      <c r="H17" s="601"/>
      <c r="I17" s="601"/>
      <c r="J17" s="601"/>
      <c r="K17" s="602"/>
      <c r="L17" s="601"/>
      <c r="M17" s="601"/>
      <c r="N17" s="601"/>
      <c r="O17" s="601"/>
      <c r="P17" s="601"/>
      <c r="Q17" s="601"/>
      <c r="R17" s="601"/>
      <c r="S17" s="601"/>
      <c r="T17" s="601"/>
      <c r="U17" s="601"/>
      <c r="V17" s="601"/>
      <c r="W17" s="601"/>
      <c r="X17" s="601"/>
      <c r="Y17" s="601"/>
      <c r="Z17" s="601"/>
      <c r="AA17" s="604">
        <f>ROUND(SUM(AA4:AA16),5)</f>
        <v>1164.07</v>
      </c>
      <c r="AB17" s="601"/>
      <c r="AC17" s="604">
        <f>ROUND(SUM(AC4:AC16),5)</f>
        <v>0</v>
      </c>
      <c r="AD17" s="601"/>
      <c r="AE17" s="604">
        <f>AE16</f>
        <v>-1164.07</v>
      </c>
    </row>
    <row r="18" spans="1:31">
      <c r="A18" s="598"/>
      <c r="B18" s="598"/>
      <c r="C18" s="598"/>
      <c r="D18" s="598" t="s">
        <v>840</v>
      </c>
      <c r="E18" s="598"/>
      <c r="F18" s="598"/>
      <c r="G18" s="598"/>
      <c r="H18" s="598"/>
      <c r="I18" s="598"/>
      <c r="J18" s="598"/>
      <c r="K18" s="599"/>
      <c r="L18" s="598"/>
      <c r="M18" s="598"/>
      <c r="N18" s="598"/>
      <c r="O18" s="598"/>
      <c r="P18" s="598"/>
      <c r="Q18" s="598"/>
      <c r="R18" s="598"/>
      <c r="S18" s="598"/>
      <c r="T18" s="598"/>
      <c r="U18" s="598"/>
      <c r="V18" s="598"/>
      <c r="W18" s="598"/>
      <c r="X18" s="598"/>
      <c r="Y18" s="598"/>
      <c r="Z18" s="598"/>
      <c r="AA18" s="600"/>
      <c r="AB18" s="598"/>
      <c r="AC18" s="600"/>
      <c r="AD18" s="598"/>
      <c r="AE18" s="600"/>
    </row>
    <row r="19" spans="1:31">
      <c r="A19" s="601"/>
      <c r="B19" s="601"/>
      <c r="C19" s="601"/>
      <c r="D19" s="601"/>
      <c r="E19" s="601"/>
      <c r="F19" s="601"/>
      <c r="G19" s="601"/>
      <c r="H19" s="601"/>
      <c r="I19" s="601" t="s">
        <v>846</v>
      </c>
      <c r="J19" s="601"/>
      <c r="K19" s="602">
        <v>41666</v>
      </c>
      <c r="L19" s="601"/>
      <c r="M19" s="601" t="s">
        <v>875</v>
      </c>
      <c r="N19" s="601"/>
      <c r="O19" s="601" t="s">
        <v>847</v>
      </c>
      <c r="P19" s="601"/>
      <c r="Q19" s="601" t="s">
        <v>849</v>
      </c>
      <c r="R19" s="601"/>
      <c r="S19" s="601" t="s">
        <v>840</v>
      </c>
      <c r="T19" s="601"/>
      <c r="U19" s="601" t="s">
        <v>851</v>
      </c>
      <c r="V19" s="601"/>
      <c r="W19" s="603"/>
      <c r="X19" s="601"/>
      <c r="Y19" s="601" t="s">
        <v>852</v>
      </c>
      <c r="Z19" s="601"/>
      <c r="AA19" s="604">
        <v>47.61</v>
      </c>
      <c r="AB19" s="601"/>
      <c r="AC19" s="604"/>
      <c r="AD19" s="601"/>
      <c r="AE19" s="604">
        <v>-47.61</v>
      </c>
    </row>
    <row r="20" spans="1:31">
      <c r="A20" s="601"/>
      <c r="B20" s="601"/>
      <c r="C20" s="601"/>
      <c r="D20" s="601"/>
      <c r="E20" s="601"/>
      <c r="F20" s="601"/>
      <c r="G20" s="601"/>
      <c r="H20" s="601"/>
      <c r="I20" s="601" t="s">
        <v>846</v>
      </c>
      <c r="J20" s="601"/>
      <c r="K20" s="602">
        <v>41698</v>
      </c>
      <c r="L20" s="601"/>
      <c r="M20" s="601" t="s">
        <v>876</v>
      </c>
      <c r="N20" s="601"/>
      <c r="O20" s="601" t="s">
        <v>847</v>
      </c>
      <c r="P20" s="601"/>
      <c r="Q20" s="601" t="s">
        <v>849</v>
      </c>
      <c r="R20" s="601"/>
      <c r="S20" s="601" t="s">
        <v>840</v>
      </c>
      <c r="T20" s="601"/>
      <c r="U20" s="601" t="s">
        <v>851</v>
      </c>
      <c r="V20" s="601"/>
      <c r="W20" s="603"/>
      <c r="X20" s="601"/>
      <c r="Y20" s="601" t="s">
        <v>852</v>
      </c>
      <c r="Z20" s="601"/>
      <c r="AA20" s="604">
        <v>47.49</v>
      </c>
      <c r="AB20" s="601"/>
      <c r="AC20" s="604"/>
      <c r="AD20" s="601"/>
      <c r="AE20" s="604">
        <v>-95.1</v>
      </c>
    </row>
    <row r="21" spans="1:31">
      <c r="A21" s="601"/>
      <c r="B21" s="601"/>
      <c r="C21" s="601"/>
      <c r="D21" s="601"/>
      <c r="E21" s="601"/>
      <c r="F21" s="601"/>
      <c r="G21" s="601"/>
      <c r="H21" s="601"/>
      <c r="I21" s="601" t="s">
        <v>846</v>
      </c>
      <c r="J21" s="601"/>
      <c r="K21" s="602">
        <v>41719</v>
      </c>
      <c r="L21" s="601"/>
      <c r="M21" s="601" t="s">
        <v>877</v>
      </c>
      <c r="N21" s="601"/>
      <c r="O21" s="601" t="s">
        <v>847</v>
      </c>
      <c r="P21" s="601"/>
      <c r="Q21" s="601" t="s">
        <v>849</v>
      </c>
      <c r="R21" s="601"/>
      <c r="S21" s="601" t="s">
        <v>840</v>
      </c>
      <c r="T21" s="601"/>
      <c r="U21" s="601" t="s">
        <v>851</v>
      </c>
      <c r="V21" s="601"/>
      <c r="W21" s="603"/>
      <c r="X21" s="601"/>
      <c r="Y21" s="601" t="s">
        <v>852</v>
      </c>
      <c r="Z21" s="601"/>
      <c r="AA21" s="604">
        <v>38.22</v>
      </c>
      <c r="AB21" s="601"/>
      <c r="AC21" s="604"/>
      <c r="AD21" s="601"/>
      <c r="AE21" s="604">
        <v>-133.32</v>
      </c>
    </row>
    <row r="22" spans="1:31">
      <c r="A22" s="601"/>
      <c r="B22" s="601"/>
      <c r="C22" s="601"/>
      <c r="D22" s="601"/>
      <c r="E22" s="601"/>
      <c r="F22" s="601"/>
      <c r="G22" s="601"/>
      <c r="H22" s="601"/>
      <c r="I22" s="601" t="s">
        <v>846</v>
      </c>
      <c r="J22" s="601"/>
      <c r="K22" s="602">
        <v>41757</v>
      </c>
      <c r="L22" s="601"/>
      <c r="M22" s="601" t="s">
        <v>878</v>
      </c>
      <c r="N22" s="601"/>
      <c r="O22" s="601" t="s">
        <v>847</v>
      </c>
      <c r="P22" s="601"/>
      <c r="Q22" s="601" t="s">
        <v>849</v>
      </c>
      <c r="R22" s="601"/>
      <c r="S22" s="601" t="s">
        <v>840</v>
      </c>
      <c r="T22" s="601"/>
      <c r="U22" s="601" t="s">
        <v>851</v>
      </c>
      <c r="V22" s="601"/>
      <c r="W22" s="603"/>
      <c r="X22" s="601"/>
      <c r="Y22" s="601" t="s">
        <v>852</v>
      </c>
      <c r="Z22" s="601"/>
      <c r="AA22" s="604">
        <v>44.51</v>
      </c>
      <c r="AB22" s="601"/>
      <c r="AC22" s="604"/>
      <c r="AD22" s="601"/>
      <c r="AE22" s="604">
        <v>-177.83</v>
      </c>
    </row>
    <row r="23" spans="1:31">
      <c r="A23" s="601"/>
      <c r="B23" s="601"/>
      <c r="C23" s="601"/>
      <c r="D23" s="601"/>
      <c r="E23" s="601"/>
      <c r="F23" s="601"/>
      <c r="G23" s="601"/>
      <c r="H23" s="601"/>
      <c r="I23" s="601" t="s">
        <v>846</v>
      </c>
      <c r="J23" s="601"/>
      <c r="K23" s="602">
        <v>41787</v>
      </c>
      <c r="L23" s="601"/>
      <c r="M23" s="601" t="s">
        <v>879</v>
      </c>
      <c r="N23" s="601"/>
      <c r="O23" s="601" t="s">
        <v>847</v>
      </c>
      <c r="P23" s="601"/>
      <c r="Q23" s="601" t="s">
        <v>849</v>
      </c>
      <c r="R23" s="601"/>
      <c r="S23" s="601" t="s">
        <v>840</v>
      </c>
      <c r="T23" s="601"/>
      <c r="U23" s="601" t="s">
        <v>851</v>
      </c>
      <c r="V23" s="601"/>
      <c r="W23" s="603"/>
      <c r="X23" s="601"/>
      <c r="Y23" s="601" t="s">
        <v>852</v>
      </c>
      <c r="Z23" s="601"/>
      <c r="AA23" s="604">
        <v>0</v>
      </c>
      <c r="AB23" s="601"/>
      <c r="AC23" s="604"/>
      <c r="AD23" s="601"/>
      <c r="AE23" s="604">
        <v>-177.83</v>
      </c>
    </row>
    <row r="24" spans="1:31">
      <c r="A24" s="601"/>
      <c r="B24" s="601"/>
      <c r="C24" s="601"/>
      <c r="D24" s="601"/>
      <c r="E24" s="601"/>
      <c r="F24" s="601"/>
      <c r="G24" s="601"/>
      <c r="H24" s="601"/>
      <c r="I24" s="601" t="s">
        <v>846</v>
      </c>
      <c r="J24" s="601"/>
      <c r="K24" s="602">
        <v>41817</v>
      </c>
      <c r="L24" s="601"/>
      <c r="M24" s="601" t="s">
        <v>880</v>
      </c>
      <c r="N24" s="601"/>
      <c r="O24" s="601" t="s">
        <v>847</v>
      </c>
      <c r="P24" s="601"/>
      <c r="Q24" s="601" t="s">
        <v>849</v>
      </c>
      <c r="R24" s="601"/>
      <c r="S24" s="601" t="s">
        <v>840</v>
      </c>
      <c r="T24" s="601"/>
      <c r="U24" s="601" t="s">
        <v>851</v>
      </c>
      <c r="V24" s="601"/>
      <c r="W24" s="603"/>
      <c r="X24" s="601"/>
      <c r="Y24" s="601" t="s">
        <v>852</v>
      </c>
      <c r="Z24" s="601"/>
      <c r="AA24" s="604">
        <v>66.87</v>
      </c>
      <c r="AB24" s="601"/>
      <c r="AC24" s="604"/>
      <c r="AD24" s="601"/>
      <c r="AE24" s="604">
        <v>-244.7</v>
      </c>
    </row>
    <row r="25" spans="1:31">
      <c r="A25" s="601"/>
      <c r="B25" s="601"/>
      <c r="C25" s="601"/>
      <c r="D25" s="601"/>
      <c r="E25" s="601"/>
      <c r="F25" s="601"/>
      <c r="G25" s="601"/>
      <c r="H25" s="601"/>
      <c r="I25" s="601" t="s">
        <v>846</v>
      </c>
      <c r="J25" s="601"/>
      <c r="K25" s="602">
        <v>41849</v>
      </c>
      <c r="L25" s="601"/>
      <c r="M25" s="601" t="s">
        <v>881</v>
      </c>
      <c r="N25" s="601"/>
      <c r="O25" s="601" t="s">
        <v>847</v>
      </c>
      <c r="P25" s="601"/>
      <c r="Q25" s="601" t="s">
        <v>849</v>
      </c>
      <c r="R25" s="601"/>
      <c r="S25" s="601" t="s">
        <v>840</v>
      </c>
      <c r="T25" s="601"/>
      <c r="U25" s="601" t="s">
        <v>851</v>
      </c>
      <c r="V25" s="601"/>
      <c r="W25" s="603"/>
      <c r="X25" s="601"/>
      <c r="Y25" s="601" t="s">
        <v>852</v>
      </c>
      <c r="Z25" s="601"/>
      <c r="AA25" s="604">
        <v>69.83</v>
      </c>
      <c r="AB25" s="601"/>
      <c r="AC25" s="604"/>
      <c r="AD25" s="601"/>
      <c r="AE25" s="604">
        <v>-314.52999999999997</v>
      </c>
    </row>
    <row r="26" spans="1:31">
      <c r="A26" s="601"/>
      <c r="B26" s="601"/>
      <c r="C26" s="601"/>
      <c r="D26" s="601"/>
      <c r="E26" s="601"/>
      <c r="F26" s="601"/>
      <c r="G26" s="601"/>
      <c r="H26" s="601"/>
      <c r="I26" s="601" t="s">
        <v>846</v>
      </c>
      <c r="J26" s="601"/>
      <c r="K26" s="602">
        <v>41873</v>
      </c>
      <c r="L26" s="601"/>
      <c r="M26" s="601" t="s">
        <v>882</v>
      </c>
      <c r="N26" s="601"/>
      <c r="O26" s="601" t="s">
        <v>847</v>
      </c>
      <c r="P26" s="601"/>
      <c r="Q26" s="601" t="s">
        <v>849</v>
      </c>
      <c r="R26" s="601"/>
      <c r="S26" s="601" t="s">
        <v>840</v>
      </c>
      <c r="T26" s="601"/>
      <c r="U26" s="601" t="s">
        <v>851</v>
      </c>
      <c r="V26" s="601"/>
      <c r="W26" s="603"/>
      <c r="X26" s="601"/>
      <c r="Y26" s="601" t="s">
        <v>852</v>
      </c>
      <c r="Z26" s="601"/>
      <c r="AA26" s="604">
        <v>107.18</v>
      </c>
      <c r="AB26" s="601"/>
      <c r="AC26" s="604"/>
      <c r="AD26" s="601"/>
      <c r="AE26" s="604">
        <v>-421.71</v>
      </c>
    </row>
    <row r="27" spans="1:31">
      <c r="A27" s="601"/>
      <c r="B27" s="601"/>
      <c r="C27" s="601"/>
      <c r="D27" s="601"/>
      <c r="E27" s="601"/>
      <c r="F27" s="601"/>
      <c r="G27" s="601"/>
      <c r="H27" s="601"/>
      <c r="I27" s="601" t="s">
        <v>846</v>
      </c>
      <c r="J27" s="601"/>
      <c r="K27" s="602">
        <v>41905</v>
      </c>
      <c r="L27" s="601"/>
      <c r="M27" s="601" t="s">
        <v>883</v>
      </c>
      <c r="N27" s="601"/>
      <c r="O27" s="601" t="s">
        <v>847</v>
      </c>
      <c r="P27" s="601"/>
      <c r="Q27" s="601" t="s">
        <v>849</v>
      </c>
      <c r="R27" s="601"/>
      <c r="S27" s="601" t="s">
        <v>840</v>
      </c>
      <c r="T27" s="601"/>
      <c r="U27" s="601" t="s">
        <v>851</v>
      </c>
      <c r="V27" s="601"/>
      <c r="W27" s="603"/>
      <c r="X27" s="601"/>
      <c r="Y27" s="601" t="s">
        <v>852</v>
      </c>
      <c r="Z27" s="601"/>
      <c r="AA27" s="604">
        <v>78.47</v>
      </c>
      <c r="AB27" s="601"/>
      <c r="AC27" s="604"/>
      <c r="AD27" s="601"/>
      <c r="AE27" s="604">
        <v>-500.18</v>
      </c>
    </row>
    <row r="28" spans="1:31">
      <c r="A28" s="601"/>
      <c r="B28" s="601"/>
      <c r="C28" s="601"/>
      <c r="D28" s="601"/>
      <c r="E28" s="601"/>
      <c r="F28" s="601"/>
      <c r="G28" s="601"/>
      <c r="H28" s="601"/>
      <c r="I28" s="601" t="s">
        <v>846</v>
      </c>
      <c r="J28" s="601"/>
      <c r="K28" s="602">
        <v>41932</v>
      </c>
      <c r="L28" s="601"/>
      <c r="M28" s="601" t="s">
        <v>884</v>
      </c>
      <c r="N28" s="601"/>
      <c r="O28" s="601" t="s">
        <v>847</v>
      </c>
      <c r="P28" s="601"/>
      <c r="Q28" s="601" t="s">
        <v>849</v>
      </c>
      <c r="R28" s="601"/>
      <c r="S28" s="601" t="s">
        <v>840</v>
      </c>
      <c r="T28" s="601"/>
      <c r="U28" s="601" t="s">
        <v>851</v>
      </c>
      <c r="V28" s="601"/>
      <c r="W28" s="603"/>
      <c r="X28" s="601"/>
      <c r="Y28" s="601" t="s">
        <v>852</v>
      </c>
      <c r="Z28" s="601"/>
      <c r="AA28" s="604">
        <v>23.26</v>
      </c>
      <c r="AB28" s="601"/>
      <c r="AC28" s="604"/>
      <c r="AD28" s="601"/>
      <c r="AE28" s="604">
        <v>-523.44000000000005</v>
      </c>
    </row>
    <row r="29" spans="1:31" ht="13.5" thickBot="1">
      <c r="A29" s="601"/>
      <c r="B29" s="601"/>
      <c r="C29" s="601"/>
      <c r="D29" s="601"/>
      <c r="E29" s="601"/>
      <c r="F29" s="601"/>
      <c r="G29" s="601"/>
      <c r="H29" s="601"/>
      <c r="I29" s="601" t="s">
        <v>846</v>
      </c>
      <c r="J29" s="601"/>
      <c r="K29" s="602">
        <v>41967</v>
      </c>
      <c r="L29" s="601"/>
      <c r="M29" s="601" t="s">
        <v>885</v>
      </c>
      <c r="N29" s="601"/>
      <c r="O29" s="601" t="s">
        <v>847</v>
      </c>
      <c r="P29" s="601"/>
      <c r="Q29" s="601" t="s">
        <v>849</v>
      </c>
      <c r="R29" s="601"/>
      <c r="S29" s="601" t="s">
        <v>840</v>
      </c>
      <c r="T29" s="601"/>
      <c r="U29" s="601" t="s">
        <v>851</v>
      </c>
      <c r="V29" s="601"/>
      <c r="W29" s="603"/>
      <c r="X29" s="601"/>
      <c r="Y29" s="601" t="s">
        <v>852</v>
      </c>
      <c r="Z29" s="601"/>
      <c r="AA29" s="675">
        <v>8.86</v>
      </c>
      <c r="AB29" s="601"/>
      <c r="AC29" s="675"/>
      <c r="AD29" s="601"/>
      <c r="AE29" s="675">
        <v>-532.29999999999995</v>
      </c>
    </row>
    <row r="30" spans="1:31">
      <c r="A30" s="601"/>
      <c r="B30" s="601"/>
      <c r="C30" s="601"/>
      <c r="D30" s="601" t="s">
        <v>841</v>
      </c>
      <c r="E30" s="601"/>
      <c r="F30" s="601"/>
      <c r="G30" s="601"/>
      <c r="H30" s="601"/>
      <c r="I30" s="601"/>
      <c r="J30" s="601"/>
      <c r="K30" s="602"/>
      <c r="L30" s="601"/>
      <c r="M30" s="601"/>
      <c r="N30" s="601"/>
      <c r="O30" s="601"/>
      <c r="P30" s="601"/>
      <c r="Q30" s="601"/>
      <c r="R30" s="601"/>
      <c r="S30" s="601"/>
      <c r="T30" s="601"/>
      <c r="U30" s="601"/>
      <c r="V30" s="601"/>
      <c r="W30" s="601"/>
      <c r="X30" s="601"/>
      <c r="Y30" s="601"/>
      <c r="Z30" s="601"/>
      <c r="AA30" s="604">
        <f>ROUND(SUM(AA18:AA29),5)</f>
        <v>532.29999999999995</v>
      </c>
      <c r="AB30" s="601"/>
      <c r="AC30" s="604">
        <f>ROUND(SUM(AC18:AC29),5)</f>
        <v>0</v>
      </c>
      <c r="AD30" s="601"/>
      <c r="AE30" s="604">
        <f>AE29</f>
        <v>-532.29999999999995</v>
      </c>
    </row>
    <row r="31" spans="1:31">
      <c r="A31" s="598"/>
      <c r="B31" s="598"/>
      <c r="C31" s="598"/>
      <c r="D31" s="598" t="s">
        <v>842</v>
      </c>
      <c r="E31" s="598"/>
      <c r="F31" s="598"/>
      <c r="G31" s="598"/>
      <c r="H31" s="598"/>
      <c r="I31" s="598"/>
      <c r="J31" s="598"/>
      <c r="K31" s="599"/>
      <c r="L31" s="598"/>
      <c r="M31" s="598"/>
      <c r="N31" s="598"/>
      <c r="O31" s="598"/>
      <c r="P31" s="598"/>
      <c r="Q31" s="598"/>
      <c r="R31" s="598"/>
      <c r="S31" s="598"/>
      <c r="T31" s="598"/>
      <c r="U31" s="598"/>
      <c r="V31" s="598"/>
      <c r="W31" s="598"/>
      <c r="X31" s="598"/>
      <c r="Y31" s="598"/>
      <c r="Z31" s="598"/>
      <c r="AA31" s="600"/>
      <c r="AB31" s="598"/>
      <c r="AC31" s="600"/>
      <c r="AD31" s="598"/>
      <c r="AE31" s="600"/>
    </row>
    <row r="32" spans="1:31">
      <c r="A32" s="601"/>
      <c r="B32" s="601"/>
      <c r="C32" s="601"/>
      <c r="D32" s="601"/>
      <c r="E32" s="601"/>
      <c r="F32" s="601"/>
      <c r="G32" s="601"/>
      <c r="H32" s="601"/>
      <c r="I32" s="601" t="s">
        <v>846</v>
      </c>
      <c r="J32" s="601"/>
      <c r="K32" s="602">
        <v>41666</v>
      </c>
      <c r="L32" s="601"/>
      <c r="M32" s="601" t="s">
        <v>875</v>
      </c>
      <c r="N32" s="601"/>
      <c r="O32" s="601" t="s">
        <v>847</v>
      </c>
      <c r="P32" s="601"/>
      <c r="Q32" s="601" t="s">
        <v>850</v>
      </c>
      <c r="R32" s="601"/>
      <c r="S32" s="601" t="s">
        <v>842</v>
      </c>
      <c r="T32" s="601"/>
      <c r="U32" s="601" t="s">
        <v>851</v>
      </c>
      <c r="V32" s="601"/>
      <c r="W32" s="603"/>
      <c r="X32" s="601"/>
      <c r="Y32" s="601" t="s">
        <v>852</v>
      </c>
      <c r="Z32" s="601"/>
      <c r="AA32" s="604">
        <v>6081.97</v>
      </c>
      <c r="AB32" s="601"/>
      <c r="AC32" s="604"/>
      <c r="AD32" s="601"/>
      <c r="AE32" s="604">
        <v>-6081.97</v>
      </c>
    </row>
    <row r="33" spans="1:31">
      <c r="A33" s="601"/>
      <c r="B33" s="601"/>
      <c r="C33" s="601"/>
      <c r="D33" s="601"/>
      <c r="E33" s="601"/>
      <c r="F33" s="601"/>
      <c r="G33" s="601"/>
      <c r="H33" s="601"/>
      <c r="I33" s="601" t="s">
        <v>846</v>
      </c>
      <c r="J33" s="601"/>
      <c r="K33" s="602">
        <v>41698</v>
      </c>
      <c r="L33" s="601"/>
      <c r="M33" s="601" t="s">
        <v>876</v>
      </c>
      <c r="N33" s="601"/>
      <c r="O33" s="601" t="s">
        <v>847</v>
      </c>
      <c r="P33" s="601"/>
      <c r="Q33" s="601" t="s">
        <v>850</v>
      </c>
      <c r="R33" s="601"/>
      <c r="S33" s="601" t="s">
        <v>842</v>
      </c>
      <c r="T33" s="601"/>
      <c r="U33" s="601" t="s">
        <v>851</v>
      </c>
      <c r="V33" s="601"/>
      <c r="W33" s="603"/>
      <c r="X33" s="601"/>
      <c r="Y33" s="601" t="s">
        <v>852</v>
      </c>
      <c r="Z33" s="601"/>
      <c r="AA33" s="604">
        <v>6134.15</v>
      </c>
      <c r="AB33" s="601"/>
      <c r="AC33" s="604"/>
      <c r="AD33" s="601"/>
      <c r="AE33" s="604">
        <v>-12216.12</v>
      </c>
    </row>
    <row r="34" spans="1:31">
      <c r="A34" s="601"/>
      <c r="B34" s="601"/>
      <c r="C34" s="601"/>
      <c r="D34" s="601"/>
      <c r="E34" s="601"/>
      <c r="F34" s="601"/>
      <c r="G34" s="601"/>
      <c r="H34" s="601"/>
      <c r="I34" s="601" t="s">
        <v>846</v>
      </c>
      <c r="J34" s="601"/>
      <c r="K34" s="602">
        <v>41719</v>
      </c>
      <c r="L34" s="601"/>
      <c r="M34" s="601" t="s">
        <v>877</v>
      </c>
      <c r="N34" s="601"/>
      <c r="O34" s="601" t="s">
        <v>847</v>
      </c>
      <c r="P34" s="601"/>
      <c r="Q34" s="601" t="s">
        <v>850</v>
      </c>
      <c r="R34" s="601"/>
      <c r="S34" s="601" t="s">
        <v>842</v>
      </c>
      <c r="T34" s="601"/>
      <c r="U34" s="601" t="s">
        <v>851</v>
      </c>
      <c r="V34" s="601"/>
      <c r="W34" s="603"/>
      <c r="X34" s="601"/>
      <c r="Y34" s="601" t="s">
        <v>852</v>
      </c>
      <c r="Z34" s="601"/>
      <c r="AA34" s="604">
        <v>5400.23</v>
      </c>
      <c r="AB34" s="601"/>
      <c r="AC34" s="604"/>
      <c r="AD34" s="601"/>
      <c r="AE34" s="604">
        <v>-17616.349999999999</v>
      </c>
    </row>
    <row r="35" spans="1:31">
      <c r="A35" s="601"/>
      <c r="B35" s="601"/>
      <c r="C35" s="601"/>
      <c r="D35" s="601"/>
      <c r="E35" s="601"/>
      <c r="F35" s="601"/>
      <c r="G35" s="601"/>
      <c r="H35" s="601"/>
      <c r="I35" s="601" t="s">
        <v>846</v>
      </c>
      <c r="J35" s="601"/>
      <c r="K35" s="602">
        <v>41757</v>
      </c>
      <c r="L35" s="601"/>
      <c r="M35" s="601" t="s">
        <v>878</v>
      </c>
      <c r="N35" s="601"/>
      <c r="O35" s="601" t="s">
        <v>847</v>
      </c>
      <c r="P35" s="601"/>
      <c r="Q35" s="601" t="s">
        <v>850</v>
      </c>
      <c r="R35" s="601"/>
      <c r="S35" s="601" t="s">
        <v>842</v>
      </c>
      <c r="T35" s="601"/>
      <c r="U35" s="601" t="s">
        <v>851</v>
      </c>
      <c r="V35" s="601"/>
      <c r="W35" s="603"/>
      <c r="X35" s="601"/>
      <c r="Y35" s="601" t="s">
        <v>852</v>
      </c>
      <c r="Z35" s="601"/>
      <c r="AA35" s="604">
        <v>5803.19</v>
      </c>
      <c r="AB35" s="601"/>
      <c r="AC35" s="604"/>
      <c r="AD35" s="601"/>
      <c r="AE35" s="604">
        <v>-23419.54</v>
      </c>
    </row>
    <row r="36" spans="1:31">
      <c r="A36" s="601"/>
      <c r="B36" s="601"/>
      <c r="C36" s="601"/>
      <c r="D36" s="601"/>
      <c r="E36" s="601"/>
      <c r="F36" s="601"/>
      <c r="G36" s="601"/>
      <c r="H36" s="601"/>
      <c r="I36" s="601" t="s">
        <v>846</v>
      </c>
      <c r="J36" s="601"/>
      <c r="K36" s="602">
        <v>41787</v>
      </c>
      <c r="L36" s="601"/>
      <c r="M36" s="601" t="s">
        <v>879</v>
      </c>
      <c r="N36" s="601"/>
      <c r="O36" s="601" t="s">
        <v>847</v>
      </c>
      <c r="P36" s="601"/>
      <c r="Q36" s="601" t="s">
        <v>850</v>
      </c>
      <c r="R36" s="601"/>
      <c r="S36" s="601" t="s">
        <v>842</v>
      </c>
      <c r="T36" s="601"/>
      <c r="U36" s="601" t="s">
        <v>851</v>
      </c>
      <c r="V36" s="601"/>
      <c r="W36" s="603"/>
      <c r="X36" s="601"/>
      <c r="Y36" s="601" t="s">
        <v>852</v>
      </c>
      <c r="Z36" s="601"/>
      <c r="AA36" s="604">
        <v>4573.6400000000003</v>
      </c>
      <c r="AB36" s="601"/>
      <c r="AC36" s="604"/>
      <c r="AD36" s="601"/>
      <c r="AE36" s="604">
        <v>-27993.18</v>
      </c>
    </row>
    <row r="37" spans="1:31">
      <c r="A37" s="601"/>
      <c r="B37" s="601"/>
      <c r="C37" s="601"/>
      <c r="D37" s="601"/>
      <c r="E37" s="601"/>
      <c r="F37" s="601"/>
      <c r="G37" s="601"/>
      <c r="H37" s="601"/>
      <c r="I37" s="601" t="s">
        <v>846</v>
      </c>
      <c r="J37" s="601"/>
      <c r="K37" s="602">
        <v>41817</v>
      </c>
      <c r="L37" s="601"/>
      <c r="M37" s="601" t="s">
        <v>880</v>
      </c>
      <c r="N37" s="601"/>
      <c r="O37" s="601" t="s">
        <v>847</v>
      </c>
      <c r="P37" s="601"/>
      <c r="Q37" s="601" t="s">
        <v>850</v>
      </c>
      <c r="R37" s="601"/>
      <c r="S37" s="601" t="s">
        <v>842</v>
      </c>
      <c r="T37" s="601"/>
      <c r="U37" s="601" t="s">
        <v>851</v>
      </c>
      <c r="V37" s="601"/>
      <c r="W37" s="603"/>
      <c r="X37" s="601"/>
      <c r="Y37" s="601" t="s">
        <v>852</v>
      </c>
      <c r="Z37" s="601"/>
      <c r="AA37" s="604">
        <v>5440.65</v>
      </c>
      <c r="AB37" s="601"/>
      <c r="AC37" s="604"/>
      <c r="AD37" s="601"/>
      <c r="AE37" s="604">
        <v>-33433.83</v>
      </c>
    </row>
    <row r="38" spans="1:31">
      <c r="A38" s="601"/>
      <c r="B38" s="601"/>
      <c r="C38" s="601"/>
      <c r="D38" s="601"/>
      <c r="E38" s="601"/>
      <c r="F38" s="601"/>
      <c r="G38" s="601"/>
      <c r="H38" s="601"/>
      <c r="I38" s="601" t="s">
        <v>846</v>
      </c>
      <c r="J38" s="601"/>
      <c r="K38" s="602">
        <v>41849</v>
      </c>
      <c r="L38" s="601"/>
      <c r="M38" s="601" t="s">
        <v>881</v>
      </c>
      <c r="N38" s="601"/>
      <c r="O38" s="601" t="s">
        <v>847</v>
      </c>
      <c r="P38" s="601"/>
      <c r="Q38" s="601" t="s">
        <v>850</v>
      </c>
      <c r="R38" s="601"/>
      <c r="S38" s="601" t="s">
        <v>842</v>
      </c>
      <c r="T38" s="601"/>
      <c r="U38" s="601" t="s">
        <v>851</v>
      </c>
      <c r="V38" s="601"/>
      <c r="W38" s="603"/>
      <c r="X38" s="601"/>
      <c r="Y38" s="601" t="s">
        <v>852</v>
      </c>
      <c r="Z38" s="601"/>
      <c r="AA38" s="604">
        <v>5126.7700000000004</v>
      </c>
      <c r="AB38" s="601"/>
      <c r="AC38" s="604"/>
      <c r="AD38" s="601"/>
      <c r="AE38" s="604">
        <v>-38560.6</v>
      </c>
    </row>
    <row r="39" spans="1:31">
      <c r="A39" s="601"/>
      <c r="B39" s="601"/>
      <c r="C39" s="601"/>
      <c r="D39" s="601"/>
      <c r="E39" s="601"/>
      <c r="F39" s="601"/>
      <c r="G39" s="601"/>
      <c r="H39" s="601"/>
      <c r="I39" s="601" t="s">
        <v>846</v>
      </c>
      <c r="J39" s="601"/>
      <c r="K39" s="602">
        <v>41873</v>
      </c>
      <c r="L39" s="601"/>
      <c r="M39" s="601" t="s">
        <v>882</v>
      </c>
      <c r="N39" s="601"/>
      <c r="O39" s="601" t="s">
        <v>847</v>
      </c>
      <c r="P39" s="601"/>
      <c r="Q39" s="601" t="s">
        <v>850</v>
      </c>
      <c r="R39" s="601"/>
      <c r="S39" s="601" t="s">
        <v>842</v>
      </c>
      <c r="T39" s="601"/>
      <c r="U39" s="601" t="s">
        <v>851</v>
      </c>
      <c r="V39" s="601"/>
      <c r="W39" s="603"/>
      <c r="X39" s="601"/>
      <c r="Y39" s="601" t="s">
        <v>852</v>
      </c>
      <c r="Z39" s="601"/>
      <c r="AA39" s="604">
        <v>6553.74</v>
      </c>
      <c r="AB39" s="601"/>
      <c r="AC39" s="604"/>
      <c r="AD39" s="601"/>
      <c r="AE39" s="604">
        <v>-45114.34</v>
      </c>
    </row>
    <row r="40" spans="1:31">
      <c r="A40" s="601"/>
      <c r="B40" s="601"/>
      <c r="C40" s="601"/>
      <c r="D40" s="601"/>
      <c r="E40" s="601"/>
      <c r="F40" s="601"/>
      <c r="G40" s="601"/>
      <c r="H40" s="601"/>
      <c r="I40" s="601" t="s">
        <v>846</v>
      </c>
      <c r="J40" s="601"/>
      <c r="K40" s="602">
        <v>41905</v>
      </c>
      <c r="L40" s="601"/>
      <c r="M40" s="601" t="s">
        <v>883</v>
      </c>
      <c r="N40" s="601"/>
      <c r="O40" s="601" t="s">
        <v>847</v>
      </c>
      <c r="P40" s="601"/>
      <c r="Q40" s="601" t="s">
        <v>850</v>
      </c>
      <c r="R40" s="601"/>
      <c r="S40" s="601" t="s">
        <v>842</v>
      </c>
      <c r="T40" s="601"/>
      <c r="U40" s="601" t="s">
        <v>851</v>
      </c>
      <c r="V40" s="601"/>
      <c r="W40" s="603"/>
      <c r="X40" s="601"/>
      <c r="Y40" s="601" t="s">
        <v>852</v>
      </c>
      <c r="Z40" s="601"/>
      <c r="AA40" s="604">
        <v>5937.18</v>
      </c>
      <c r="AB40" s="601"/>
      <c r="AC40" s="604"/>
      <c r="AD40" s="601"/>
      <c r="AE40" s="604">
        <v>-51051.519999999997</v>
      </c>
    </row>
    <row r="41" spans="1:31">
      <c r="A41" s="601"/>
      <c r="B41" s="601"/>
      <c r="C41" s="601"/>
      <c r="D41" s="601"/>
      <c r="E41" s="601"/>
      <c r="F41" s="601"/>
      <c r="G41" s="601"/>
      <c r="H41" s="601"/>
      <c r="I41" s="601" t="s">
        <v>846</v>
      </c>
      <c r="J41" s="601"/>
      <c r="K41" s="602">
        <v>41932</v>
      </c>
      <c r="L41" s="601"/>
      <c r="M41" s="601" t="s">
        <v>884</v>
      </c>
      <c r="N41" s="601"/>
      <c r="O41" s="601" t="s">
        <v>847</v>
      </c>
      <c r="P41" s="601"/>
      <c r="Q41" s="601" t="s">
        <v>850</v>
      </c>
      <c r="R41" s="601"/>
      <c r="S41" s="601" t="s">
        <v>842</v>
      </c>
      <c r="T41" s="601"/>
      <c r="U41" s="601" t="s">
        <v>851</v>
      </c>
      <c r="V41" s="601"/>
      <c r="W41" s="603"/>
      <c r="X41" s="601"/>
      <c r="Y41" s="601" t="s">
        <v>852</v>
      </c>
      <c r="Z41" s="601"/>
      <c r="AA41" s="604">
        <v>5086.8100000000004</v>
      </c>
      <c r="AB41" s="601"/>
      <c r="AC41" s="604"/>
      <c r="AD41" s="601"/>
      <c r="AE41" s="604">
        <v>-56138.33</v>
      </c>
    </row>
    <row r="42" spans="1:31">
      <c r="A42" s="601"/>
      <c r="B42" s="601"/>
      <c r="C42" s="601"/>
      <c r="D42" s="601"/>
      <c r="E42" s="601"/>
      <c r="F42" s="601"/>
      <c r="G42" s="601"/>
      <c r="H42" s="601"/>
      <c r="I42" s="601" t="s">
        <v>846</v>
      </c>
      <c r="J42" s="601"/>
      <c r="K42" s="602">
        <v>41967</v>
      </c>
      <c r="L42" s="601"/>
      <c r="M42" s="601" t="s">
        <v>885</v>
      </c>
      <c r="N42" s="601"/>
      <c r="O42" s="601" t="s">
        <v>847</v>
      </c>
      <c r="P42" s="601"/>
      <c r="Q42" s="601" t="s">
        <v>850</v>
      </c>
      <c r="R42" s="601"/>
      <c r="S42" s="601" t="s">
        <v>842</v>
      </c>
      <c r="T42" s="601"/>
      <c r="U42" s="601" t="s">
        <v>851</v>
      </c>
      <c r="V42" s="601"/>
      <c r="W42" s="603"/>
      <c r="X42" s="601"/>
      <c r="Y42" s="601" t="s">
        <v>852</v>
      </c>
      <c r="Z42" s="601"/>
      <c r="AA42" s="604">
        <v>4514.34</v>
      </c>
      <c r="AB42" s="601"/>
      <c r="AC42" s="604"/>
      <c r="AD42" s="601"/>
      <c r="AE42" s="604">
        <v>-60652.67</v>
      </c>
    </row>
    <row r="43" spans="1:31" ht="13.5" thickBot="1">
      <c r="A43" s="601"/>
      <c r="B43" s="601"/>
      <c r="C43" s="601"/>
      <c r="D43" s="601"/>
      <c r="E43" s="601"/>
      <c r="F43" s="601"/>
      <c r="G43" s="601"/>
      <c r="H43" s="601"/>
      <c r="I43" s="601" t="s">
        <v>846</v>
      </c>
      <c r="J43" s="601"/>
      <c r="K43" s="602">
        <v>41995</v>
      </c>
      <c r="L43" s="601"/>
      <c r="M43" s="601" t="s">
        <v>886</v>
      </c>
      <c r="N43" s="601"/>
      <c r="O43" s="601" t="s">
        <v>847</v>
      </c>
      <c r="P43" s="601"/>
      <c r="Q43" s="601" t="s">
        <v>850</v>
      </c>
      <c r="R43" s="601"/>
      <c r="S43" s="601" t="s">
        <v>842</v>
      </c>
      <c r="T43" s="601"/>
      <c r="U43" s="601" t="s">
        <v>851</v>
      </c>
      <c r="V43" s="601"/>
      <c r="W43" s="603"/>
      <c r="X43" s="601"/>
      <c r="Y43" s="601" t="s">
        <v>852</v>
      </c>
      <c r="Z43" s="601"/>
      <c r="AA43" s="605">
        <v>5242.22</v>
      </c>
      <c r="AB43" s="601"/>
      <c r="AC43" s="605"/>
      <c r="AD43" s="601"/>
      <c r="AE43" s="605">
        <v>-65894.89</v>
      </c>
    </row>
    <row r="44" spans="1:31" ht="13.5" thickBot="1">
      <c r="A44" s="601"/>
      <c r="B44" s="601"/>
      <c r="C44" s="601"/>
      <c r="D44" s="601" t="s">
        <v>843</v>
      </c>
      <c r="E44" s="601"/>
      <c r="F44" s="601"/>
      <c r="G44" s="601"/>
      <c r="H44" s="601"/>
      <c r="I44" s="601"/>
      <c r="J44" s="601"/>
      <c r="K44" s="602"/>
      <c r="L44" s="601"/>
      <c r="M44" s="601"/>
      <c r="N44" s="601"/>
      <c r="O44" s="601"/>
      <c r="P44" s="601"/>
      <c r="Q44" s="601"/>
      <c r="R44" s="601"/>
      <c r="S44" s="601"/>
      <c r="T44" s="601"/>
      <c r="U44" s="601"/>
      <c r="V44" s="601"/>
      <c r="W44" s="601"/>
      <c r="X44" s="601"/>
      <c r="Y44" s="601"/>
      <c r="Z44" s="601"/>
      <c r="AA44" s="606">
        <f>ROUND(SUM(AA31:AA43),5)</f>
        <v>65894.89</v>
      </c>
      <c r="AB44" s="601"/>
      <c r="AC44" s="606">
        <f>ROUND(SUM(AC31:AC43),5)</f>
        <v>0</v>
      </c>
      <c r="AD44" s="601"/>
      <c r="AE44" s="606">
        <f>AE43</f>
        <v>-65894.89</v>
      </c>
    </row>
    <row r="45" spans="1:31" ht="13.5" thickBot="1">
      <c r="A45" s="601"/>
      <c r="B45" s="601"/>
      <c r="C45" s="601" t="s">
        <v>844</v>
      </c>
      <c r="D45" s="601"/>
      <c r="E45" s="601"/>
      <c r="F45" s="601"/>
      <c r="G45" s="601"/>
      <c r="H45" s="601"/>
      <c r="I45" s="601"/>
      <c r="J45" s="601"/>
      <c r="K45" s="602"/>
      <c r="L45" s="601"/>
      <c r="M45" s="601"/>
      <c r="N45" s="601"/>
      <c r="O45" s="601"/>
      <c r="P45" s="601"/>
      <c r="Q45" s="601"/>
      <c r="R45" s="601"/>
      <c r="S45" s="601"/>
      <c r="T45" s="601"/>
      <c r="U45" s="601"/>
      <c r="V45" s="601"/>
      <c r="W45" s="601"/>
      <c r="X45" s="601"/>
      <c r="Y45" s="601"/>
      <c r="Z45" s="601"/>
      <c r="AA45" s="678">
        <f>ROUND(AA17+AA30+AA44,5)</f>
        <v>67591.259999999995</v>
      </c>
      <c r="AB45" s="601"/>
      <c r="AC45" s="678">
        <f>ROUND(AC17+AC30+AC44,5)</f>
        <v>0</v>
      </c>
      <c r="AD45" s="601"/>
      <c r="AE45" s="678">
        <f>ROUND(AE17+AE30+AE44,5)</f>
        <v>-67591.259999999995</v>
      </c>
    </row>
    <row r="46" spans="1:31">
      <c r="A46" s="601"/>
      <c r="B46" s="601" t="s">
        <v>845</v>
      </c>
      <c r="C46" s="601"/>
      <c r="D46" s="601"/>
      <c r="E46" s="601"/>
      <c r="F46" s="601"/>
      <c r="G46" s="601"/>
      <c r="H46" s="601"/>
      <c r="I46" s="601"/>
      <c r="J46" s="601"/>
      <c r="K46" s="602"/>
      <c r="L46" s="601"/>
      <c r="M46" s="601"/>
      <c r="N46" s="601"/>
      <c r="O46" s="601"/>
      <c r="P46" s="601"/>
      <c r="Q46" s="601"/>
      <c r="R46" s="601"/>
      <c r="S46" s="601"/>
      <c r="T46" s="601"/>
      <c r="U46" s="601"/>
      <c r="V46" s="601"/>
      <c r="W46" s="601"/>
      <c r="X46" s="601"/>
      <c r="Y46" s="601"/>
      <c r="Z46" s="601"/>
      <c r="AA46" s="604">
        <f>AA45</f>
        <v>67591.259999999995</v>
      </c>
      <c r="AB46" s="601"/>
      <c r="AC46" s="604">
        <f>AC45</f>
        <v>0</v>
      </c>
      <c r="AD46" s="601"/>
      <c r="AE46" s="604">
        <f>AE45</f>
        <v>-67591.259999999995</v>
      </c>
    </row>
    <row r="47" spans="1:31">
      <c r="A47" s="598"/>
      <c r="B47" s="598" t="s">
        <v>866</v>
      </c>
      <c r="C47" s="598"/>
      <c r="D47" s="598"/>
      <c r="E47" s="598"/>
      <c r="F47" s="598"/>
      <c r="G47" s="598"/>
      <c r="H47" s="598"/>
      <c r="I47" s="598"/>
      <c r="J47" s="598"/>
      <c r="K47" s="599"/>
      <c r="L47" s="598"/>
      <c r="M47" s="598"/>
      <c r="N47" s="598"/>
      <c r="O47" s="598"/>
      <c r="P47" s="598"/>
      <c r="Q47" s="598"/>
      <c r="R47" s="598"/>
      <c r="S47" s="598"/>
      <c r="T47" s="598"/>
      <c r="U47" s="598"/>
      <c r="V47" s="598"/>
      <c r="W47" s="598"/>
      <c r="X47" s="598"/>
      <c r="Y47" s="598"/>
      <c r="Z47" s="598"/>
      <c r="AA47" s="600"/>
      <c r="AB47" s="598"/>
      <c r="AC47" s="600"/>
      <c r="AD47" s="598"/>
      <c r="AE47" s="600"/>
    </row>
    <row r="48" spans="1:31">
      <c r="A48" s="598"/>
      <c r="B48" s="598"/>
      <c r="C48" s="598" t="s">
        <v>867</v>
      </c>
      <c r="D48" s="598"/>
      <c r="E48" s="598"/>
      <c r="F48" s="598"/>
      <c r="G48" s="598"/>
      <c r="H48" s="598"/>
      <c r="I48" s="598"/>
      <c r="J48" s="598"/>
      <c r="K48" s="599"/>
      <c r="L48" s="598"/>
      <c r="M48" s="598"/>
      <c r="N48" s="598"/>
      <c r="O48" s="598"/>
      <c r="P48" s="598"/>
      <c r="Q48" s="598"/>
      <c r="R48" s="598"/>
      <c r="S48" s="598"/>
      <c r="T48" s="598"/>
      <c r="U48" s="598"/>
      <c r="V48" s="598"/>
      <c r="W48" s="598"/>
      <c r="X48" s="598"/>
      <c r="Y48" s="598"/>
      <c r="Z48" s="598"/>
      <c r="AA48" s="600"/>
      <c r="AB48" s="598"/>
      <c r="AC48" s="600"/>
      <c r="AD48" s="598"/>
      <c r="AE48" s="600"/>
    </row>
    <row r="49" spans="1:31">
      <c r="A49" s="598"/>
      <c r="B49" s="598"/>
      <c r="C49" s="598"/>
      <c r="D49" s="598" t="s">
        <v>868</v>
      </c>
      <c r="E49" s="598"/>
      <c r="F49" s="598"/>
      <c r="G49" s="598"/>
      <c r="H49" s="598"/>
      <c r="I49" s="598"/>
      <c r="J49" s="598"/>
      <c r="K49" s="599"/>
      <c r="L49" s="598"/>
      <c r="M49" s="598"/>
      <c r="N49" s="598"/>
      <c r="O49" s="598"/>
      <c r="P49" s="598"/>
      <c r="Q49" s="598"/>
      <c r="R49" s="598"/>
      <c r="S49" s="598"/>
      <c r="T49" s="598"/>
      <c r="U49" s="598"/>
      <c r="V49" s="598"/>
      <c r="W49" s="598"/>
      <c r="X49" s="598"/>
      <c r="Y49" s="598"/>
      <c r="Z49" s="598"/>
      <c r="AA49" s="600"/>
      <c r="AB49" s="598"/>
      <c r="AC49" s="600"/>
      <c r="AD49" s="598"/>
      <c r="AE49" s="600"/>
    </row>
    <row r="50" spans="1:31">
      <c r="A50" s="598"/>
      <c r="B50" s="598"/>
      <c r="C50" s="598"/>
      <c r="D50" s="598"/>
      <c r="E50" s="598" t="s">
        <v>869</v>
      </c>
      <c r="F50" s="598"/>
      <c r="G50" s="598"/>
      <c r="H50" s="598"/>
      <c r="I50" s="598"/>
      <c r="J50" s="598"/>
      <c r="K50" s="599"/>
      <c r="L50" s="598"/>
      <c r="M50" s="598"/>
      <c r="N50" s="598"/>
      <c r="O50" s="598"/>
      <c r="P50" s="598"/>
      <c r="Q50" s="598"/>
      <c r="R50" s="598"/>
      <c r="S50" s="598"/>
      <c r="T50" s="598"/>
      <c r="U50" s="598"/>
      <c r="V50" s="598"/>
      <c r="W50" s="598"/>
      <c r="X50" s="598"/>
      <c r="Y50" s="598"/>
      <c r="Z50" s="598"/>
      <c r="AA50" s="600"/>
      <c r="AB50" s="598"/>
      <c r="AC50" s="600"/>
      <c r="AD50" s="598"/>
      <c r="AE50" s="600"/>
    </row>
    <row r="51" spans="1:31">
      <c r="A51" s="598"/>
      <c r="B51" s="598"/>
      <c r="C51" s="598"/>
      <c r="D51" s="598"/>
      <c r="E51" s="598"/>
      <c r="F51" s="598" t="s">
        <v>856</v>
      </c>
      <c r="G51" s="598"/>
      <c r="H51" s="598"/>
      <c r="I51" s="598"/>
      <c r="J51" s="598"/>
      <c r="K51" s="599"/>
      <c r="L51" s="598"/>
      <c r="M51" s="598"/>
      <c r="N51" s="598"/>
      <c r="O51" s="598"/>
      <c r="P51" s="598"/>
      <c r="Q51" s="598"/>
      <c r="R51" s="598"/>
      <c r="S51" s="598"/>
      <c r="T51" s="598"/>
      <c r="U51" s="598"/>
      <c r="V51" s="598"/>
      <c r="W51" s="598"/>
      <c r="X51" s="598"/>
      <c r="Y51" s="598"/>
      <c r="Z51" s="598"/>
      <c r="AA51" s="600"/>
      <c r="AB51" s="598"/>
      <c r="AC51" s="600"/>
      <c r="AD51" s="598"/>
      <c r="AE51" s="600"/>
    </row>
    <row r="52" spans="1:31">
      <c r="A52" s="601"/>
      <c r="B52" s="601"/>
      <c r="C52" s="601"/>
      <c r="D52" s="601"/>
      <c r="E52" s="601"/>
      <c r="F52" s="601"/>
      <c r="G52" s="601"/>
      <c r="H52" s="601"/>
      <c r="I52" s="601" t="s">
        <v>846</v>
      </c>
      <c r="J52" s="601"/>
      <c r="K52" s="602">
        <v>41698</v>
      </c>
      <c r="L52" s="601"/>
      <c r="M52" s="601" t="s">
        <v>876</v>
      </c>
      <c r="N52" s="601"/>
      <c r="O52" s="601" t="s">
        <v>847</v>
      </c>
      <c r="P52" s="601"/>
      <c r="Q52" s="601" t="s">
        <v>855</v>
      </c>
      <c r="R52" s="601"/>
      <c r="S52" s="601" t="s">
        <v>856</v>
      </c>
      <c r="T52" s="601"/>
      <c r="U52" s="601" t="s">
        <v>851</v>
      </c>
      <c r="V52" s="601"/>
      <c r="W52" s="603"/>
      <c r="X52" s="601"/>
      <c r="Y52" s="601" t="s">
        <v>852</v>
      </c>
      <c r="Z52" s="601"/>
      <c r="AA52" s="604"/>
      <c r="AB52" s="601"/>
      <c r="AC52" s="604">
        <v>188.19</v>
      </c>
      <c r="AD52" s="601"/>
      <c r="AE52" s="604">
        <v>188.19</v>
      </c>
    </row>
    <row r="53" spans="1:31">
      <c r="A53" s="601"/>
      <c r="B53" s="601"/>
      <c r="C53" s="601"/>
      <c r="D53" s="601"/>
      <c r="E53" s="601"/>
      <c r="F53" s="601"/>
      <c r="G53" s="601"/>
      <c r="H53" s="601"/>
      <c r="I53" s="601" t="s">
        <v>846</v>
      </c>
      <c r="J53" s="601"/>
      <c r="K53" s="602">
        <v>41719</v>
      </c>
      <c r="L53" s="601"/>
      <c r="M53" s="601" t="s">
        <v>877</v>
      </c>
      <c r="N53" s="601"/>
      <c r="O53" s="601" t="s">
        <v>847</v>
      </c>
      <c r="P53" s="601"/>
      <c r="Q53" s="601" t="s">
        <v>855</v>
      </c>
      <c r="R53" s="601"/>
      <c r="S53" s="601" t="s">
        <v>856</v>
      </c>
      <c r="T53" s="601"/>
      <c r="U53" s="601" t="s">
        <v>851</v>
      </c>
      <c r="V53" s="601"/>
      <c r="W53" s="603"/>
      <c r="X53" s="601"/>
      <c r="Y53" s="601" t="s">
        <v>852</v>
      </c>
      <c r="Z53" s="601"/>
      <c r="AA53" s="604"/>
      <c r="AB53" s="601"/>
      <c r="AC53" s="604">
        <v>165.7</v>
      </c>
      <c r="AD53" s="601"/>
      <c r="AE53" s="604">
        <v>353.89</v>
      </c>
    </row>
    <row r="54" spans="1:31">
      <c r="A54" s="601"/>
      <c r="B54" s="601"/>
      <c r="C54" s="601"/>
      <c r="D54" s="601"/>
      <c r="E54" s="601"/>
      <c r="F54" s="601"/>
      <c r="G54" s="601"/>
      <c r="H54" s="601"/>
      <c r="I54" s="601" t="s">
        <v>846</v>
      </c>
      <c r="J54" s="601"/>
      <c r="K54" s="602">
        <v>41757</v>
      </c>
      <c r="L54" s="601"/>
      <c r="M54" s="601" t="s">
        <v>878</v>
      </c>
      <c r="N54" s="601"/>
      <c r="O54" s="601" t="s">
        <v>847</v>
      </c>
      <c r="P54" s="601"/>
      <c r="Q54" s="601" t="s">
        <v>855</v>
      </c>
      <c r="R54" s="601"/>
      <c r="S54" s="601" t="s">
        <v>856</v>
      </c>
      <c r="T54" s="601"/>
      <c r="U54" s="601" t="s">
        <v>851</v>
      </c>
      <c r="V54" s="601"/>
      <c r="W54" s="603"/>
      <c r="X54" s="601"/>
      <c r="Y54" s="601" t="s">
        <v>852</v>
      </c>
      <c r="Z54" s="601"/>
      <c r="AA54" s="604"/>
      <c r="AB54" s="601"/>
      <c r="AC54" s="604">
        <v>178.31</v>
      </c>
      <c r="AD54" s="601"/>
      <c r="AE54" s="604">
        <v>532.20000000000005</v>
      </c>
    </row>
    <row r="55" spans="1:31">
      <c r="A55" s="601"/>
      <c r="B55" s="601"/>
      <c r="C55" s="601"/>
      <c r="D55" s="601"/>
      <c r="E55" s="601"/>
      <c r="F55" s="601"/>
      <c r="G55" s="601"/>
      <c r="H55" s="601"/>
      <c r="I55" s="601" t="s">
        <v>846</v>
      </c>
      <c r="J55" s="601"/>
      <c r="K55" s="602">
        <v>41787</v>
      </c>
      <c r="L55" s="601"/>
      <c r="M55" s="601" t="s">
        <v>879</v>
      </c>
      <c r="N55" s="601"/>
      <c r="O55" s="601" t="s">
        <v>847</v>
      </c>
      <c r="P55" s="601"/>
      <c r="Q55" s="601" t="s">
        <v>855</v>
      </c>
      <c r="R55" s="601"/>
      <c r="S55" s="601" t="s">
        <v>856</v>
      </c>
      <c r="T55" s="601"/>
      <c r="U55" s="601" t="s">
        <v>851</v>
      </c>
      <c r="V55" s="601"/>
      <c r="W55" s="603"/>
      <c r="X55" s="601"/>
      <c r="Y55" s="601" t="s">
        <v>852</v>
      </c>
      <c r="Z55" s="601"/>
      <c r="AA55" s="604"/>
      <c r="AB55" s="601"/>
      <c r="AC55" s="604">
        <v>139.49</v>
      </c>
      <c r="AD55" s="601"/>
      <c r="AE55" s="604">
        <v>671.69</v>
      </c>
    </row>
    <row r="56" spans="1:31">
      <c r="A56" s="601"/>
      <c r="B56" s="601"/>
      <c r="C56" s="601"/>
      <c r="D56" s="601"/>
      <c r="E56" s="601"/>
      <c r="F56" s="601"/>
      <c r="G56" s="601"/>
      <c r="H56" s="601"/>
      <c r="I56" s="601" t="s">
        <v>846</v>
      </c>
      <c r="J56" s="601"/>
      <c r="K56" s="602">
        <v>41817</v>
      </c>
      <c r="L56" s="601"/>
      <c r="M56" s="601" t="s">
        <v>880</v>
      </c>
      <c r="N56" s="601"/>
      <c r="O56" s="601" t="s">
        <v>847</v>
      </c>
      <c r="P56" s="601"/>
      <c r="Q56" s="601" t="s">
        <v>855</v>
      </c>
      <c r="R56" s="601"/>
      <c r="S56" s="601" t="s">
        <v>856</v>
      </c>
      <c r="T56" s="601"/>
      <c r="U56" s="601" t="s">
        <v>851</v>
      </c>
      <c r="V56" s="601"/>
      <c r="W56" s="603"/>
      <c r="X56" s="601"/>
      <c r="Y56" s="601" t="s">
        <v>852</v>
      </c>
      <c r="Z56" s="601"/>
      <c r="AA56" s="604"/>
      <c r="AB56" s="601"/>
      <c r="AC56" s="604">
        <v>168.55</v>
      </c>
      <c r="AD56" s="601"/>
      <c r="AE56" s="604">
        <v>840.24</v>
      </c>
    </row>
    <row r="57" spans="1:31">
      <c r="A57" s="601"/>
      <c r="B57" s="601"/>
      <c r="C57" s="601"/>
      <c r="D57" s="601"/>
      <c r="E57" s="601"/>
      <c r="F57" s="601"/>
      <c r="G57" s="601"/>
      <c r="H57" s="601"/>
      <c r="I57" s="601" t="s">
        <v>846</v>
      </c>
      <c r="J57" s="601"/>
      <c r="K57" s="602">
        <v>41849</v>
      </c>
      <c r="L57" s="601"/>
      <c r="M57" s="601" t="s">
        <v>881</v>
      </c>
      <c r="N57" s="601"/>
      <c r="O57" s="601" t="s">
        <v>847</v>
      </c>
      <c r="P57" s="601"/>
      <c r="Q57" s="601" t="s">
        <v>855</v>
      </c>
      <c r="R57" s="601"/>
      <c r="S57" s="601" t="s">
        <v>856</v>
      </c>
      <c r="T57" s="601"/>
      <c r="U57" s="601" t="s">
        <v>851</v>
      </c>
      <c r="V57" s="601"/>
      <c r="W57" s="603"/>
      <c r="X57" s="601"/>
      <c r="Y57" s="601" t="s">
        <v>852</v>
      </c>
      <c r="Z57" s="601"/>
      <c r="AA57" s="604"/>
      <c r="AB57" s="601"/>
      <c r="AC57" s="604">
        <v>158.9</v>
      </c>
      <c r="AD57" s="601"/>
      <c r="AE57" s="604">
        <v>999.14</v>
      </c>
    </row>
    <row r="58" spans="1:31">
      <c r="A58" s="601"/>
      <c r="B58" s="601"/>
      <c r="C58" s="601"/>
      <c r="D58" s="601"/>
      <c r="E58" s="601"/>
      <c r="F58" s="601"/>
      <c r="G58" s="601"/>
      <c r="H58" s="601"/>
      <c r="I58" s="601" t="s">
        <v>846</v>
      </c>
      <c r="J58" s="601"/>
      <c r="K58" s="602">
        <v>41873</v>
      </c>
      <c r="L58" s="601"/>
      <c r="M58" s="601" t="s">
        <v>882</v>
      </c>
      <c r="N58" s="601"/>
      <c r="O58" s="601" t="s">
        <v>847</v>
      </c>
      <c r="P58" s="601"/>
      <c r="Q58" s="601" t="s">
        <v>855</v>
      </c>
      <c r="R58" s="601"/>
      <c r="S58" s="601" t="s">
        <v>856</v>
      </c>
      <c r="T58" s="601"/>
      <c r="U58" s="601" t="s">
        <v>851</v>
      </c>
      <c r="V58" s="601"/>
      <c r="W58" s="603"/>
      <c r="X58" s="601"/>
      <c r="Y58" s="601" t="s">
        <v>852</v>
      </c>
      <c r="Z58" s="601"/>
      <c r="AA58" s="604"/>
      <c r="AB58" s="601"/>
      <c r="AC58" s="604">
        <v>202.96</v>
      </c>
      <c r="AD58" s="601"/>
      <c r="AE58" s="604">
        <v>1202.0999999999999</v>
      </c>
    </row>
    <row r="59" spans="1:31">
      <c r="A59" s="601"/>
      <c r="B59" s="601"/>
      <c r="C59" s="601"/>
      <c r="D59" s="601"/>
      <c r="E59" s="601"/>
      <c r="F59" s="601"/>
      <c r="G59" s="601"/>
      <c r="H59" s="601"/>
      <c r="I59" s="601" t="s">
        <v>846</v>
      </c>
      <c r="J59" s="601"/>
      <c r="K59" s="602">
        <v>41905</v>
      </c>
      <c r="L59" s="601"/>
      <c r="M59" s="601" t="s">
        <v>883</v>
      </c>
      <c r="N59" s="601"/>
      <c r="O59" s="601" t="s">
        <v>847</v>
      </c>
      <c r="P59" s="601"/>
      <c r="Q59" s="601" t="s">
        <v>855</v>
      </c>
      <c r="R59" s="601"/>
      <c r="S59" s="601" t="s">
        <v>856</v>
      </c>
      <c r="T59" s="601"/>
      <c r="U59" s="601" t="s">
        <v>851</v>
      </c>
      <c r="V59" s="601"/>
      <c r="W59" s="603"/>
      <c r="X59" s="601"/>
      <c r="Y59" s="601" t="s">
        <v>852</v>
      </c>
      <c r="Z59" s="601"/>
      <c r="AA59" s="604"/>
      <c r="AB59" s="601"/>
      <c r="AC59" s="604">
        <v>183.67</v>
      </c>
      <c r="AD59" s="601"/>
      <c r="AE59" s="604">
        <v>1385.77</v>
      </c>
    </row>
    <row r="60" spans="1:31">
      <c r="A60" s="601"/>
      <c r="B60" s="601"/>
      <c r="C60" s="601"/>
      <c r="D60" s="601"/>
      <c r="E60" s="601"/>
      <c r="F60" s="601"/>
      <c r="G60" s="601"/>
      <c r="H60" s="601"/>
      <c r="I60" s="601" t="s">
        <v>846</v>
      </c>
      <c r="J60" s="601"/>
      <c r="K60" s="602">
        <v>41932</v>
      </c>
      <c r="L60" s="601"/>
      <c r="M60" s="601" t="s">
        <v>884</v>
      </c>
      <c r="N60" s="601"/>
      <c r="O60" s="601" t="s">
        <v>847</v>
      </c>
      <c r="P60" s="601"/>
      <c r="Q60" s="601" t="s">
        <v>855</v>
      </c>
      <c r="R60" s="601"/>
      <c r="S60" s="601" t="s">
        <v>856</v>
      </c>
      <c r="T60" s="601"/>
      <c r="U60" s="601" t="s">
        <v>851</v>
      </c>
      <c r="V60" s="601"/>
      <c r="W60" s="603"/>
      <c r="X60" s="601"/>
      <c r="Y60" s="601" t="s">
        <v>852</v>
      </c>
      <c r="Z60" s="601"/>
      <c r="AA60" s="604"/>
      <c r="AB60" s="601"/>
      <c r="AC60" s="604">
        <v>156.22999999999999</v>
      </c>
      <c r="AD60" s="601"/>
      <c r="AE60" s="604">
        <v>1542</v>
      </c>
    </row>
    <row r="61" spans="1:31">
      <c r="A61" s="601"/>
      <c r="B61" s="601"/>
      <c r="C61" s="601"/>
      <c r="D61" s="601"/>
      <c r="E61" s="601"/>
      <c r="F61" s="601"/>
      <c r="G61" s="601"/>
      <c r="H61" s="601"/>
      <c r="I61" s="601" t="s">
        <v>846</v>
      </c>
      <c r="J61" s="601"/>
      <c r="K61" s="602">
        <v>41967</v>
      </c>
      <c r="L61" s="601"/>
      <c r="M61" s="601" t="s">
        <v>885</v>
      </c>
      <c r="N61" s="601"/>
      <c r="O61" s="601" t="s">
        <v>847</v>
      </c>
      <c r="P61" s="601"/>
      <c r="Q61" s="601" t="s">
        <v>855</v>
      </c>
      <c r="R61" s="601"/>
      <c r="S61" s="601" t="s">
        <v>856</v>
      </c>
      <c r="T61" s="601"/>
      <c r="U61" s="601" t="s">
        <v>851</v>
      </c>
      <c r="V61" s="601"/>
      <c r="W61" s="603"/>
      <c r="X61" s="601"/>
      <c r="Y61" s="601" t="s">
        <v>852</v>
      </c>
      <c r="Z61" s="601"/>
      <c r="AA61" s="604"/>
      <c r="AB61" s="601"/>
      <c r="AC61" s="604">
        <v>138.71</v>
      </c>
      <c r="AD61" s="601"/>
      <c r="AE61" s="604">
        <v>1680.71</v>
      </c>
    </row>
    <row r="62" spans="1:31" ht="13.5" thickBot="1">
      <c r="A62" s="601"/>
      <c r="B62" s="601"/>
      <c r="C62" s="601"/>
      <c r="D62" s="601"/>
      <c r="E62" s="601"/>
      <c r="F62" s="601"/>
      <c r="G62" s="601"/>
      <c r="H62" s="601"/>
      <c r="I62" s="601" t="s">
        <v>846</v>
      </c>
      <c r="J62" s="601"/>
      <c r="K62" s="602">
        <v>41995</v>
      </c>
      <c r="L62" s="601"/>
      <c r="M62" s="601" t="s">
        <v>886</v>
      </c>
      <c r="N62" s="601"/>
      <c r="O62" s="601" t="s">
        <v>847</v>
      </c>
      <c r="P62" s="601"/>
      <c r="Q62" s="601" t="s">
        <v>855</v>
      </c>
      <c r="R62" s="601"/>
      <c r="S62" s="601" t="s">
        <v>856</v>
      </c>
      <c r="T62" s="601"/>
      <c r="U62" s="601" t="s">
        <v>851</v>
      </c>
      <c r="V62" s="601"/>
      <c r="W62" s="603"/>
      <c r="X62" s="601"/>
      <c r="Y62" s="601" t="s">
        <v>852</v>
      </c>
      <c r="Z62" s="601"/>
      <c r="AA62" s="605"/>
      <c r="AB62" s="601"/>
      <c r="AC62" s="605">
        <v>159.87</v>
      </c>
      <c r="AD62" s="601"/>
      <c r="AE62" s="605">
        <v>1840.58</v>
      </c>
    </row>
    <row r="63" spans="1:31" ht="13.5" thickBot="1">
      <c r="A63" s="601"/>
      <c r="B63" s="601"/>
      <c r="C63" s="601"/>
      <c r="D63" s="601"/>
      <c r="E63" s="601"/>
      <c r="F63" s="601" t="s">
        <v>870</v>
      </c>
      <c r="G63" s="601"/>
      <c r="H63" s="601"/>
      <c r="I63" s="601"/>
      <c r="J63" s="601"/>
      <c r="K63" s="602"/>
      <c r="L63" s="601"/>
      <c r="M63" s="601"/>
      <c r="N63" s="601"/>
      <c r="O63" s="601"/>
      <c r="P63" s="601"/>
      <c r="Q63" s="601"/>
      <c r="R63" s="601"/>
      <c r="S63" s="601"/>
      <c r="T63" s="601"/>
      <c r="U63" s="601"/>
      <c r="V63" s="601"/>
      <c r="W63" s="601"/>
      <c r="X63" s="601"/>
      <c r="Y63" s="601"/>
      <c r="Z63" s="601"/>
      <c r="AA63" s="606">
        <f>ROUND(SUM(AA51:AA62),5)</f>
        <v>0</v>
      </c>
      <c r="AB63" s="601"/>
      <c r="AC63" s="606">
        <f>ROUND(SUM(AC51:AC62),5)</f>
        <v>1840.58</v>
      </c>
      <c r="AD63" s="601"/>
      <c r="AE63" s="606">
        <f>AE62</f>
        <v>1840.58</v>
      </c>
    </row>
    <row r="64" spans="1:31" ht="13.5" thickBot="1">
      <c r="A64" s="601"/>
      <c r="B64" s="601"/>
      <c r="C64" s="601"/>
      <c r="D64" s="601"/>
      <c r="E64" s="601" t="s">
        <v>871</v>
      </c>
      <c r="F64" s="601"/>
      <c r="G64" s="601"/>
      <c r="H64" s="601"/>
      <c r="I64" s="601"/>
      <c r="J64" s="601"/>
      <c r="K64" s="602"/>
      <c r="L64" s="601"/>
      <c r="M64" s="601"/>
      <c r="N64" s="601"/>
      <c r="O64" s="601"/>
      <c r="P64" s="601"/>
      <c r="Q64" s="601"/>
      <c r="R64" s="601"/>
      <c r="S64" s="601"/>
      <c r="T64" s="601"/>
      <c r="U64" s="601"/>
      <c r="V64" s="601"/>
      <c r="W64" s="601"/>
      <c r="X64" s="601"/>
      <c r="Y64" s="601"/>
      <c r="Z64" s="601"/>
      <c r="AA64" s="606">
        <f>AA63</f>
        <v>0</v>
      </c>
      <c r="AB64" s="601"/>
      <c r="AC64" s="606">
        <f>AC63</f>
        <v>1840.58</v>
      </c>
      <c r="AD64" s="601"/>
      <c r="AE64" s="606">
        <f>AE63</f>
        <v>1840.58</v>
      </c>
    </row>
    <row r="65" spans="1:31" ht="13.5" thickBot="1">
      <c r="A65" s="601"/>
      <c r="B65" s="601"/>
      <c r="C65" s="601"/>
      <c r="D65" s="601" t="s">
        <v>872</v>
      </c>
      <c r="E65" s="601"/>
      <c r="F65" s="601"/>
      <c r="G65" s="601"/>
      <c r="H65" s="601"/>
      <c r="I65" s="601"/>
      <c r="J65" s="601"/>
      <c r="K65" s="602"/>
      <c r="L65" s="601"/>
      <c r="M65" s="601"/>
      <c r="N65" s="601"/>
      <c r="O65" s="601"/>
      <c r="P65" s="601"/>
      <c r="Q65" s="601"/>
      <c r="R65" s="601"/>
      <c r="S65" s="601"/>
      <c r="T65" s="601"/>
      <c r="U65" s="601"/>
      <c r="V65" s="601"/>
      <c r="W65" s="601"/>
      <c r="X65" s="601"/>
      <c r="Y65" s="601"/>
      <c r="Z65" s="601"/>
      <c r="AA65" s="606">
        <f>AA64</f>
        <v>0</v>
      </c>
      <c r="AB65" s="601"/>
      <c r="AC65" s="606">
        <f>AC64</f>
        <v>1840.58</v>
      </c>
      <c r="AD65" s="601"/>
      <c r="AE65" s="606">
        <f>AE64</f>
        <v>1840.58</v>
      </c>
    </row>
    <row r="66" spans="1:31" s="608" customFormat="1" ht="12" thickBot="1">
      <c r="A66" s="601"/>
      <c r="B66" s="601"/>
      <c r="C66" s="601" t="s">
        <v>873</v>
      </c>
      <c r="D66" s="601"/>
      <c r="E66" s="601"/>
      <c r="F66" s="601"/>
      <c r="G66" s="601"/>
      <c r="H66" s="601"/>
      <c r="I66" s="601"/>
      <c r="J66" s="601"/>
      <c r="K66" s="602"/>
      <c r="L66" s="601"/>
      <c r="M66" s="601"/>
      <c r="N66" s="601"/>
      <c r="O66" s="601"/>
      <c r="P66" s="601"/>
      <c r="Q66" s="601"/>
      <c r="R66" s="601"/>
      <c r="S66" s="601"/>
      <c r="T66" s="601"/>
      <c r="U66" s="601"/>
      <c r="V66" s="601"/>
      <c r="W66" s="601"/>
      <c r="X66" s="601"/>
      <c r="Y66" s="601"/>
      <c r="Z66" s="601"/>
      <c r="AA66" s="606">
        <f>AA65</f>
        <v>0</v>
      </c>
      <c r="AB66" s="601"/>
      <c r="AC66" s="606">
        <f>AC65</f>
        <v>1840.58</v>
      </c>
      <c r="AD66" s="601"/>
      <c r="AE66" s="606">
        <f>AE65</f>
        <v>1840.58</v>
      </c>
    </row>
    <row r="67" spans="1:31" ht="13.5" thickBot="1">
      <c r="A67" s="601"/>
      <c r="B67" s="601" t="s">
        <v>874</v>
      </c>
      <c r="C67" s="601"/>
      <c r="D67" s="601"/>
      <c r="E67" s="601"/>
      <c r="F67" s="601"/>
      <c r="G67" s="601"/>
      <c r="H67" s="601"/>
      <c r="I67" s="601"/>
      <c r="J67" s="601"/>
      <c r="K67" s="602"/>
      <c r="L67" s="601"/>
      <c r="M67" s="601"/>
      <c r="N67" s="601"/>
      <c r="O67" s="601"/>
      <c r="P67" s="601"/>
      <c r="Q67" s="601"/>
      <c r="R67" s="601"/>
      <c r="S67" s="601"/>
      <c r="T67" s="601"/>
      <c r="U67" s="601"/>
      <c r="V67" s="601"/>
      <c r="W67" s="601"/>
      <c r="X67" s="601"/>
      <c r="Y67" s="601"/>
      <c r="Z67" s="601"/>
      <c r="AA67" s="606">
        <f>AA66</f>
        <v>0</v>
      </c>
      <c r="AB67" s="601"/>
      <c r="AC67" s="606">
        <f>AC66</f>
        <v>1840.58</v>
      </c>
      <c r="AD67" s="601"/>
      <c r="AE67" s="606">
        <f>AE66</f>
        <v>1840.58</v>
      </c>
    </row>
    <row r="68" spans="1:31" s="608" customFormat="1" ht="12" thickBot="1">
      <c r="A68" s="598" t="s">
        <v>791</v>
      </c>
      <c r="B68" s="598"/>
      <c r="C68" s="598"/>
      <c r="D68" s="598"/>
      <c r="E68" s="598"/>
      <c r="F68" s="598"/>
      <c r="G68" s="598"/>
      <c r="H68" s="598"/>
      <c r="I68" s="598"/>
      <c r="J68" s="598"/>
      <c r="K68" s="599"/>
      <c r="L68" s="598"/>
      <c r="M68" s="598"/>
      <c r="N68" s="598"/>
      <c r="O68" s="598"/>
      <c r="P68" s="598"/>
      <c r="Q68" s="598"/>
      <c r="R68" s="598"/>
      <c r="S68" s="598"/>
      <c r="T68" s="598"/>
      <c r="U68" s="598"/>
      <c r="V68" s="598"/>
      <c r="W68" s="598"/>
      <c r="X68" s="598"/>
      <c r="Y68" s="598"/>
      <c r="Z68" s="598"/>
      <c r="AA68" s="607">
        <f>ROUND(AA46+AA67,5)</f>
        <v>67591.259999999995</v>
      </c>
      <c r="AB68" s="598"/>
      <c r="AC68" s="607">
        <f>ROUND(AC46+AC67,5)</f>
        <v>1840.58</v>
      </c>
      <c r="AD68" s="598"/>
      <c r="AE68" s="607">
        <f>ROUND(AE46+AE67,5)</f>
        <v>-65750.679999999993</v>
      </c>
    </row>
    <row r="69" spans="1:31" ht="13.5" thickTop="1"/>
  </sheetData>
  <pageMargins left="0.7" right="0.7" top="0.75" bottom="0.75" header="0.1" footer="0.3"/>
  <pageSetup orientation="portrait" r:id="rId1"/>
  <headerFooter>
    <oddHeader>&amp;L&amp;"Arial,Bold"&amp;8 4:16 PM
&amp;"Arial,Bold"&amp;8 02/11/16
&amp;"Arial,Bold"&amp;8 Accrual Basis&amp;C&amp;"Arial,Bold"&amp;12 CENTRAL MUNICIPAL POWER AGENCY AND SERVICES
&amp;"Arial,Bold"&amp;14 Custom Transaction Detail Report
&amp;"Arial,Bold"&amp;10 January through December 2014</oddHeader>
    <oddFooter>&amp;R&amp;"Arial,Bold"&amp;8 Page &amp;P of &amp;N</oddFooter>
  </headerFooter>
  <drawing r:id="rId2"/>
  <legacyDrawing r:id="rId3"/>
  <controls>
    <mc:AlternateContent xmlns:mc="http://schemas.openxmlformats.org/markup-compatibility/2006">
      <mc:Choice Requires="x14">
        <control shapeId="2054" r:id="rId4" name="HEADER">
          <controlPr defaultSize="0" autoLine="0" r:id="rId5">
            <anchor moveWithCells="1">
              <from>
                <xdr:col>0</xdr:col>
                <xdr:colOff>0</xdr:colOff>
                <xdr:row>0</xdr:row>
                <xdr:rowOff>0</xdr:rowOff>
              </from>
              <to>
                <xdr:col>4</xdr:col>
                <xdr:colOff>114300</xdr:colOff>
                <xdr:row>1</xdr:row>
                <xdr:rowOff>57150</xdr:rowOff>
              </to>
            </anchor>
          </controlPr>
        </control>
      </mc:Choice>
      <mc:Fallback>
        <control shapeId="2054" r:id="rId4" name="HEADER"/>
      </mc:Fallback>
    </mc:AlternateContent>
    <mc:AlternateContent xmlns:mc="http://schemas.openxmlformats.org/markup-compatibility/2006">
      <mc:Choice Requires="x14">
        <control shapeId="2053" r:id="rId6" name="FILTER">
          <controlPr defaultSize="0" autoLine="0" r:id="rId7">
            <anchor moveWithCells="1">
              <from>
                <xdr:col>0</xdr:col>
                <xdr:colOff>0</xdr:colOff>
                <xdr:row>0</xdr:row>
                <xdr:rowOff>0</xdr:rowOff>
              </from>
              <to>
                <xdr:col>4</xdr:col>
                <xdr:colOff>114300</xdr:colOff>
                <xdr:row>1</xdr:row>
                <xdr:rowOff>57150</xdr:rowOff>
              </to>
            </anchor>
          </controlPr>
        </control>
      </mc:Choice>
      <mc:Fallback>
        <control shapeId="2053" r:id="rId6" name="FILTER"/>
      </mc:Fallback>
    </mc:AlternateContent>
  </control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7" workbookViewId="0">
      <selection activeCell="C13" sqref="C13"/>
    </sheetView>
  </sheetViews>
  <sheetFormatPr defaultRowHeight="12.75"/>
  <cols>
    <col min="1" max="1" width="6.7109375" customWidth="1"/>
    <col min="2" max="2" width="77.140625" customWidth="1"/>
    <col min="3" max="3" width="16.7109375" style="510" customWidth="1"/>
    <col min="5" max="5" width="13" customWidth="1"/>
  </cols>
  <sheetData>
    <row r="1" spans="1:6" ht="15">
      <c r="A1" s="747" t="str">
        <f>'EIA 412 BALANCE SHEET'!A1:F1</f>
        <v>Elk River</v>
      </c>
      <c r="B1" s="747"/>
      <c r="C1" s="747"/>
      <c r="D1" s="488"/>
      <c r="E1" s="488"/>
      <c r="F1" s="488"/>
    </row>
    <row r="2" spans="1:6" ht="15">
      <c r="A2" s="744" t="s">
        <v>148</v>
      </c>
      <c r="B2" s="744"/>
      <c r="C2" s="744"/>
      <c r="D2" s="488"/>
      <c r="E2" s="488"/>
      <c r="F2" s="488"/>
    </row>
    <row r="3" spans="1:6" ht="15">
      <c r="A3" s="747">
        <f>'EIA 412 BALANCE SHEET'!A3:F3</f>
        <v>42004</v>
      </c>
      <c r="B3" s="747"/>
      <c r="C3" s="747"/>
      <c r="D3" s="489"/>
      <c r="E3" s="489"/>
      <c r="F3" s="489"/>
    </row>
    <row r="4" spans="1:6">
      <c r="A4" s="490"/>
      <c r="B4" s="490"/>
      <c r="C4" s="491"/>
      <c r="D4" s="490"/>
      <c r="E4" s="490"/>
      <c r="F4" s="490"/>
    </row>
    <row r="5" spans="1:6" ht="15">
      <c r="A5" s="746" t="s">
        <v>258</v>
      </c>
      <c r="B5" s="746"/>
      <c r="C5" s="746"/>
      <c r="D5" s="492"/>
      <c r="E5" s="492"/>
      <c r="F5" s="492"/>
    </row>
    <row r="6" spans="1:6">
      <c r="A6" s="493" t="s">
        <v>671</v>
      </c>
      <c r="B6" s="493"/>
      <c r="C6" s="494" t="s">
        <v>674</v>
      </c>
    </row>
    <row r="7" spans="1:6">
      <c r="A7" s="495" t="s">
        <v>673</v>
      </c>
      <c r="B7" s="495"/>
      <c r="C7" s="496" t="s">
        <v>152</v>
      </c>
    </row>
    <row r="8" spans="1:6">
      <c r="A8" s="430">
        <v>1</v>
      </c>
      <c r="B8" s="495" t="s">
        <v>259</v>
      </c>
      <c r="C8" s="497">
        <f>30411069</f>
        <v>30411069</v>
      </c>
    </row>
    <row r="9" spans="1:6">
      <c r="A9" s="430">
        <v>2</v>
      </c>
      <c r="B9" s="495" t="s">
        <v>260</v>
      </c>
      <c r="C9" s="498">
        <f>'EIA 412 OP &amp; MAINT'!C31+'EIA 412 OP &amp; MAINT'!D31</f>
        <v>27656418.522050001</v>
      </c>
    </row>
    <row r="10" spans="1:6">
      <c r="A10" s="430">
        <v>3</v>
      </c>
      <c r="B10" s="495" t="s">
        <v>261</v>
      </c>
      <c r="C10" s="498">
        <f>'EIA 412 OP &amp; MAINT'!E31</f>
        <v>605890.47794999997</v>
      </c>
    </row>
    <row r="11" spans="1:6">
      <c r="A11" s="499">
        <v>4</v>
      </c>
      <c r="B11" s="500" t="s">
        <v>262</v>
      </c>
      <c r="C11" s="501">
        <f>'EIA 412 ELECTRIC PLANT'!J21</f>
        <v>1914062</v>
      </c>
      <c r="E11" s="471"/>
    </row>
    <row r="12" spans="1:6">
      <c r="A12" s="430">
        <v>5</v>
      </c>
      <c r="B12" s="495" t="s">
        <v>263</v>
      </c>
      <c r="C12" s="497">
        <v>0</v>
      </c>
      <c r="E12" s="471"/>
    </row>
    <row r="13" spans="1:6">
      <c r="A13" s="430">
        <v>6</v>
      </c>
      <c r="B13" s="495" t="s">
        <v>264</v>
      </c>
      <c r="C13" s="498">
        <f>'EIA 412 TAXES'!C18</f>
        <v>797835</v>
      </c>
      <c r="E13" s="518"/>
    </row>
    <row r="14" spans="1:6">
      <c r="A14" s="430">
        <v>7</v>
      </c>
      <c r="B14" s="495" t="s">
        <v>265</v>
      </c>
      <c r="C14" s="498">
        <f>SUM(C9:C13)</f>
        <v>30974206</v>
      </c>
      <c r="E14" s="471"/>
    </row>
    <row r="15" spans="1:6">
      <c r="A15" s="499">
        <v>8</v>
      </c>
      <c r="B15" s="502" t="s">
        <v>266</v>
      </c>
      <c r="C15" s="503">
        <f>+C8-C14</f>
        <v>-563137</v>
      </c>
      <c r="E15" s="471"/>
    </row>
    <row r="16" spans="1:6">
      <c r="A16" s="430">
        <v>9</v>
      </c>
      <c r="B16" s="495" t="s">
        <v>267</v>
      </c>
      <c r="C16" s="504">
        <v>0</v>
      </c>
      <c r="E16" s="471"/>
    </row>
    <row r="17" spans="1:10">
      <c r="A17" s="430">
        <v>10</v>
      </c>
      <c r="B17" s="495" t="s">
        <v>268</v>
      </c>
      <c r="C17" s="498">
        <f>+C16+C15</f>
        <v>-563137</v>
      </c>
      <c r="E17" s="518"/>
    </row>
    <row r="18" spans="1:10" ht="25.5">
      <c r="A18" s="430">
        <v>11</v>
      </c>
      <c r="B18" s="505" t="s">
        <v>269</v>
      </c>
      <c r="C18" s="497">
        <f>241919+1103177+149911+244857+98442+229532+29525+14849</f>
        <v>2112212</v>
      </c>
    </row>
    <row r="19" spans="1:10">
      <c r="A19" s="430">
        <v>12</v>
      </c>
      <c r="B19" s="495" t="s">
        <v>270</v>
      </c>
      <c r="C19" s="504">
        <f>44850</f>
        <v>44850</v>
      </c>
    </row>
    <row r="20" spans="1:10">
      <c r="A20" s="430">
        <v>13</v>
      </c>
      <c r="B20" s="495" t="s">
        <v>271</v>
      </c>
      <c r="C20" s="504">
        <v>0</v>
      </c>
    </row>
    <row r="21" spans="1:10">
      <c r="A21" s="430">
        <v>14</v>
      </c>
      <c r="B21" s="495" t="s">
        <v>272</v>
      </c>
      <c r="C21" s="504">
        <v>0</v>
      </c>
    </row>
    <row r="22" spans="1:10">
      <c r="A22" s="430">
        <v>15</v>
      </c>
      <c r="B22" s="506" t="s">
        <v>273</v>
      </c>
      <c r="C22" s="498">
        <f>+C17+C18-C19+C20-C21</f>
        <v>1504225</v>
      </c>
    </row>
    <row r="23" spans="1:10">
      <c r="A23" s="430">
        <v>16</v>
      </c>
      <c r="B23" s="495" t="s">
        <v>274</v>
      </c>
      <c r="C23" s="497">
        <f>'ERS4_Debt Detail'!F41</f>
        <v>175123</v>
      </c>
      <c r="E23" s="471"/>
    </row>
    <row r="24" spans="1:10">
      <c r="A24" s="430">
        <v>17</v>
      </c>
      <c r="B24" s="495" t="s">
        <v>275</v>
      </c>
      <c r="C24" s="497">
        <v>0</v>
      </c>
    </row>
    <row r="25" spans="1:10">
      <c r="A25" s="430">
        <v>18</v>
      </c>
      <c r="B25" s="495" t="s">
        <v>276</v>
      </c>
      <c r="C25" s="504">
        <v>0</v>
      </c>
    </row>
    <row r="26" spans="1:10">
      <c r="A26" s="430">
        <v>19</v>
      </c>
      <c r="B26" s="506" t="s">
        <v>277</v>
      </c>
      <c r="C26" s="498">
        <f>SUM(C23:C25)</f>
        <v>175123</v>
      </c>
    </row>
    <row r="27" spans="1:10">
      <c r="A27" s="430">
        <v>20</v>
      </c>
      <c r="B27" s="506" t="s">
        <v>278</v>
      </c>
      <c r="C27" s="498">
        <f>+C22-C26</f>
        <v>1329102</v>
      </c>
      <c r="E27" s="518"/>
      <c r="F27" s="471" t="s">
        <v>669</v>
      </c>
    </row>
    <row r="28" spans="1:10">
      <c r="A28" s="430">
        <v>21</v>
      </c>
      <c r="B28" s="495" t="s">
        <v>279</v>
      </c>
      <c r="C28" s="504">
        <v>0</v>
      </c>
      <c r="E28" s="674"/>
      <c r="F28" s="596" t="s">
        <v>669</v>
      </c>
      <c r="G28" s="205"/>
    </row>
    <row r="29" spans="1:10">
      <c r="A29" s="430">
        <v>22</v>
      </c>
      <c r="B29" s="495" t="s">
        <v>280</v>
      </c>
      <c r="C29" s="504">
        <v>0</v>
      </c>
      <c r="E29" s="205"/>
      <c r="F29" s="205"/>
      <c r="G29" s="205"/>
      <c r="J29" t="s">
        <v>669</v>
      </c>
    </row>
    <row r="30" spans="1:10">
      <c r="A30" s="430">
        <v>23</v>
      </c>
      <c r="B30" s="506" t="s">
        <v>281</v>
      </c>
      <c r="C30" s="507">
        <f>+C27+C28-C29</f>
        <v>1329102</v>
      </c>
      <c r="E30" s="629">
        <f>1329102-C30</f>
        <v>0</v>
      </c>
      <c r="F30" s="629" t="s">
        <v>669</v>
      </c>
      <c r="G30" s="471"/>
    </row>
    <row r="31" spans="1:10">
      <c r="A31" s="430">
        <v>24</v>
      </c>
      <c r="B31" s="495" t="s">
        <v>282</v>
      </c>
      <c r="C31" s="504">
        <v>0</v>
      </c>
      <c r="E31" s="471"/>
    </row>
    <row r="32" spans="1:10">
      <c r="A32" s="430">
        <v>25</v>
      </c>
      <c r="B32" s="495" t="s">
        <v>283</v>
      </c>
      <c r="C32" s="504">
        <f>C23+673000</f>
        <v>848123</v>
      </c>
    </row>
    <row r="33" spans="1:3">
      <c r="A33" s="430">
        <v>26</v>
      </c>
      <c r="B33" s="495" t="s">
        <v>284</v>
      </c>
      <c r="C33" s="504">
        <v>0</v>
      </c>
    </row>
    <row r="34" spans="1:3">
      <c r="A34" s="430">
        <v>27</v>
      </c>
      <c r="B34" s="495" t="s">
        <v>285</v>
      </c>
      <c r="C34" s="504">
        <v>0</v>
      </c>
    </row>
    <row r="35" spans="1:3">
      <c r="A35" s="430">
        <v>28</v>
      </c>
      <c r="B35" s="495" t="s">
        <v>286</v>
      </c>
      <c r="C35" s="508">
        <f>+C31+C32+C33+C34</f>
        <v>848123</v>
      </c>
    </row>
    <row r="36" spans="1:3">
      <c r="A36" s="430">
        <v>29</v>
      </c>
      <c r="B36" s="495" t="s">
        <v>287</v>
      </c>
      <c r="C36" s="504">
        <v>0</v>
      </c>
    </row>
    <row r="37" spans="1:3">
      <c r="C37"/>
    </row>
    <row r="38" spans="1:3">
      <c r="A38" t="s">
        <v>669</v>
      </c>
      <c r="C38"/>
    </row>
    <row r="39" spans="1:3">
      <c r="A39" t="s">
        <v>334</v>
      </c>
      <c r="B39" t="s">
        <v>907</v>
      </c>
      <c r="C39"/>
    </row>
    <row r="40" spans="1:3">
      <c r="B40" s="623" t="s">
        <v>908</v>
      </c>
      <c r="C40"/>
    </row>
    <row r="41" spans="1:3">
      <c r="A41" t="s">
        <v>669</v>
      </c>
      <c r="C41"/>
    </row>
    <row r="42" spans="1:3">
      <c r="C42"/>
    </row>
    <row r="43" spans="1:3">
      <c r="B43" s="490" t="s">
        <v>669</v>
      </c>
      <c r="C43" s="509"/>
    </row>
    <row r="44" spans="1:3">
      <c r="B44" t="s">
        <v>669</v>
      </c>
      <c r="C44" s="509"/>
    </row>
    <row r="45" spans="1:3">
      <c r="C45" s="509"/>
    </row>
    <row r="46" spans="1:3">
      <c r="C46" s="509"/>
    </row>
    <row r="47" spans="1:3">
      <c r="C47" s="509"/>
    </row>
    <row r="48" spans="1:3">
      <c r="C48" s="509"/>
    </row>
    <row r="49" spans="3:3">
      <c r="C49" s="509"/>
    </row>
    <row r="50" spans="3:3">
      <c r="C50" s="509"/>
    </row>
    <row r="51" spans="3:3">
      <c r="C51" s="509"/>
    </row>
    <row r="52" spans="3:3">
      <c r="C52" s="509"/>
    </row>
  </sheetData>
  <mergeCells count="4">
    <mergeCell ref="A1:C1"/>
    <mergeCell ref="A2:C2"/>
    <mergeCell ref="A3:C3"/>
    <mergeCell ref="A5:C5"/>
  </mergeCells>
  <phoneticPr fontId="4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workbookViewId="0">
      <selection activeCell="B30" sqref="B30"/>
    </sheetView>
  </sheetViews>
  <sheetFormatPr defaultRowHeight="12.75"/>
  <cols>
    <col min="1" max="1" width="6.7109375" customWidth="1"/>
    <col min="2" max="2" width="38.5703125" customWidth="1"/>
    <col min="3" max="3" width="18.28515625" customWidth="1"/>
    <col min="4" max="6" width="15.7109375" customWidth="1"/>
    <col min="7" max="7" width="18.28515625" customWidth="1"/>
    <col min="8" max="8" width="10.7109375" bestFit="1" customWidth="1"/>
    <col min="9" max="10" width="12.85546875" bestFit="1" customWidth="1"/>
  </cols>
  <sheetData>
    <row r="1" spans="1:13" ht="15">
      <c r="A1" s="747" t="str">
        <f>'EIA 412 BALANCE SHEET'!A1:F1</f>
        <v>Elk River</v>
      </c>
      <c r="B1" s="747"/>
      <c r="C1" s="747"/>
      <c r="D1" s="747"/>
      <c r="E1" s="747"/>
      <c r="F1" s="747"/>
      <c r="G1" s="747"/>
    </row>
    <row r="2" spans="1:13" ht="15">
      <c r="A2" s="744" t="s">
        <v>148</v>
      </c>
      <c r="B2" s="744"/>
      <c r="C2" s="744"/>
      <c r="D2" s="744"/>
      <c r="E2" s="744"/>
      <c r="F2" s="744"/>
      <c r="G2" s="744"/>
    </row>
    <row r="3" spans="1:13" s="695" customFormat="1" ht="15">
      <c r="A3" s="744" t="s">
        <v>945</v>
      </c>
      <c r="B3" s="744"/>
      <c r="C3" s="744"/>
      <c r="D3" s="744"/>
      <c r="E3" s="744"/>
      <c r="F3" s="744"/>
      <c r="G3" s="744"/>
    </row>
    <row r="4" spans="1:13" ht="15">
      <c r="A4" s="747">
        <f>'EIA 412 BALANCE SHEET'!A3:F3</f>
        <v>42004</v>
      </c>
      <c r="B4" s="747"/>
      <c r="C4" s="747"/>
      <c r="D4" s="747"/>
      <c r="E4" s="747"/>
      <c r="F4" s="747"/>
      <c r="G4" s="747"/>
    </row>
    <row r="5" spans="1:13">
      <c r="A5" s="490"/>
      <c r="B5" s="490"/>
      <c r="C5" s="490"/>
    </row>
    <row r="6" spans="1:13" ht="15">
      <c r="A6" s="746" t="s">
        <v>155</v>
      </c>
      <c r="B6" s="746"/>
      <c r="C6" s="746"/>
      <c r="D6" s="746"/>
      <c r="E6" s="746"/>
      <c r="F6" s="746"/>
      <c r="G6" s="746"/>
    </row>
    <row r="7" spans="1:13">
      <c r="A7" s="511" t="s">
        <v>671</v>
      </c>
      <c r="B7" s="511"/>
      <c r="C7" s="511" t="s">
        <v>288</v>
      </c>
      <c r="D7" s="511"/>
      <c r="E7" s="511"/>
      <c r="F7" s="511"/>
      <c r="G7" s="511" t="s">
        <v>289</v>
      </c>
    </row>
    <row r="8" spans="1:13">
      <c r="A8" s="430" t="s">
        <v>673</v>
      </c>
      <c r="B8" s="430"/>
      <c r="C8" s="430" t="s">
        <v>290</v>
      </c>
      <c r="D8" s="430" t="s">
        <v>291</v>
      </c>
      <c r="E8" s="430" t="s">
        <v>292</v>
      </c>
      <c r="F8" s="430" t="s">
        <v>293</v>
      </c>
      <c r="G8" s="430" t="s">
        <v>290</v>
      </c>
    </row>
    <row r="9" spans="1:13" ht="20.100000000000001" customHeight="1">
      <c r="A9" s="445">
        <v>1</v>
      </c>
      <c r="B9" s="443" t="s">
        <v>294</v>
      </c>
      <c r="C9" s="512">
        <v>0</v>
      </c>
      <c r="D9" s="513">
        <v>0</v>
      </c>
      <c r="E9" s="513">
        <v>0</v>
      </c>
      <c r="F9" s="513">
        <v>0</v>
      </c>
      <c r="G9" s="514">
        <f>+C9+D9+E9+F9</f>
        <v>0</v>
      </c>
    </row>
    <row r="10" spans="1:13" s="695" customFormat="1" ht="9" customHeight="1">
      <c r="A10" s="445"/>
      <c r="B10" s="443"/>
      <c r="C10" s="512"/>
      <c r="D10" s="513"/>
      <c r="E10" s="513"/>
      <c r="F10" s="513"/>
      <c r="G10" s="514"/>
    </row>
    <row r="11" spans="1:13" ht="20.100000000000001" customHeight="1">
      <c r="A11" s="445"/>
      <c r="B11" s="478" t="s">
        <v>295</v>
      </c>
      <c r="C11" s="513"/>
      <c r="D11" s="513"/>
      <c r="E11" s="513"/>
      <c r="F11" s="513"/>
      <c r="G11" s="515"/>
    </row>
    <row r="12" spans="1:13" ht="20.100000000000001" customHeight="1">
      <c r="A12" s="445">
        <v>2</v>
      </c>
      <c r="B12" s="443" t="s">
        <v>296</v>
      </c>
      <c r="C12" s="516">
        <v>0</v>
      </c>
      <c r="D12" s="513">
        <v>0</v>
      </c>
      <c r="E12" s="513">
        <v>0</v>
      </c>
      <c r="F12" s="513">
        <v>0</v>
      </c>
      <c r="G12" s="514">
        <f>+C12+D12+E12+F12</f>
        <v>0</v>
      </c>
    </row>
    <row r="13" spans="1:13" ht="20.100000000000001" customHeight="1">
      <c r="A13" s="445">
        <v>3</v>
      </c>
      <c r="B13" s="443" t="s">
        <v>297</v>
      </c>
      <c r="C13" s="512">
        <v>0</v>
      </c>
      <c r="D13" s="513">
        <v>0</v>
      </c>
      <c r="E13" s="513">
        <v>0</v>
      </c>
      <c r="F13" s="513">
        <v>0</v>
      </c>
      <c r="G13" s="514">
        <f t="shared" ref="G13:G25" si="0">+C13+D13+E13+F13</f>
        <v>0</v>
      </c>
      <c r="J13" s="205">
        <v>2014</v>
      </c>
      <c r="M13" t="s">
        <v>669</v>
      </c>
    </row>
    <row r="14" spans="1:13" ht="20.100000000000001" customHeight="1">
      <c r="A14" s="445">
        <v>4</v>
      </c>
      <c r="B14" s="443" t="s">
        <v>298</v>
      </c>
      <c r="C14" s="512">
        <v>0</v>
      </c>
      <c r="D14" s="513">
        <v>0</v>
      </c>
      <c r="E14" s="513">
        <v>0</v>
      </c>
      <c r="F14" s="513">
        <v>0</v>
      </c>
      <c r="G14" s="514">
        <f t="shared" si="0"/>
        <v>0</v>
      </c>
      <c r="I14" s="517" t="s">
        <v>299</v>
      </c>
      <c r="J14" s="205" t="s">
        <v>300</v>
      </c>
      <c r="M14" t="s">
        <v>669</v>
      </c>
    </row>
    <row r="15" spans="1:13">
      <c r="A15" s="445">
        <v>5</v>
      </c>
      <c r="B15" s="461" t="s">
        <v>946</v>
      </c>
      <c r="C15" s="20">
        <v>5848254</v>
      </c>
      <c r="D15" s="679"/>
      <c r="E15" s="679">
        <v>-2015781</v>
      </c>
      <c r="F15" s="679"/>
      <c r="G15" s="514">
        <f>C15+D15+E15+F15</f>
        <v>3832473</v>
      </c>
      <c r="I15" s="518">
        <v>0</v>
      </c>
    </row>
    <row r="16" spans="1:13" ht="20.100000000000001" customHeight="1">
      <c r="A16" s="445">
        <v>6</v>
      </c>
      <c r="B16" s="478" t="s">
        <v>301</v>
      </c>
      <c r="C16" s="519">
        <v>5848254</v>
      </c>
      <c r="D16" s="680">
        <f>SUM(D12:D15)</f>
        <v>0</v>
      </c>
      <c r="E16" s="680">
        <f>SUM(E12:E15)</f>
        <v>-2015781</v>
      </c>
      <c r="F16" s="680">
        <f>SUM(F12:F15)</f>
        <v>0</v>
      </c>
      <c r="G16" s="520">
        <f>SUM(G12:G15)</f>
        <v>3832473</v>
      </c>
      <c r="H16" s="521" t="s">
        <v>669</v>
      </c>
      <c r="I16" s="20">
        <f>' ERS1_Plant Assets'!F19</f>
        <v>2079395</v>
      </c>
      <c r="J16" s="518">
        <f>ERS3_Depreciation!G10</f>
        <v>318544</v>
      </c>
      <c r="M16" t="s">
        <v>669</v>
      </c>
    </row>
    <row r="17" spans="1:13" s="695" customFormat="1" ht="7.5" customHeight="1">
      <c r="A17" s="445"/>
      <c r="B17" s="478"/>
      <c r="C17" s="519"/>
      <c r="D17" s="680"/>
      <c r="E17" s="680"/>
      <c r="F17" s="680"/>
      <c r="G17" s="520"/>
      <c r="H17" s="735"/>
      <c r="I17" s="20"/>
      <c r="J17" s="518"/>
    </row>
    <row r="18" spans="1:13" ht="20.100000000000001" customHeight="1">
      <c r="A18" s="445">
        <v>7</v>
      </c>
      <c r="B18" s="443" t="s">
        <v>302</v>
      </c>
      <c r="C18" s="20">
        <v>474277</v>
      </c>
      <c r="D18" s="679">
        <v>236711</v>
      </c>
      <c r="E18" s="679">
        <v>0</v>
      </c>
      <c r="F18" s="679">
        <v>0</v>
      </c>
      <c r="G18" s="514">
        <f>C18+D18+E18+F18</f>
        <v>710988</v>
      </c>
      <c r="H18" t="s">
        <v>669</v>
      </c>
      <c r="I18" s="20">
        <f>' ERS1_Plant Assets'!F20</f>
        <v>242228</v>
      </c>
      <c r="J18" s="518">
        <f>ERS3_Depreciation!G11</f>
        <v>22081</v>
      </c>
      <c r="M18" t="s">
        <v>669</v>
      </c>
    </row>
    <row r="19" spans="1:13" ht="20.100000000000001" customHeight="1">
      <c r="A19" s="445">
        <v>8</v>
      </c>
      <c r="B19" s="443" t="s">
        <v>303</v>
      </c>
      <c r="C19" s="20">
        <v>40373204</v>
      </c>
      <c r="D19" s="679">
        <v>2361717</v>
      </c>
      <c r="E19" s="679">
        <v>-6676494</v>
      </c>
      <c r="F19" s="679"/>
      <c r="G19" s="514">
        <f>C19+D19+E19+F19</f>
        <v>36058427</v>
      </c>
      <c r="H19" t="s">
        <v>669</v>
      </c>
      <c r="I19" s="20">
        <f>' ERS1_Plant Assets'!F21</f>
        <v>14998501</v>
      </c>
      <c r="J19" s="518">
        <f>ERS3_Depreciation!G12</f>
        <v>1258763</v>
      </c>
      <c r="M19" t="s">
        <v>669</v>
      </c>
    </row>
    <row r="20" spans="1:13" ht="20.100000000000001" customHeight="1">
      <c r="A20" s="445">
        <v>9</v>
      </c>
      <c r="B20" s="443" t="s">
        <v>304</v>
      </c>
      <c r="C20" s="20">
        <v>7664213</v>
      </c>
      <c r="D20" s="679">
        <v>524547</v>
      </c>
      <c r="E20" s="679">
        <v>-2129882</v>
      </c>
      <c r="F20" s="679"/>
      <c r="G20" s="514">
        <f>C20+D20+E20+F20</f>
        <v>6058878</v>
      </c>
      <c r="H20" t="s">
        <v>669</v>
      </c>
      <c r="I20" s="20">
        <f>' ERS1_Plant Assets'!F22</f>
        <v>2717926</v>
      </c>
      <c r="J20" s="518">
        <f>ERS3_Depreciation!G13</f>
        <v>314674</v>
      </c>
      <c r="M20" t="s">
        <v>669</v>
      </c>
    </row>
    <row r="21" spans="1:13" ht="25.5">
      <c r="A21" s="445">
        <v>10</v>
      </c>
      <c r="B21" s="522" t="s">
        <v>305</v>
      </c>
      <c r="C21" s="519">
        <v>54359948</v>
      </c>
      <c r="D21" s="680">
        <f>D20+D19+D18+D16+D9</f>
        <v>3122975</v>
      </c>
      <c r="E21" s="680">
        <f>E20+E19+E18+E16+E9</f>
        <v>-10822157</v>
      </c>
      <c r="F21" s="680">
        <f>F20+F19+F18+F16+F9</f>
        <v>0</v>
      </c>
      <c r="G21" s="519">
        <f>G9+G16+G18+G19+G20</f>
        <v>46660766</v>
      </c>
      <c r="H21" s="471" t="s">
        <v>669</v>
      </c>
      <c r="I21" s="518">
        <f>SUM(I16:I20)</f>
        <v>20038050</v>
      </c>
      <c r="J21" s="518">
        <f>SUM(J16:J20)</f>
        <v>1914062</v>
      </c>
      <c r="M21" t="s">
        <v>669</v>
      </c>
    </row>
    <row r="22" spans="1:13" s="695" customFormat="1" ht="8.25" customHeight="1">
      <c r="A22" s="445"/>
      <c r="B22" s="522"/>
      <c r="C22" s="519"/>
      <c r="D22" s="680"/>
      <c r="E22" s="680"/>
      <c r="F22" s="680"/>
      <c r="G22" s="519"/>
      <c r="H22" s="471"/>
      <c r="I22" s="518"/>
      <c r="J22" s="518"/>
    </row>
    <row r="23" spans="1:13" ht="20.100000000000001" customHeight="1">
      <c r="A23" s="445">
        <v>11</v>
      </c>
      <c r="B23" s="443" t="s">
        <v>306</v>
      </c>
      <c r="C23" s="512">
        <v>0</v>
      </c>
      <c r="D23" s="679">
        <v>0</v>
      </c>
      <c r="E23" s="679">
        <v>0</v>
      </c>
      <c r="F23" s="679">
        <v>0</v>
      </c>
      <c r="G23" s="514">
        <f t="shared" si="0"/>
        <v>0</v>
      </c>
      <c r="H23" s="629" t="s">
        <v>669</v>
      </c>
      <c r="I23" s="471" t="s">
        <v>669</v>
      </c>
      <c r="J23" s="623"/>
    </row>
    <row r="24" spans="1:13" ht="20.100000000000001" customHeight="1">
      <c r="A24" s="445">
        <v>12</v>
      </c>
      <c r="B24" s="443" t="s">
        <v>307</v>
      </c>
      <c r="C24" s="512">
        <v>0</v>
      </c>
      <c r="D24" s="679">
        <v>0</v>
      </c>
      <c r="E24" s="679">
        <v>0</v>
      </c>
      <c r="F24" s="679">
        <v>0</v>
      </c>
      <c r="G24" s="520">
        <f t="shared" si="0"/>
        <v>0</v>
      </c>
      <c r="H24" s="629" t="s">
        <v>669</v>
      </c>
    </row>
    <row r="25" spans="1:13" ht="25.5">
      <c r="A25" s="445">
        <v>13</v>
      </c>
      <c r="B25" s="461" t="s">
        <v>308</v>
      </c>
      <c r="C25" s="512">
        <v>0</v>
      </c>
      <c r="D25" s="679">
        <v>0</v>
      </c>
      <c r="E25" s="679">
        <v>0</v>
      </c>
      <c r="F25" s="679">
        <v>0</v>
      </c>
      <c r="G25" s="514">
        <f t="shared" si="0"/>
        <v>0</v>
      </c>
      <c r="H25" s="623" t="s">
        <v>669</v>
      </c>
    </row>
    <row r="26" spans="1:13" ht="25.5">
      <c r="A26" s="445">
        <v>14</v>
      </c>
      <c r="B26" s="522" t="s">
        <v>309</v>
      </c>
      <c r="C26" s="516">
        <v>54359948</v>
      </c>
      <c r="D26" s="681">
        <f>SUM(D21:D25)</f>
        <v>3122975</v>
      </c>
      <c r="E26" s="681">
        <f>SUM(E21:E25)</f>
        <v>-10822157</v>
      </c>
      <c r="F26" s="681">
        <f>SUM(F21:F25)</f>
        <v>0</v>
      </c>
      <c r="G26" s="514">
        <f>+C26+D26+E26+F26</f>
        <v>46660766</v>
      </c>
    </row>
    <row r="27" spans="1:13" s="695" customFormat="1" ht="7.5" customHeight="1">
      <c r="A27" s="445"/>
      <c r="B27" s="522"/>
      <c r="C27" s="516"/>
      <c r="D27" s="681"/>
      <c r="E27" s="681"/>
      <c r="F27" s="681"/>
      <c r="G27" s="514"/>
    </row>
    <row r="28" spans="1:13" ht="20.100000000000001" customHeight="1">
      <c r="A28" s="445">
        <v>15</v>
      </c>
      <c r="B28" s="443" t="s">
        <v>310</v>
      </c>
      <c r="C28" s="513">
        <v>1553538</v>
      </c>
      <c r="D28" s="679">
        <v>205329</v>
      </c>
      <c r="E28" s="679">
        <v>-1553538</v>
      </c>
      <c r="F28" s="679"/>
      <c r="G28" s="514">
        <f>+C28+D28+E28+F28</f>
        <v>205329</v>
      </c>
    </row>
    <row r="29" spans="1:13" ht="25.5">
      <c r="A29" s="445">
        <v>16</v>
      </c>
      <c r="B29" s="522" t="s">
        <v>311</v>
      </c>
      <c r="C29" s="514">
        <v>55913486</v>
      </c>
      <c r="D29" s="514">
        <f>SUM(D26:D28)</f>
        <v>3328304</v>
      </c>
      <c r="E29" s="514">
        <f>SUM(E26:E28)</f>
        <v>-12375695</v>
      </c>
      <c r="F29" s="514">
        <f>SUM(F26:F28)</f>
        <v>0</v>
      </c>
      <c r="G29" s="514">
        <f>+C29+D29+E29+F29</f>
        <v>46866095</v>
      </c>
      <c r="H29" s="629" t="s">
        <v>669</v>
      </c>
    </row>
    <row r="30" spans="1:13" ht="20.100000000000001" customHeight="1">
      <c r="B30" s="695" t="s">
        <v>947</v>
      </c>
      <c r="G30" s="629" t="s">
        <v>669</v>
      </c>
    </row>
    <row r="31" spans="1:13">
      <c r="G31" s="471"/>
    </row>
    <row r="33" spans="4:10">
      <c r="D33" s="471"/>
      <c r="J33" t="s">
        <v>669</v>
      </c>
    </row>
    <row r="35" spans="4:10">
      <c r="D35" t="s">
        <v>669</v>
      </c>
      <c r="E35" s="623" t="s">
        <v>669</v>
      </c>
    </row>
  </sheetData>
  <mergeCells count="5">
    <mergeCell ref="A1:G1"/>
    <mergeCell ref="A2:G2"/>
    <mergeCell ref="A4:G4"/>
    <mergeCell ref="A6:G6"/>
    <mergeCell ref="A3:G3"/>
  </mergeCells>
  <phoneticPr fontId="47" type="noConversion"/>
  <pageMargins left="0.75" right="0.75" top="1" bottom="1" header="0.5" footer="0.5"/>
  <pageSetup scale="63"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opLeftCell="A4" workbookViewId="0">
      <selection activeCell="C18" sqref="C18"/>
    </sheetView>
  </sheetViews>
  <sheetFormatPr defaultRowHeight="12.75"/>
  <cols>
    <col min="2" max="2" width="109.5703125" customWidth="1"/>
    <col min="3" max="3" width="28.7109375" customWidth="1"/>
    <col min="4" max="4" width="28.42578125" customWidth="1"/>
    <col min="5" max="5" width="20.28515625" customWidth="1"/>
  </cols>
  <sheetData>
    <row r="1" spans="1:7" ht="15">
      <c r="A1" s="747" t="str">
        <f>'EIA 412 BALANCE SHEET'!A1:F1</f>
        <v>Elk River</v>
      </c>
      <c r="B1" s="747"/>
      <c r="C1" s="747"/>
      <c r="D1" s="523"/>
      <c r="E1" s="523"/>
      <c r="F1" s="523"/>
      <c r="G1" s="523"/>
    </row>
    <row r="2" spans="1:7" ht="15">
      <c r="A2" s="744" t="s">
        <v>148</v>
      </c>
      <c r="B2" s="744"/>
      <c r="C2" s="744"/>
      <c r="D2" s="300"/>
      <c r="E2" s="300"/>
      <c r="F2" s="300"/>
      <c r="G2" s="300"/>
    </row>
    <row r="3" spans="1:7" ht="15">
      <c r="A3" s="747">
        <f>'EIA 412 BALANCE SHEET'!A3:F3</f>
        <v>42004</v>
      </c>
      <c r="B3" s="747"/>
      <c r="C3" s="747"/>
      <c r="D3" s="523"/>
      <c r="E3" s="523"/>
      <c r="F3" s="523"/>
      <c r="G3" s="523"/>
    </row>
    <row r="4" spans="1:7" ht="15">
      <c r="A4" s="487"/>
      <c r="B4" s="487"/>
      <c r="C4" s="487"/>
      <c r="D4" s="487"/>
      <c r="E4" s="487"/>
      <c r="F4" s="487"/>
      <c r="G4" s="487"/>
    </row>
    <row r="5" spans="1:7" ht="15">
      <c r="A5" s="487"/>
      <c r="B5" s="487"/>
      <c r="C5" s="487"/>
      <c r="D5" s="487"/>
      <c r="E5" s="487"/>
      <c r="F5" s="487"/>
      <c r="G5" s="487"/>
    </row>
    <row r="6" spans="1:7">
      <c r="A6" s="748" t="s">
        <v>312</v>
      </c>
      <c r="B6" s="749"/>
      <c r="C6" s="750"/>
    </row>
    <row r="7" spans="1:7">
      <c r="A7" s="205" t="s">
        <v>313</v>
      </c>
    </row>
    <row r="8" spans="1:7">
      <c r="A8" s="205" t="s">
        <v>153</v>
      </c>
    </row>
    <row r="9" spans="1:7">
      <c r="A9" s="748" t="s">
        <v>314</v>
      </c>
      <c r="B9" s="749"/>
      <c r="C9" s="750"/>
    </row>
    <row r="10" spans="1:7">
      <c r="A10" s="524">
        <v>1</v>
      </c>
      <c r="B10" s="524" t="s">
        <v>315</v>
      </c>
      <c r="C10" s="525">
        <v>0</v>
      </c>
    </row>
    <row r="11" spans="1:7">
      <c r="A11" s="434">
        <v>2</v>
      </c>
      <c r="B11" s="434" t="s">
        <v>316</v>
      </c>
      <c r="C11" s="434"/>
    </row>
    <row r="12" spans="1:7">
      <c r="A12" s="434">
        <v>3</v>
      </c>
      <c r="B12" s="434" t="s">
        <v>317</v>
      </c>
      <c r="C12" s="526">
        <f>C10+C11</f>
        <v>0</v>
      </c>
    </row>
    <row r="13" spans="1:7">
      <c r="A13" s="434">
        <v>4</v>
      </c>
      <c r="B13" s="434" t="s">
        <v>318</v>
      </c>
      <c r="C13" s="434">
        <f>797835</f>
        <v>797835</v>
      </c>
    </row>
    <row r="14" spans="1:7">
      <c r="A14" s="434">
        <v>5</v>
      </c>
      <c r="B14" s="434" t="s">
        <v>319</v>
      </c>
      <c r="C14" s="434"/>
    </row>
    <row r="15" spans="1:7">
      <c r="A15" s="434">
        <v>6</v>
      </c>
      <c r="B15" s="434" t="s">
        <v>320</v>
      </c>
      <c r="C15" s="434">
        <f>C13+C14</f>
        <v>797835</v>
      </c>
    </row>
    <row r="16" spans="1:7">
      <c r="A16" s="434">
        <v>7</v>
      </c>
      <c r="B16" s="434" t="s">
        <v>321</v>
      </c>
      <c r="C16" s="434"/>
    </row>
    <row r="17" spans="1:10">
      <c r="A17" s="434">
        <v>8</v>
      </c>
      <c r="B17" s="434" t="s">
        <v>322</v>
      </c>
      <c r="C17" s="434"/>
    </row>
    <row r="18" spans="1:10">
      <c r="A18" s="438">
        <v>9</v>
      </c>
      <c r="B18" s="438" t="s">
        <v>323</v>
      </c>
      <c r="C18" s="527">
        <f>C12+C15+C16+C17</f>
        <v>797835</v>
      </c>
    </row>
    <row r="19" spans="1:10">
      <c r="A19" s="748" t="s">
        <v>324</v>
      </c>
      <c r="B19" s="749"/>
      <c r="C19" s="750"/>
    </row>
    <row r="20" spans="1:10">
      <c r="A20" s="524">
        <v>10</v>
      </c>
      <c r="B20" s="528" t="s">
        <v>325</v>
      </c>
      <c r="C20" s="493"/>
    </row>
    <row r="21" spans="1:10">
      <c r="A21" s="434">
        <v>11</v>
      </c>
      <c r="B21" s="529" t="s">
        <v>326</v>
      </c>
      <c r="C21" s="429"/>
    </row>
    <row r="22" spans="1:10">
      <c r="A22" s="434">
        <v>12</v>
      </c>
      <c r="B22" s="529" t="s">
        <v>327</v>
      </c>
      <c r="C22" s="429"/>
    </row>
    <row r="23" spans="1:10">
      <c r="A23" s="434">
        <v>13</v>
      </c>
      <c r="B23" s="529" t="s">
        <v>328</v>
      </c>
      <c r="C23" s="429"/>
    </row>
    <row r="24" spans="1:10">
      <c r="A24" s="438">
        <v>14</v>
      </c>
      <c r="B24" s="530" t="s">
        <v>329</v>
      </c>
      <c r="C24" s="495">
        <f>SUM(C20:C23)</f>
        <v>0</v>
      </c>
    </row>
    <row r="25" spans="1:10">
      <c r="A25" s="748" t="s">
        <v>330</v>
      </c>
      <c r="B25" s="749"/>
      <c r="C25" s="750"/>
    </row>
    <row r="26" spans="1:10">
      <c r="A26" s="524">
        <v>15</v>
      </c>
      <c r="B26" s="524" t="s">
        <v>331</v>
      </c>
      <c r="C26" s="524"/>
    </row>
    <row r="27" spans="1:10">
      <c r="A27" s="434">
        <v>16</v>
      </c>
      <c r="B27" s="434" t="s">
        <v>336</v>
      </c>
      <c r="C27" s="434"/>
    </row>
    <row r="28" spans="1:10">
      <c r="A28" s="434">
        <v>17</v>
      </c>
      <c r="B28" s="434" t="s">
        <v>337</v>
      </c>
      <c r="C28" s="434"/>
    </row>
    <row r="29" spans="1:10">
      <c r="A29" s="434">
        <v>18</v>
      </c>
      <c r="B29" s="434" t="s">
        <v>328</v>
      </c>
      <c r="C29" s="434"/>
      <c r="J29" t="s">
        <v>669</v>
      </c>
    </row>
    <row r="30" spans="1:10">
      <c r="A30" s="434">
        <v>19</v>
      </c>
      <c r="B30" s="434" t="s">
        <v>338</v>
      </c>
      <c r="C30" s="434">
        <f>SUM(C26:C29)</f>
        <v>0</v>
      </c>
    </row>
    <row r="31" spans="1:10" ht="27" customHeight="1">
      <c r="A31" s="438">
        <v>20</v>
      </c>
      <c r="B31" s="531" t="s">
        <v>339</v>
      </c>
      <c r="C31" s="438">
        <f>C24-C30</f>
        <v>0</v>
      </c>
    </row>
    <row r="37" spans="2:5">
      <c r="B37" s="517"/>
    </row>
    <row r="39" spans="2:5">
      <c r="C39" s="532"/>
      <c r="D39" s="532"/>
      <c r="E39" s="532"/>
    </row>
    <row r="41" spans="2:5">
      <c r="C41" s="533"/>
      <c r="D41" s="534"/>
      <c r="E41" s="533"/>
    </row>
    <row r="42" spans="2:5">
      <c r="C42" s="533"/>
      <c r="D42" s="534"/>
      <c r="E42" s="533"/>
    </row>
    <row r="48" spans="2:5">
      <c r="C48" s="536"/>
    </row>
    <row r="50" spans="3:3">
      <c r="C50" s="537"/>
    </row>
  </sheetData>
  <mergeCells count="7">
    <mergeCell ref="A9:C9"/>
    <mergeCell ref="A19:C19"/>
    <mergeCell ref="A25:C25"/>
    <mergeCell ref="A1:C1"/>
    <mergeCell ref="A2:C2"/>
    <mergeCell ref="A3:C3"/>
    <mergeCell ref="A6:C6"/>
  </mergeCells>
  <phoneticPr fontId="4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7" workbookViewId="0">
      <selection activeCell="E21" sqref="E21"/>
    </sheetView>
  </sheetViews>
  <sheetFormatPr defaultRowHeight="12.75"/>
  <cols>
    <col min="1" max="1" width="6.7109375" customWidth="1"/>
    <col min="2" max="2" width="29.5703125" customWidth="1"/>
    <col min="3" max="3" width="20.42578125" customWidth="1"/>
    <col min="4" max="4" width="18.5703125" customWidth="1"/>
    <col min="5" max="6" width="15.7109375" customWidth="1"/>
    <col min="7" max="7" width="9.7109375" bestFit="1" customWidth="1"/>
    <col min="8" max="8" width="10.7109375" bestFit="1" customWidth="1"/>
  </cols>
  <sheetData>
    <row r="1" spans="1:7" ht="15">
      <c r="A1" s="747" t="str">
        <f>'EIA 412 BALANCE SHEET'!A1:F1</f>
        <v>Elk River</v>
      </c>
      <c r="B1" s="747"/>
      <c r="C1" s="747"/>
      <c r="D1" s="747"/>
      <c r="E1" s="747"/>
      <c r="F1" s="747"/>
      <c r="G1" s="308"/>
    </row>
    <row r="2" spans="1:7" ht="15">
      <c r="A2" s="744" t="s">
        <v>148</v>
      </c>
      <c r="B2" s="744"/>
      <c r="C2" s="744"/>
      <c r="D2" s="744"/>
      <c r="E2" s="744"/>
      <c r="F2" s="744"/>
      <c r="G2" s="308"/>
    </row>
    <row r="3" spans="1:7" ht="15">
      <c r="A3" s="747">
        <f>'EIA 412 BALANCE SHEET'!A3:F3</f>
        <v>42004</v>
      </c>
      <c r="B3" s="747"/>
      <c r="C3" s="747"/>
      <c r="D3" s="747"/>
      <c r="E3" s="747"/>
      <c r="F3" s="747"/>
      <c r="G3" s="487"/>
    </row>
    <row r="5" spans="1:7">
      <c r="A5" s="753" t="s">
        <v>340</v>
      </c>
      <c r="B5" s="753"/>
      <c r="C5" s="753"/>
      <c r="D5" s="753"/>
      <c r="E5" s="753"/>
      <c r="F5" s="753"/>
    </row>
    <row r="6" spans="1:7">
      <c r="A6" s="428" t="s">
        <v>671</v>
      </c>
      <c r="B6" s="428"/>
      <c r="C6" s="428"/>
      <c r="D6" s="428"/>
      <c r="E6" s="428"/>
      <c r="F6" s="428"/>
    </row>
    <row r="7" spans="1:7" ht="13.5" thickBot="1">
      <c r="A7" s="430" t="s">
        <v>153</v>
      </c>
      <c r="B7" s="430"/>
      <c r="C7" s="428" t="s">
        <v>341</v>
      </c>
      <c r="D7" s="430" t="s">
        <v>342</v>
      </c>
      <c r="E7" s="430" t="s">
        <v>343</v>
      </c>
      <c r="F7" s="430" t="s">
        <v>427</v>
      </c>
    </row>
    <row r="8" spans="1:7">
      <c r="A8" s="429">
        <v>1</v>
      </c>
      <c r="B8" s="175" t="s">
        <v>344</v>
      </c>
      <c r="C8" s="538"/>
      <c r="D8" s="539"/>
      <c r="E8" s="539"/>
      <c r="F8" s="539"/>
    </row>
    <row r="9" spans="1:7">
      <c r="A9" s="495"/>
      <c r="B9" s="477" t="s">
        <v>345</v>
      </c>
      <c r="C9" s="540">
        <v>0</v>
      </c>
      <c r="D9" s="541">
        <v>0</v>
      </c>
      <c r="E9" s="541">
        <v>0</v>
      </c>
      <c r="F9" s="542">
        <f>SUM(C9:E9)</f>
        <v>0</v>
      </c>
    </row>
    <row r="10" spans="1:7" ht="25.5">
      <c r="A10" s="495">
        <v>2</v>
      </c>
      <c r="B10" s="543" t="s">
        <v>346</v>
      </c>
      <c r="C10" s="540">
        <v>0</v>
      </c>
      <c r="D10" s="541">
        <v>0</v>
      </c>
      <c r="E10" s="541">
        <v>0</v>
      </c>
      <c r="F10" s="542">
        <f>SUM(C10:E10)</f>
        <v>0</v>
      </c>
    </row>
    <row r="11" spans="1:7">
      <c r="A11" s="429">
        <v>3</v>
      </c>
      <c r="B11" s="175" t="s">
        <v>347</v>
      </c>
      <c r="C11" s="544"/>
      <c r="D11" s="539"/>
      <c r="E11" s="539"/>
      <c r="F11" s="539"/>
    </row>
    <row r="12" spans="1:7">
      <c r="A12" s="495"/>
      <c r="B12" s="477" t="s">
        <v>348</v>
      </c>
      <c r="C12" s="540">
        <v>0</v>
      </c>
      <c r="D12" s="541">
        <v>0</v>
      </c>
      <c r="E12" s="541">
        <v>0</v>
      </c>
      <c r="F12" s="542">
        <f>SUM(C12:E12)</f>
        <v>0</v>
      </c>
    </row>
    <row r="13" spans="1:7">
      <c r="A13" s="545">
        <v>4</v>
      </c>
      <c r="B13" s="214" t="s">
        <v>349</v>
      </c>
      <c r="C13" s="544"/>
      <c r="D13" s="539"/>
      <c r="E13" s="539"/>
      <c r="F13" s="539"/>
    </row>
    <row r="14" spans="1:7">
      <c r="A14" s="545"/>
      <c r="B14" s="546" t="s">
        <v>350</v>
      </c>
      <c r="C14" s="544"/>
      <c r="D14" s="539"/>
      <c r="E14" s="539"/>
      <c r="F14" s="539"/>
    </row>
    <row r="15" spans="1:7">
      <c r="A15" s="495"/>
      <c r="B15" s="547" t="s">
        <v>351</v>
      </c>
      <c r="C15" s="540"/>
      <c r="D15" s="541">
        <v>0</v>
      </c>
      <c r="E15" s="541">
        <v>0</v>
      </c>
      <c r="F15" s="542">
        <f>SUM(C15:E15)</f>
        <v>0</v>
      </c>
    </row>
    <row r="16" spans="1:7">
      <c r="A16" s="548">
        <v>5</v>
      </c>
      <c r="B16" s="549" t="s">
        <v>352</v>
      </c>
      <c r="C16" s="550">
        <f>'EIA 412 PURCHASED POWER'!H44</f>
        <v>22778900</v>
      </c>
      <c r="D16" s="551">
        <v>0</v>
      </c>
      <c r="E16" s="551">
        <v>0</v>
      </c>
      <c r="F16" s="552">
        <f>SUM(C16:E16)</f>
        <v>22778900</v>
      </c>
    </row>
    <row r="17" spans="1:10">
      <c r="A17" s="429">
        <v>6</v>
      </c>
      <c r="B17" s="175" t="s">
        <v>353</v>
      </c>
      <c r="C17" s="544"/>
      <c r="D17" s="539"/>
      <c r="E17" s="539"/>
      <c r="F17" s="539"/>
    </row>
    <row r="18" spans="1:10" ht="13.5" thickBot="1">
      <c r="A18" s="495"/>
      <c r="B18" s="477" t="s">
        <v>354</v>
      </c>
      <c r="C18" s="553">
        <v>0</v>
      </c>
      <c r="D18" s="541">
        <f>878578-E18-C15-'ERS8_Breakout of pg 54 &amp; 56'!M16</f>
        <v>813206</v>
      </c>
      <c r="E18" s="541">
        <f>'ERS8_Breakout of pg 54 &amp; 56'!M15</f>
        <v>65372</v>
      </c>
      <c r="F18" s="542">
        <f>SUM(C18:E18)</f>
        <v>878578</v>
      </c>
      <c r="H18" s="471" t="s">
        <v>669</v>
      </c>
    </row>
    <row r="19" spans="1:10">
      <c r="A19" s="500">
        <v>7</v>
      </c>
      <c r="B19" s="500" t="s">
        <v>355</v>
      </c>
      <c r="C19" s="554">
        <f>C9+C10+C12+C15+C16+C18</f>
        <v>22778900</v>
      </c>
      <c r="D19" s="555">
        <f>SUM(D9:D18)</f>
        <v>813206</v>
      </c>
      <c r="E19" s="555">
        <f>SUM(E9:E18)</f>
        <v>65372</v>
      </c>
      <c r="F19" s="555">
        <f>SUM(C19:E19)</f>
        <v>23657478</v>
      </c>
      <c r="G19" t="s">
        <v>669</v>
      </c>
      <c r="H19" s="471"/>
      <c r="I19" s="471" t="s">
        <v>669</v>
      </c>
    </row>
    <row r="20" spans="1:10">
      <c r="A20" s="429">
        <v>8</v>
      </c>
      <c r="B20" s="429" t="s">
        <v>356</v>
      </c>
      <c r="C20" s="539"/>
      <c r="D20" s="539"/>
      <c r="E20" s="539"/>
      <c r="F20" s="539"/>
    </row>
    <row r="21" spans="1:10">
      <c r="A21" s="495"/>
      <c r="B21" s="495" t="s">
        <v>357</v>
      </c>
      <c r="C21" s="556" t="s">
        <v>358</v>
      </c>
      <c r="D21" s="541">
        <f>'TARIFF REVENUE'!X85</f>
        <v>0</v>
      </c>
      <c r="E21" s="541">
        <f>'ERS2_Wages &amp; Salary Allocator'!F7+'TARIFF REVENUE'!AE63</f>
        <v>16639.47795</v>
      </c>
      <c r="F21" s="498">
        <f>SUM(D21:E21)</f>
        <v>16639.47795</v>
      </c>
      <c r="G21" t="s">
        <v>669</v>
      </c>
      <c r="H21" t="s">
        <v>669</v>
      </c>
    </row>
    <row r="22" spans="1:10">
      <c r="A22" s="429">
        <v>9</v>
      </c>
      <c r="B22" s="429" t="s">
        <v>359</v>
      </c>
      <c r="C22" s="539"/>
      <c r="D22" s="539"/>
      <c r="E22" s="539"/>
      <c r="F22" s="539"/>
    </row>
    <row r="23" spans="1:10">
      <c r="A23" s="495"/>
      <c r="B23" s="495" t="s">
        <v>360</v>
      </c>
      <c r="C23" s="556" t="s">
        <v>358</v>
      </c>
      <c r="D23" s="541">
        <f>1282774-E21-E23+'ERS8_Breakout of pg 54 &amp; 56'!M16</f>
        <v>742255.52205000003</v>
      </c>
      <c r="E23" s="541">
        <f>'ERS8_Breakout of pg 54 &amp; 56'!M25</f>
        <v>523879</v>
      </c>
      <c r="F23" s="542">
        <f>SUM(D23:E23)</f>
        <v>1266134.52205</v>
      </c>
      <c r="G23" t="s">
        <v>669</v>
      </c>
      <c r="H23" s="471" t="s">
        <v>669</v>
      </c>
      <c r="I23" t="s">
        <v>669</v>
      </c>
    </row>
    <row r="24" spans="1:10">
      <c r="A24" s="429">
        <v>10</v>
      </c>
      <c r="B24" s="429" t="s">
        <v>361</v>
      </c>
      <c r="C24" s="539"/>
      <c r="D24" s="539"/>
      <c r="E24" s="539"/>
      <c r="F24" s="539"/>
    </row>
    <row r="25" spans="1:10">
      <c r="A25" s="495"/>
      <c r="B25" s="495" t="s">
        <v>362</v>
      </c>
      <c r="C25" s="556" t="s">
        <v>358</v>
      </c>
      <c r="D25" s="541">
        <v>824886</v>
      </c>
      <c r="E25" s="541">
        <v>0</v>
      </c>
      <c r="F25" s="542">
        <f>SUM(D25:E25)</f>
        <v>824886</v>
      </c>
      <c r="G25" t="s">
        <v>669</v>
      </c>
      <c r="I25" s="471" t="s">
        <v>669</v>
      </c>
    </row>
    <row r="26" spans="1:10">
      <c r="A26" s="429">
        <v>11</v>
      </c>
      <c r="B26" s="429" t="s">
        <v>363</v>
      </c>
      <c r="C26" s="539"/>
      <c r="D26" s="539"/>
      <c r="E26" s="539"/>
      <c r="F26" s="539"/>
    </row>
    <row r="27" spans="1:10">
      <c r="A27" s="495"/>
      <c r="B27" s="495" t="s">
        <v>364</v>
      </c>
      <c r="C27" s="556" t="s">
        <v>358</v>
      </c>
      <c r="D27" s="557">
        <f>'ERS8_Breakout of pg 54 &amp; 56'!I60</f>
        <v>264170</v>
      </c>
      <c r="E27" s="541">
        <v>0</v>
      </c>
      <c r="F27" s="542">
        <f>SUM(D27:E27)</f>
        <v>264170</v>
      </c>
      <c r="G27" t="s">
        <v>669</v>
      </c>
    </row>
    <row r="28" spans="1:10">
      <c r="A28" s="500">
        <v>12</v>
      </c>
      <c r="B28" s="500" t="s">
        <v>365</v>
      </c>
      <c r="C28" s="556" t="s">
        <v>358</v>
      </c>
      <c r="D28" s="552"/>
      <c r="E28" s="552"/>
      <c r="F28" s="542">
        <f>SUM(D28:E28)</f>
        <v>0</v>
      </c>
    </row>
    <row r="29" spans="1:10">
      <c r="A29" s="500">
        <v>13</v>
      </c>
      <c r="B29" s="500" t="s">
        <v>366</v>
      </c>
      <c r="C29" s="556" t="s">
        <v>358</v>
      </c>
      <c r="D29" s="557">
        <f>2497171-'ERS8_Breakout of pg 54 &amp; 56'!I60-'TARIFF REVENUE'!X85</f>
        <v>2233001</v>
      </c>
      <c r="E29" s="551">
        <v>0</v>
      </c>
      <c r="F29" s="542">
        <f>SUM(D29:E29)</f>
        <v>2233001</v>
      </c>
      <c r="G29" s="471" t="s">
        <v>669</v>
      </c>
      <c r="H29" s="471" t="s">
        <v>669</v>
      </c>
      <c r="J29" t="s">
        <v>669</v>
      </c>
    </row>
    <row r="30" spans="1:10">
      <c r="A30" s="429">
        <v>14</v>
      </c>
      <c r="B30" s="429" t="s">
        <v>367</v>
      </c>
      <c r="C30" s="539"/>
      <c r="D30" s="539"/>
      <c r="E30" s="539"/>
      <c r="F30" s="539"/>
    </row>
    <row r="31" spans="1:10">
      <c r="A31" s="495"/>
      <c r="B31" s="495" t="s">
        <v>368</v>
      </c>
      <c r="C31" s="558">
        <f>C19</f>
        <v>22778900</v>
      </c>
      <c r="D31" s="559">
        <f>SUM(D19:D30)</f>
        <v>4877518.5220499998</v>
      </c>
      <c r="E31" s="559">
        <f>SUM(E19:E30)</f>
        <v>605890.47794999997</v>
      </c>
      <c r="F31" s="559">
        <f>SUM(F19:F30)</f>
        <v>28262309</v>
      </c>
    </row>
    <row r="32" spans="1:10">
      <c r="C32" s="471"/>
      <c r="D32" s="471"/>
      <c r="E32" s="471"/>
      <c r="F32" s="471"/>
    </row>
    <row r="33" spans="2:6">
      <c r="B33" s="751" t="s">
        <v>369</v>
      </c>
      <c r="C33" s="752"/>
      <c r="D33" s="560">
        <v>21</v>
      </c>
      <c r="E33" s="471" t="s">
        <v>669</v>
      </c>
      <c r="F33" s="471">
        <f>29392123+784248-1914062-F31</f>
        <v>0</v>
      </c>
    </row>
    <row r="34" spans="2:6">
      <c r="B34" s="530" t="s">
        <v>370</v>
      </c>
      <c r="C34" s="561"/>
      <c r="D34" s="541">
        <v>1</v>
      </c>
      <c r="E34" s="471" t="s">
        <v>669</v>
      </c>
      <c r="F34" s="471" t="s">
        <v>669</v>
      </c>
    </row>
    <row r="35" spans="2:6">
      <c r="C35" s="471"/>
      <c r="D35" s="471"/>
      <c r="E35" s="471"/>
      <c r="F35" s="471"/>
    </row>
    <row r="36" spans="2:6">
      <c r="F36" s="471"/>
    </row>
    <row r="37" spans="2:6">
      <c r="F37" s="471"/>
    </row>
  </sheetData>
  <mergeCells count="5">
    <mergeCell ref="B33:C33"/>
    <mergeCell ref="A1:F1"/>
    <mergeCell ref="A2:F2"/>
    <mergeCell ref="A3:F3"/>
    <mergeCell ref="A5:F5"/>
  </mergeCells>
  <phoneticPr fontId="47"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10" workbookViewId="0">
      <selection activeCell="A3" sqref="A3:H3"/>
    </sheetView>
  </sheetViews>
  <sheetFormatPr defaultRowHeight="12.75"/>
  <cols>
    <col min="2" max="2" width="21.7109375" customWidth="1"/>
    <col min="3" max="3" width="5.7109375" customWidth="1"/>
    <col min="4" max="8" width="12.7109375" customWidth="1"/>
    <col min="10" max="10" width="13.7109375" customWidth="1"/>
    <col min="12" max="12" width="14.7109375" customWidth="1"/>
  </cols>
  <sheetData>
    <row r="1" spans="1:11" ht="15">
      <c r="A1" s="747" t="str">
        <f>'EIA 412 BALANCE SHEET'!A1:F1</f>
        <v>Elk River</v>
      </c>
      <c r="B1" s="747"/>
      <c r="C1" s="747"/>
      <c r="D1" s="747"/>
      <c r="E1" s="747"/>
      <c r="F1" s="747"/>
      <c r="G1" s="747"/>
      <c r="H1" s="747"/>
    </row>
    <row r="2" spans="1:11" ht="15">
      <c r="A2" s="744" t="s">
        <v>148</v>
      </c>
      <c r="B2" s="744"/>
      <c r="C2" s="744"/>
      <c r="D2" s="744"/>
      <c r="E2" s="744"/>
      <c r="F2" s="744"/>
      <c r="G2" s="744"/>
      <c r="H2" s="744"/>
    </row>
    <row r="3" spans="1:11" ht="15">
      <c r="A3" s="747">
        <f>'EIA 412 BALANCE SHEET'!A3:F3</f>
        <v>42004</v>
      </c>
      <c r="B3" s="747"/>
      <c r="C3" s="747"/>
      <c r="D3" s="747"/>
      <c r="E3" s="747"/>
      <c r="F3" s="747"/>
      <c r="G3" s="747"/>
      <c r="H3" s="747"/>
    </row>
    <row r="4" spans="1:11">
      <c r="A4" s="517"/>
    </row>
    <row r="5" spans="1:11">
      <c r="A5" s="753" t="s">
        <v>371</v>
      </c>
      <c r="B5" s="753"/>
      <c r="C5" s="753"/>
      <c r="D5" s="753"/>
      <c r="E5" s="753"/>
      <c r="F5" s="753"/>
      <c r="G5" s="753"/>
      <c r="H5" s="753"/>
    </row>
    <row r="6" spans="1:11">
      <c r="A6" s="511"/>
      <c r="B6" s="511"/>
      <c r="C6" s="511"/>
      <c r="D6" s="511" t="s">
        <v>372</v>
      </c>
      <c r="E6" s="511" t="s">
        <v>373</v>
      </c>
      <c r="F6" s="511" t="s">
        <v>374</v>
      </c>
      <c r="G6" s="511" t="s">
        <v>375</v>
      </c>
      <c r="H6" s="511" t="s">
        <v>376</v>
      </c>
    </row>
    <row r="7" spans="1:11">
      <c r="A7" s="428" t="s">
        <v>671</v>
      </c>
      <c r="B7" s="428"/>
      <c r="C7" s="428" t="s">
        <v>377</v>
      </c>
      <c r="D7" s="428" t="s">
        <v>378</v>
      </c>
      <c r="E7" s="428" t="s">
        <v>379</v>
      </c>
      <c r="F7" s="428" t="s">
        <v>380</v>
      </c>
      <c r="G7" s="428" t="s">
        <v>381</v>
      </c>
      <c r="H7" s="428" t="s">
        <v>382</v>
      </c>
    </row>
    <row r="8" spans="1:11">
      <c r="A8" s="430" t="s">
        <v>673</v>
      </c>
      <c r="B8" s="430" t="s">
        <v>383</v>
      </c>
      <c r="C8" s="430" t="s">
        <v>384</v>
      </c>
      <c r="D8" s="430" t="s">
        <v>385</v>
      </c>
      <c r="E8" s="430" t="s">
        <v>386</v>
      </c>
      <c r="F8" s="430" t="s">
        <v>387</v>
      </c>
      <c r="G8" s="430" t="s">
        <v>388</v>
      </c>
      <c r="H8" s="430" t="s">
        <v>387</v>
      </c>
    </row>
    <row r="9" spans="1:11">
      <c r="A9" s="445">
        <v>1</v>
      </c>
      <c r="B9" s="562"/>
      <c r="C9" s="563"/>
      <c r="D9" s="564">
        <v>0</v>
      </c>
      <c r="E9" s="565">
        <v>0</v>
      </c>
      <c r="F9" s="565">
        <v>0</v>
      </c>
      <c r="G9" s="564">
        <v>0</v>
      </c>
      <c r="H9" s="515">
        <f>SUM(F9:G9)</f>
        <v>0</v>
      </c>
      <c r="K9" s="566"/>
    </row>
    <row r="10" spans="1:11">
      <c r="A10" s="445">
        <v>2</v>
      </c>
      <c r="B10" s="562"/>
      <c r="C10" s="567"/>
      <c r="D10" s="564">
        <v>0</v>
      </c>
      <c r="E10" s="565">
        <v>0</v>
      </c>
      <c r="F10" s="565">
        <v>0</v>
      </c>
      <c r="G10" s="564">
        <v>0</v>
      </c>
      <c r="H10" s="515">
        <f>SUM(F10:G10)</f>
        <v>0</v>
      </c>
      <c r="K10" s="566"/>
    </row>
    <row r="11" spans="1:11">
      <c r="A11" s="445">
        <v>3</v>
      </c>
      <c r="B11" s="562"/>
      <c r="C11" s="563"/>
      <c r="D11" s="564">
        <v>0</v>
      </c>
      <c r="E11" s="565">
        <v>0</v>
      </c>
      <c r="F11" s="565">
        <v>0</v>
      </c>
      <c r="G11" s="564">
        <v>0</v>
      </c>
      <c r="H11" s="515">
        <f t="shared" ref="H11:H43" si="0">SUM(F11:G11)</f>
        <v>0</v>
      </c>
      <c r="K11" s="566"/>
    </row>
    <row r="12" spans="1:11">
      <c r="A12" s="445">
        <v>4</v>
      </c>
      <c r="B12" s="562"/>
      <c r="C12" s="563"/>
      <c r="D12" s="564">
        <v>0</v>
      </c>
      <c r="E12" s="565">
        <v>0</v>
      </c>
      <c r="F12" s="565">
        <v>0</v>
      </c>
      <c r="G12" s="564">
        <v>0</v>
      </c>
      <c r="H12" s="515">
        <f t="shared" si="0"/>
        <v>0</v>
      </c>
      <c r="K12" s="566"/>
    </row>
    <row r="13" spans="1:11">
      <c r="A13" s="445">
        <v>5</v>
      </c>
      <c r="B13" s="562"/>
      <c r="C13" s="563"/>
      <c r="D13" s="564">
        <v>0</v>
      </c>
      <c r="E13" s="565">
        <v>0</v>
      </c>
      <c r="F13" s="565">
        <v>0</v>
      </c>
      <c r="G13" s="564">
        <v>0</v>
      </c>
      <c r="H13" s="515">
        <f t="shared" si="0"/>
        <v>0</v>
      </c>
      <c r="K13" s="566"/>
    </row>
    <row r="14" spans="1:11">
      <c r="A14" s="445">
        <v>6</v>
      </c>
      <c r="B14" s="562"/>
      <c r="C14" s="563"/>
      <c r="D14" s="564">
        <v>0</v>
      </c>
      <c r="E14" s="565">
        <v>0</v>
      </c>
      <c r="F14" s="565">
        <v>0</v>
      </c>
      <c r="G14" s="565">
        <v>0</v>
      </c>
      <c r="H14" s="515">
        <f t="shared" si="0"/>
        <v>0</v>
      </c>
      <c r="K14" s="566"/>
    </row>
    <row r="15" spans="1:11">
      <c r="A15" s="445">
        <v>7</v>
      </c>
      <c r="B15" s="562"/>
      <c r="C15" s="563"/>
      <c r="D15" s="564">
        <v>0</v>
      </c>
      <c r="E15" s="565">
        <v>0</v>
      </c>
      <c r="F15" s="565">
        <v>0</v>
      </c>
      <c r="G15" s="565">
        <v>0</v>
      </c>
      <c r="H15" s="515">
        <f t="shared" si="0"/>
        <v>0</v>
      </c>
      <c r="K15" s="566"/>
    </row>
    <row r="16" spans="1:11">
      <c r="A16" s="445">
        <v>8</v>
      </c>
      <c r="B16" s="562"/>
      <c r="C16" s="563"/>
      <c r="D16" s="564">
        <v>0</v>
      </c>
      <c r="E16" s="565">
        <v>0</v>
      </c>
      <c r="F16" s="565">
        <v>0</v>
      </c>
      <c r="G16" s="565">
        <v>0</v>
      </c>
      <c r="H16" s="515">
        <f t="shared" si="0"/>
        <v>0</v>
      </c>
      <c r="K16" s="566"/>
    </row>
    <row r="17" spans="1:11">
      <c r="A17" s="445">
        <v>9</v>
      </c>
      <c r="B17" s="562"/>
      <c r="C17" s="563"/>
      <c r="D17" s="564">
        <v>0</v>
      </c>
      <c r="E17" s="565">
        <v>0</v>
      </c>
      <c r="F17" s="565">
        <v>0</v>
      </c>
      <c r="G17" s="565">
        <v>0</v>
      </c>
      <c r="H17" s="515">
        <f t="shared" si="0"/>
        <v>0</v>
      </c>
      <c r="K17" s="566"/>
    </row>
    <row r="18" spans="1:11">
      <c r="A18" s="445">
        <v>10</v>
      </c>
      <c r="B18" s="562"/>
      <c r="C18" s="563"/>
      <c r="D18" s="564">
        <v>0</v>
      </c>
      <c r="E18" s="565">
        <v>0</v>
      </c>
      <c r="F18" s="565">
        <v>0</v>
      </c>
      <c r="G18" s="565">
        <v>0</v>
      </c>
      <c r="H18" s="515">
        <f t="shared" si="0"/>
        <v>0</v>
      </c>
      <c r="K18" s="566"/>
    </row>
    <row r="19" spans="1:11">
      <c r="A19" s="445">
        <v>11</v>
      </c>
      <c r="B19" s="562"/>
      <c r="C19" s="563"/>
      <c r="D19" s="564">
        <v>0</v>
      </c>
      <c r="E19" s="565">
        <v>0</v>
      </c>
      <c r="F19" s="565">
        <v>0</v>
      </c>
      <c r="G19" s="565">
        <v>0</v>
      </c>
      <c r="H19" s="515">
        <f t="shared" si="0"/>
        <v>0</v>
      </c>
      <c r="K19" s="566"/>
    </row>
    <row r="20" spans="1:11">
      <c r="A20" s="445">
        <v>12</v>
      </c>
      <c r="B20" s="562"/>
      <c r="C20" s="563"/>
      <c r="D20" s="564">
        <v>0</v>
      </c>
      <c r="E20" s="565">
        <v>0</v>
      </c>
      <c r="F20" s="565">
        <v>0</v>
      </c>
      <c r="G20" s="565">
        <v>0</v>
      </c>
      <c r="H20" s="515">
        <f t="shared" si="0"/>
        <v>0</v>
      </c>
      <c r="K20" s="566"/>
    </row>
    <row r="21" spans="1:11">
      <c r="A21" s="445">
        <v>13</v>
      </c>
      <c r="B21" s="562"/>
      <c r="C21" s="563"/>
      <c r="D21" s="564">
        <v>0</v>
      </c>
      <c r="E21" s="565">
        <v>0</v>
      </c>
      <c r="F21" s="565">
        <v>0</v>
      </c>
      <c r="G21" s="565">
        <v>0</v>
      </c>
      <c r="H21" s="515">
        <f t="shared" si="0"/>
        <v>0</v>
      </c>
      <c r="K21" s="566"/>
    </row>
    <row r="22" spans="1:11">
      <c r="A22" s="445">
        <v>14</v>
      </c>
      <c r="B22" s="562"/>
      <c r="C22" s="563"/>
      <c r="D22" s="564">
        <v>0</v>
      </c>
      <c r="E22" s="565">
        <v>0</v>
      </c>
      <c r="F22" s="565">
        <v>0</v>
      </c>
      <c r="G22" s="565">
        <v>0</v>
      </c>
      <c r="H22" s="515">
        <f t="shared" si="0"/>
        <v>0</v>
      </c>
      <c r="J22" s="568"/>
    </row>
    <row r="23" spans="1:11">
      <c r="A23" s="445">
        <v>15</v>
      </c>
      <c r="B23" s="562"/>
      <c r="C23" s="563"/>
      <c r="D23" s="564">
        <v>0</v>
      </c>
      <c r="E23" s="565">
        <v>0</v>
      </c>
      <c r="F23" s="565">
        <v>0</v>
      </c>
      <c r="G23" s="565">
        <v>0</v>
      </c>
      <c r="H23" s="515">
        <f t="shared" si="0"/>
        <v>0</v>
      </c>
    </row>
    <row r="24" spans="1:11">
      <c r="A24" s="445">
        <v>16</v>
      </c>
      <c r="B24" s="562"/>
      <c r="C24" s="563"/>
      <c r="D24" s="564">
        <v>0</v>
      </c>
      <c r="E24" s="565">
        <v>0</v>
      </c>
      <c r="F24" s="565">
        <v>0</v>
      </c>
      <c r="G24" s="565">
        <v>0</v>
      </c>
      <c r="H24" s="515">
        <f t="shared" si="0"/>
        <v>0</v>
      </c>
    </row>
    <row r="25" spans="1:11">
      <c r="A25" s="445">
        <v>17</v>
      </c>
      <c r="B25" s="562"/>
      <c r="C25" s="563"/>
      <c r="D25" s="564">
        <v>0</v>
      </c>
      <c r="E25" s="565">
        <v>0</v>
      </c>
      <c r="F25" s="565">
        <v>0</v>
      </c>
      <c r="G25" s="565">
        <v>0</v>
      </c>
      <c r="H25" s="515">
        <f t="shared" si="0"/>
        <v>0</v>
      </c>
    </row>
    <row r="26" spans="1:11">
      <c r="A26" s="445">
        <v>18</v>
      </c>
      <c r="B26" s="562"/>
      <c r="C26" s="563"/>
      <c r="D26" s="564">
        <v>0</v>
      </c>
      <c r="E26" s="565">
        <v>0</v>
      </c>
      <c r="F26" s="565">
        <v>0</v>
      </c>
      <c r="G26" s="565">
        <v>0</v>
      </c>
      <c r="H26" s="515">
        <f t="shared" si="0"/>
        <v>0</v>
      </c>
    </row>
    <row r="27" spans="1:11">
      <c r="A27" s="445">
        <v>19</v>
      </c>
      <c r="B27" s="562"/>
      <c r="C27" s="563"/>
      <c r="D27" s="564">
        <v>0</v>
      </c>
      <c r="E27" s="565">
        <v>0</v>
      </c>
      <c r="F27" s="565">
        <v>0</v>
      </c>
      <c r="G27" s="565">
        <v>0</v>
      </c>
      <c r="H27" s="515">
        <f t="shared" si="0"/>
        <v>0</v>
      </c>
    </row>
    <row r="28" spans="1:11">
      <c r="A28" s="445">
        <v>20</v>
      </c>
      <c r="B28" s="562"/>
      <c r="C28" s="563"/>
      <c r="D28" s="564">
        <v>0</v>
      </c>
      <c r="E28" s="565">
        <v>0</v>
      </c>
      <c r="F28" s="565">
        <v>0</v>
      </c>
      <c r="G28" s="565">
        <v>0</v>
      </c>
      <c r="H28" s="515">
        <f t="shared" si="0"/>
        <v>0</v>
      </c>
    </row>
    <row r="29" spans="1:11">
      <c r="A29" s="445">
        <v>21</v>
      </c>
      <c r="B29" s="562"/>
      <c r="C29" s="563"/>
      <c r="D29" s="564">
        <v>0</v>
      </c>
      <c r="E29" s="565">
        <v>0</v>
      </c>
      <c r="F29" s="565">
        <v>0</v>
      </c>
      <c r="G29" s="565">
        <v>0</v>
      </c>
      <c r="H29" s="515">
        <f t="shared" si="0"/>
        <v>0</v>
      </c>
      <c r="J29" t="s">
        <v>669</v>
      </c>
    </row>
    <row r="30" spans="1:11">
      <c r="A30" s="445">
        <v>22</v>
      </c>
      <c r="B30" s="562"/>
      <c r="C30" s="563"/>
      <c r="D30" s="565">
        <v>0</v>
      </c>
      <c r="E30" s="565">
        <v>0</v>
      </c>
      <c r="F30" s="565">
        <v>0</v>
      </c>
      <c r="G30" s="565">
        <v>0</v>
      </c>
      <c r="H30" s="515">
        <f t="shared" si="0"/>
        <v>0</v>
      </c>
    </row>
    <row r="31" spans="1:11">
      <c r="A31" s="445">
        <v>23</v>
      </c>
      <c r="B31" s="562"/>
      <c r="C31" s="563"/>
      <c r="D31" s="565">
        <v>0</v>
      </c>
      <c r="E31" s="565">
        <v>0</v>
      </c>
      <c r="F31" s="565">
        <v>0</v>
      </c>
      <c r="G31" s="565">
        <v>0</v>
      </c>
      <c r="H31" s="515">
        <f t="shared" si="0"/>
        <v>0</v>
      </c>
    </row>
    <row r="32" spans="1:11">
      <c r="A32" s="445">
        <v>24</v>
      </c>
      <c r="B32" s="562"/>
      <c r="C32" s="563"/>
      <c r="D32" s="565">
        <v>0</v>
      </c>
      <c r="E32" s="565">
        <v>0</v>
      </c>
      <c r="F32" s="565">
        <v>0</v>
      </c>
      <c r="G32" s="565">
        <v>0</v>
      </c>
      <c r="H32" s="515">
        <f t="shared" si="0"/>
        <v>0</v>
      </c>
    </row>
    <row r="33" spans="1:8">
      <c r="A33" s="445">
        <v>25</v>
      </c>
      <c r="B33" s="562"/>
      <c r="C33" s="563"/>
      <c r="D33" s="565">
        <v>0</v>
      </c>
      <c r="E33" s="565">
        <v>0</v>
      </c>
      <c r="F33" s="565">
        <v>0</v>
      </c>
      <c r="G33" s="565">
        <v>0</v>
      </c>
      <c r="H33" s="515">
        <f t="shared" si="0"/>
        <v>0</v>
      </c>
    </row>
    <row r="34" spans="1:8">
      <c r="A34" s="445">
        <v>26</v>
      </c>
      <c r="B34" s="562"/>
      <c r="C34" s="563"/>
      <c r="D34" s="565">
        <v>0</v>
      </c>
      <c r="E34" s="565">
        <v>0</v>
      </c>
      <c r="F34" s="565">
        <v>0</v>
      </c>
      <c r="G34" s="565">
        <v>0</v>
      </c>
      <c r="H34" s="515">
        <f t="shared" si="0"/>
        <v>0</v>
      </c>
    </row>
    <row r="35" spans="1:8">
      <c r="A35" s="445">
        <v>27</v>
      </c>
      <c r="B35" s="562"/>
      <c r="C35" s="563"/>
      <c r="D35" s="565">
        <v>0</v>
      </c>
      <c r="E35" s="565">
        <v>0</v>
      </c>
      <c r="F35" s="565">
        <v>0</v>
      </c>
      <c r="G35" s="565">
        <v>0</v>
      </c>
      <c r="H35" s="515">
        <f t="shared" si="0"/>
        <v>0</v>
      </c>
    </row>
    <row r="36" spans="1:8">
      <c r="A36" s="445">
        <v>28</v>
      </c>
      <c r="B36" s="562"/>
      <c r="C36" s="563"/>
      <c r="D36" s="565">
        <v>0</v>
      </c>
      <c r="E36" s="565">
        <v>0</v>
      </c>
      <c r="F36" s="565">
        <v>0</v>
      </c>
      <c r="G36" s="565">
        <v>0</v>
      </c>
      <c r="H36" s="515">
        <f t="shared" si="0"/>
        <v>0</v>
      </c>
    </row>
    <row r="37" spans="1:8">
      <c r="A37" s="445">
        <v>29</v>
      </c>
      <c r="B37" s="562"/>
      <c r="C37" s="563"/>
      <c r="D37" s="565">
        <v>0</v>
      </c>
      <c r="E37" s="565">
        <v>0</v>
      </c>
      <c r="F37" s="565">
        <v>0</v>
      </c>
      <c r="G37" s="565">
        <v>0</v>
      </c>
      <c r="H37" s="515">
        <f t="shared" si="0"/>
        <v>0</v>
      </c>
    </row>
    <row r="38" spans="1:8">
      <c r="A38" s="445">
        <v>30</v>
      </c>
      <c r="B38" s="562"/>
      <c r="C38" s="563"/>
      <c r="D38" s="565">
        <v>0</v>
      </c>
      <c r="E38" s="565">
        <v>0</v>
      </c>
      <c r="F38" s="565">
        <v>0</v>
      </c>
      <c r="G38" s="565">
        <v>0</v>
      </c>
      <c r="H38" s="515">
        <f t="shared" si="0"/>
        <v>0</v>
      </c>
    </row>
    <row r="39" spans="1:8">
      <c r="A39" s="445">
        <v>31</v>
      </c>
      <c r="B39" s="562"/>
      <c r="C39" s="563"/>
      <c r="D39" s="565">
        <v>0</v>
      </c>
      <c r="E39" s="565">
        <v>0</v>
      </c>
      <c r="F39" s="565">
        <v>0</v>
      </c>
      <c r="G39" s="565">
        <v>0</v>
      </c>
      <c r="H39" s="515">
        <f t="shared" si="0"/>
        <v>0</v>
      </c>
    </row>
    <row r="40" spans="1:8">
      <c r="A40" s="445">
        <v>32</v>
      </c>
      <c r="B40" s="562"/>
      <c r="C40" s="563"/>
      <c r="D40" s="565">
        <v>0</v>
      </c>
      <c r="E40" s="565">
        <v>0</v>
      </c>
      <c r="F40" s="565">
        <v>0</v>
      </c>
      <c r="G40" s="565">
        <v>0</v>
      </c>
      <c r="H40" s="515">
        <f t="shared" si="0"/>
        <v>0</v>
      </c>
    </row>
    <row r="41" spans="1:8">
      <c r="A41" s="445">
        <v>33</v>
      </c>
      <c r="B41" s="562"/>
      <c r="C41" s="563"/>
      <c r="D41" s="565">
        <v>0</v>
      </c>
      <c r="E41" s="565">
        <v>0</v>
      </c>
      <c r="F41" s="565">
        <v>0</v>
      </c>
      <c r="G41" s="565">
        <v>0</v>
      </c>
      <c r="H41" s="515">
        <f t="shared" si="0"/>
        <v>0</v>
      </c>
    </row>
    <row r="42" spans="1:8">
      <c r="A42" s="445">
        <v>34</v>
      </c>
      <c r="B42" s="562"/>
      <c r="C42" s="563"/>
      <c r="D42" s="565">
        <v>0</v>
      </c>
      <c r="E42" s="565">
        <v>0</v>
      </c>
      <c r="F42" s="565">
        <v>0</v>
      </c>
      <c r="G42" s="565">
        <v>0</v>
      </c>
      <c r="H42" s="515">
        <f t="shared" si="0"/>
        <v>0</v>
      </c>
    </row>
    <row r="43" spans="1:8">
      <c r="A43" s="445">
        <v>35</v>
      </c>
      <c r="B43" s="562"/>
      <c r="C43" s="563"/>
      <c r="D43" s="564">
        <v>0</v>
      </c>
      <c r="E43" s="564">
        <v>0</v>
      </c>
      <c r="F43" s="564">
        <v>0</v>
      </c>
      <c r="G43" s="564">
        <v>0</v>
      </c>
      <c r="H43" s="515">
        <f t="shared" si="0"/>
        <v>0</v>
      </c>
    </row>
    <row r="44" spans="1:8">
      <c r="A44" s="443"/>
      <c r="B44" s="443"/>
      <c r="C44" s="445"/>
      <c r="D44" s="515">
        <f>SUM(D9:D43)</f>
        <v>0</v>
      </c>
      <c r="E44" s="515">
        <f>SUM(E9:E43)</f>
        <v>0</v>
      </c>
      <c r="F44" s="515">
        <f>SUM(F9:F43)</f>
        <v>0</v>
      </c>
      <c r="G44" s="515">
        <f>SUM(G9:G43)</f>
        <v>0</v>
      </c>
      <c r="H44" s="515">
        <f>SUM(H9:H43)</f>
        <v>0</v>
      </c>
    </row>
    <row r="45" spans="1:8">
      <c r="D45" s="471"/>
      <c r="E45" s="471"/>
      <c r="F45" s="471"/>
      <c r="G45" s="471"/>
      <c r="H45" s="471"/>
    </row>
    <row r="46" spans="1:8">
      <c r="B46" s="175"/>
      <c r="D46" s="471"/>
      <c r="E46" s="471"/>
      <c r="F46" s="471" t="s">
        <v>669</v>
      </c>
      <c r="G46" s="471" t="s">
        <v>669</v>
      </c>
      <c r="H46" s="471"/>
    </row>
    <row r="47" spans="1:8">
      <c r="D47" s="471"/>
      <c r="E47" s="471"/>
      <c r="F47" s="471"/>
      <c r="G47" s="471"/>
      <c r="H47" s="471"/>
    </row>
    <row r="48" spans="1:8">
      <c r="D48" s="471"/>
      <c r="E48" s="471"/>
      <c r="F48" s="471"/>
      <c r="G48" s="471"/>
      <c r="H48" s="471"/>
    </row>
  </sheetData>
  <mergeCells count="4">
    <mergeCell ref="A1:H1"/>
    <mergeCell ref="A2:H2"/>
    <mergeCell ref="A3:H3"/>
    <mergeCell ref="A5:H5"/>
  </mergeCells>
  <phoneticPr fontId="47"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opLeftCell="A19" workbookViewId="0">
      <selection activeCell="J9" sqref="J9"/>
    </sheetView>
  </sheetViews>
  <sheetFormatPr defaultRowHeight="12.75"/>
  <cols>
    <col min="2" max="2" width="21.7109375" customWidth="1"/>
    <col min="3" max="3" width="5.7109375" customWidth="1"/>
    <col min="4" max="7" width="12.7109375" customWidth="1"/>
    <col min="8" max="8" width="14" customWidth="1"/>
    <col min="9" max="9" width="11.28515625" bestFit="1" customWidth="1"/>
  </cols>
  <sheetData>
    <row r="1" spans="1:10" ht="15">
      <c r="A1" s="747" t="str">
        <f>'EIA 412 BALANCE SHEET'!A1:F1</f>
        <v>Elk River</v>
      </c>
      <c r="B1" s="747"/>
      <c r="C1" s="747"/>
      <c r="D1" s="747"/>
      <c r="E1" s="747"/>
      <c r="F1" s="747"/>
      <c r="G1" s="747"/>
      <c r="H1" s="747"/>
    </row>
    <row r="2" spans="1:10" ht="15">
      <c r="A2" s="744" t="s">
        <v>148</v>
      </c>
      <c r="B2" s="744"/>
      <c r="C2" s="744"/>
      <c r="D2" s="744"/>
      <c r="E2" s="744"/>
      <c r="F2" s="744"/>
      <c r="G2" s="744"/>
      <c r="H2" s="744"/>
    </row>
    <row r="3" spans="1:10" ht="15">
      <c r="A3" s="747">
        <f>'EIA 412 BALANCE SHEET'!A3:F3</f>
        <v>42004</v>
      </c>
      <c r="B3" s="747"/>
      <c r="C3" s="747"/>
      <c r="D3" s="747"/>
      <c r="E3" s="747"/>
      <c r="F3" s="747"/>
      <c r="G3" s="747"/>
      <c r="H3" s="747"/>
    </row>
    <row r="4" spans="1:10">
      <c r="A4" s="517"/>
    </row>
    <row r="5" spans="1:10">
      <c r="A5" s="753" t="s">
        <v>389</v>
      </c>
      <c r="B5" s="753"/>
      <c r="C5" s="753"/>
      <c r="D5" s="753"/>
      <c r="E5" s="753"/>
      <c r="F5" s="753"/>
      <c r="G5" s="753"/>
      <c r="H5" s="753"/>
    </row>
    <row r="6" spans="1:10">
      <c r="A6" s="511"/>
      <c r="B6" s="511"/>
      <c r="C6" s="511"/>
      <c r="D6" s="511" t="s">
        <v>372</v>
      </c>
      <c r="E6" s="511" t="s">
        <v>373</v>
      </c>
      <c r="F6" s="511" t="s">
        <v>374</v>
      </c>
      <c r="G6" s="511" t="s">
        <v>375</v>
      </c>
      <c r="H6" s="511" t="s">
        <v>376</v>
      </c>
    </row>
    <row r="7" spans="1:10">
      <c r="A7" s="428" t="s">
        <v>671</v>
      </c>
      <c r="B7" s="428"/>
      <c r="C7" s="428" t="s">
        <v>377</v>
      </c>
      <c r="D7" s="428" t="s">
        <v>390</v>
      </c>
      <c r="E7" s="428" t="s">
        <v>379</v>
      </c>
      <c r="F7" s="428" t="s">
        <v>380</v>
      </c>
      <c r="G7" s="428" t="s">
        <v>381</v>
      </c>
      <c r="H7" s="428" t="s">
        <v>382</v>
      </c>
    </row>
    <row r="8" spans="1:10">
      <c r="A8" s="430" t="s">
        <v>673</v>
      </c>
      <c r="B8" s="430" t="s">
        <v>391</v>
      </c>
      <c r="C8" s="430" t="s">
        <v>384</v>
      </c>
      <c r="D8" s="430" t="s">
        <v>385</v>
      </c>
      <c r="E8" s="430" t="s">
        <v>386</v>
      </c>
      <c r="F8" s="430" t="s">
        <v>387</v>
      </c>
      <c r="G8" s="430" t="s">
        <v>388</v>
      </c>
      <c r="H8" s="430" t="s">
        <v>387</v>
      </c>
    </row>
    <row r="9" spans="1:10">
      <c r="A9" s="445">
        <v>1</v>
      </c>
      <c r="B9" s="562" t="s">
        <v>332</v>
      </c>
      <c r="C9" s="563" t="s">
        <v>392</v>
      </c>
      <c r="D9" s="565">
        <v>0</v>
      </c>
      <c r="E9" s="565">
        <v>0</v>
      </c>
      <c r="F9" s="565">
        <v>0</v>
      </c>
      <c r="G9" s="565">
        <f>21994652+784248</f>
        <v>22778900</v>
      </c>
      <c r="H9" s="507">
        <f>SUM(F9:G9)</f>
        <v>22778900</v>
      </c>
      <c r="J9" t="s">
        <v>887</v>
      </c>
    </row>
    <row r="10" spans="1:10">
      <c r="A10" s="445">
        <v>2</v>
      </c>
      <c r="B10" s="562"/>
      <c r="C10" s="563"/>
      <c r="D10" s="565">
        <v>0</v>
      </c>
      <c r="E10" s="565">
        <v>0</v>
      </c>
      <c r="F10" s="565">
        <v>0</v>
      </c>
      <c r="G10" s="565">
        <v>0</v>
      </c>
      <c r="H10" s="507">
        <f>SUM(F10:G10)</f>
        <v>0</v>
      </c>
    </row>
    <row r="11" spans="1:10">
      <c r="A11" s="445">
        <v>3</v>
      </c>
      <c r="B11" s="562"/>
      <c r="C11" s="563"/>
      <c r="D11" s="565">
        <v>0</v>
      </c>
      <c r="E11" s="565">
        <v>0</v>
      </c>
      <c r="F11" s="565">
        <v>0</v>
      </c>
      <c r="G11" s="565">
        <v>0</v>
      </c>
      <c r="H11" s="507">
        <f t="shared" ref="H11:H43" si="0">SUM(F11:G11)</f>
        <v>0</v>
      </c>
    </row>
    <row r="12" spans="1:10">
      <c r="A12" s="445">
        <v>4</v>
      </c>
      <c r="B12" s="562"/>
      <c r="C12" s="563"/>
      <c r="D12" s="565">
        <v>0</v>
      </c>
      <c r="E12" s="565">
        <v>0</v>
      </c>
      <c r="F12" s="565">
        <v>0</v>
      </c>
      <c r="G12" s="565">
        <v>0</v>
      </c>
      <c r="H12" s="507">
        <f t="shared" si="0"/>
        <v>0</v>
      </c>
    </row>
    <row r="13" spans="1:10">
      <c r="A13" s="445">
        <v>5</v>
      </c>
      <c r="B13" s="562"/>
      <c r="C13" s="563"/>
      <c r="D13" s="565">
        <v>0</v>
      </c>
      <c r="E13" s="565">
        <v>0</v>
      </c>
      <c r="F13" s="565">
        <v>0</v>
      </c>
      <c r="G13" s="565">
        <v>0</v>
      </c>
      <c r="H13" s="507">
        <f t="shared" si="0"/>
        <v>0</v>
      </c>
    </row>
    <row r="14" spans="1:10">
      <c r="A14" s="445">
        <v>6</v>
      </c>
      <c r="B14" s="562"/>
      <c r="C14" s="563"/>
      <c r="D14" s="565">
        <v>0</v>
      </c>
      <c r="E14" s="565">
        <v>0</v>
      </c>
      <c r="F14" s="565">
        <v>0</v>
      </c>
      <c r="G14" s="565">
        <v>0</v>
      </c>
      <c r="H14" s="507">
        <f t="shared" si="0"/>
        <v>0</v>
      </c>
    </row>
    <row r="15" spans="1:10">
      <c r="A15" s="445">
        <v>7</v>
      </c>
      <c r="B15" s="562"/>
      <c r="C15" s="563"/>
      <c r="D15" s="565">
        <v>0</v>
      </c>
      <c r="E15" s="565">
        <v>0</v>
      </c>
      <c r="F15" s="565">
        <v>0</v>
      </c>
      <c r="G15" s="565">
        <v>0</v>
      </c>
      <c r="H15" s="507">
        <f t="shared" si="0"/>
        <v>0</v>
      </c>
    </row>
    <row r="16" spans="1:10">
      <c r="A16" s="445">
        <v>8</v>
      </c>
      <c r="B16" s="562"/>
      <c r="C16" s="563"/>
      <c r="D16" s="565">
        <v>0</v>
      </c>
      <c r="E16" s="565">
        <v>0</v>
      </c>
      <c r="F16" s="565">
        <v>0</v>
      </c>
      <c r="G16" s="565">
        <v>0</v>
      </c>
      <c r="H16" s="507">
        <f t="shared" si="0"/>
        <v>0</v>
      </c>
    </row>
    <row r="17" spans="1:10">
      <c r="A17" s="445">
        <v>9</v>
      </c>
      <c r="B17" s="569"/>
      <c r="C17" s="570"/>
      <c r="D17" s="565">
        <v>0</v>
      </c>
      <c r="E17" s="565">
        <v>0</v>
      </c>
      <c r="F17" s="565">
        <v>0</v>
      </c>
      <c r="G17" s="565">
        <v>0</v>
      </c>
      <c r="H17" s="507">
        <f t="shared" si="0"/>
        <v>0</v>
      </c>
    </row>
    <row r="18" spans="1:10">
      <c r="A18" s="445">
        <v>10</v>
      </c>
      <c r="B18" s="562"/>
      <c r="C18" s="563"/>
      <c r="D18" s="565">
        <v>0</v>
      </c>
      <c r="E18" s="565">
        <v>0</v>
      </c>
      <c r="F18" s="565">
        <v>0</v>
      </c>
      <c r="G18" s="565">
        <v>0</v>
      </c>
      <c r="H18" s="507">
        <f t="shared" si="0"/>
        <v>0</v>
      </c>
    </row>
    <row r="19" spans="1:10">
      <c r="A19" s="445">
        <v>11</v>
      </c>
      <c r="B19" s="562"/>
      <c r="C19" s="563"/>
      <c r="D19" s="513">
        <v>0</v>
      </c>
      <c r="E19" s="565">
        <v>0</v>
      </c>
      <c r="F19" s="513">
        <v>0</v>
      </c>
      <c r="G19" s="513">
        <v>0</v>
      </c>
      <c r="H19" s="515">
        <f t="shared" si="0"/>
        <v>0</v>
      </c>
    </row>
    <row r="20" spans="1:10">
      <c r="A20" s="445">
        <v>12</v>
      </c>
      <c r="B20" s="562"/>
      <c r="C20" s="563"/>
      <c r="D20" s="513">
        <v>0</v>
      </c>
      <c r="E20" s="565">
        <v>0</v>
      </c>
      <c r="F20" s="513">
        <v>0</v>
      </c>
      <c r="G20" s="513">
        <v>0</v>
      </c>
      <c r="H20" s="515">
        <f t="shared" si="0"/>
        <v>0</v>
      </c>
    </row>
    <row r="21" spans="1:10">
      <c r="A21" s="445">
        <v>13</v>
      </c>
      <c r="B21" s="562"/>
      <c r="C21" s="563"/>
      <c r="D21" s="513">
        <v>0</v>
      </c>
      <c r="E21" s="565">
        <v>0</v>
      </c>
      <c r="F21" s="513">
        <v>0</v>
      </c>
      <c r="G21" s="513">
        <v>0</v>
      </c>
      <c r="H21" s="515">
        <f t="shared" si="0"/>
        <v>0</v>
      </c>
    </row>
    <row r="22" spans="1:10">
      <c r="A22" s="445">
        <v>14</v>
      </c>
      <c r="B22" s="562"/>
      <c r="C22" s="563"/>
      <c r="D22" s="513">
        <v>0</v>
      </c>
      <c r="E22" s="565">
        <v>0</v>
      </c>
      <c r="F22" s="513">
        <v>0</v>
      </c>
      <c r="G22" s="513">
        <v>0</v>
      </c>
      <c r="H22" s="515">
        <f t="shared" si="0"/>
        <v>0</v>
      </c>
    </row>
    <row r="23" spans="1:10">
      <c r="A23" s="445">
        <v>15</v>
      </c>
      <c r="B23" s="562"/>
      <c r="C23" s="563"/>
      <c r="D23" s="513">
        <v>0</v>
      </c>
      <c r="E23" s="565">
        <v>0</v>
      </c>
      <c r="F23" s="513">
        <v>0</v>
      </c>
      <c r="G23" s="513">
        <v>0</v>
      </c>
      <c r="H23" s="515">
        <f t="shared" si="0"/>
        <v>0</v>
      </c>
    </row>
    <row r="24" spans="1:10">
      <c r="A24" s="445">
        <v>16</v>
      </c>
      <c r="B24" s="562"/>
      <c r="C24" s="563"/>
      <c r="D24" s="513">
        <v>0</v>
      </c>
      <c r="E24" s="565">
        <v>0</v>
      </c>
      <c r="F24" s="513">
        <v>0</v>
      </c>
      <c r="G24" s="513">
        <v>0</v>
      </c>
      <c r="H24" s="515">
        <f t="shared" si="0"/>
        <v>0</v>
      </c>
    </row>
    <row r="25" spans="1:10">
      <c r="A25" s="445">
        <v>17</v>
      </c>
      <c r="B25" s="562"/>
      <c r="C25" s="563"/>
      <c r="D25" s="513">
        <v>0</v>
      </c>
      <c r="E25" s="565">
        <v>0</v>
      </c>
      <c r="F25" s="513">
        <v>0</v>
      </c>
      <c r="G25" s="513">
        <v>0</v>
      </c>
      <c r="H25" s="515">
        <f>SUM(G25:G25)</f>
        <v>0</v>
      </c>
    </row>
    <row r="26" spans="1:10">
      <c r="A26" s="445">
        <v>18</v>
      </c>
      <c r="B26" s="562"/>
      <c r="C26" s="563"/>
      <c r="D26" s="513">
        <v>0</v>
      </c>
      <c r="E26" s="565">
        <v>0</v>
      </c>
      <c r="F26" s="513">
        <v>0</v>
      </c>
      <c r="G26" s="513">
        <v>0</v>
      </c>
      <c r="H26" s="515">
        <f>SUM(G26:G26)</f>
        <v>0</v>
      </c>
    </row>
    <row r="27" spans="1:10">
      <c r="A27" s="445">
        <v>19</v>
      </c>
      <c r="B27" s="562"/>
      <c r="C27" s="563"/>
      <c r="D27" s="513">
        <v>0</v>
      </c>
      <c r="E27" s="513">
        <v>0</v>
      </c>
      <c r="F27" s="513">
        <v>0</v>
      </c>
      <c r="G27" s="513">
        <v>0</v>
      </c>
      <c r="H27" s="515">
        <f t="shared" si="0"/>
        <v>0</v>
      </c>
    </row>
    <row r="28" spans="1:10">
      <c r="A28" s="445">
        <v>20</v>
      </c>
      <c r="B28" s="562"/>
      <c r="C28" s="563"/>
      <c r="D28" s="513">
        <v>0</v>
      </c>
      <c r="E28" s="513">
        <v>0</v>
      </c>
      <c r="F28" s="513">
        <v>0</v>
      </c>
      <c r="G28" s="513">
        <v>0</v>
      </c>
      <c r="H28" s="515">
        <f t="shared" si="0"/>
        <v>0</v>
      </c>
    </row>
    <row r="29" spans="1:10">
      <c r="A29" s="445">
        <v>21</v>
      </c>
      <c r="B29" s="562"/>
      <c r="C29" s="563"/>
      <c r="D29" s="513">
        <v>0</v>
      </c>
      <c r="E29" s="513">
        <v>0</v>
      </c>
      <c r="F29" s="513">
        <v>0</v>
      </c>
      <c r="G29" s="513">
        <v>0</v>
      </c>
      <c r="H29" s="515">
        <f t="shared" si="0"/>
        <v>0</v>
      </c>
      <c r="J29" t="s">
        <v>669</v>
      </c>
    </row>
    <row r="30" spans="1:10">
      <c r="A30" s="445">
        <v>22</v>
      </c>
      <c r="B30" s="562"/>
      <c r="C30" s="563"/>
      <c r="D30" s="513">
        <v>0</v>
      </c>
      <c r="E30" s="513">
        <v>0</v>
      </c>
      <c r="F30" s="513">
        <v>0</v>
      </c>
      <c r="G30" s="513">
        <v>0</v>
      </c>
      <c r="H30" s="515">
        <f t="shared" si="0"/>
        <v>0</v>
      </c>
    </row>
    <row r="31" spans="1:10">
      <c r="A31" s="445">
        <v>23</v>
      </c>
      <c r="B31" s="562"/>
      <c r="C31" s="563"/>
      <c r="D31" s="513">
        <v>0</v>
      </c>
      <c r="E31" s="513">
        <v>0</v>
      </c>
      <c r="F31" s="513">
        <v>0</v>
      </c>
      <c r="G31" s="513">
        <v>0</v>
      </c>
      <c r="H31" s="515">
        <f t="shared" si="0"/>
        <v>0</v>
      </c>
    </row>
    <row r="32" spans="1:10">
      <c r="A32" s="445">
        <v>24</v>
      </c>
      <c r="B32" s="562"/>
      <c r="C32" s="563"/>
      <c r="D32" s="513">
        <v>0</v>
      </c>
      <c r="E32" s="513">
        <v>0</v>
      </c>
      <c r="F32" s="513">
        <v>0</v>
      </c>
      <c r="G32" s="513">
        <v>0</v>
      </c>
      <c r="H32" s="515">
        <f t="shared" si="0"/>
        <v>0</v>
      </c>
    </row>
    <row r="33" spans="1:8">
      <c r="A33" s="445">
        <v>25</v>
      </c>
      <c r="B33" s="562"/>
      <c r="C33" s="563"/>
      <c r="D33" s="513">
        <v>0</v>
      </c>
      <c r="E33" s="513">
        <v>0</v>
      </c>
      <c r="F33" s="513">
        <v>0</v>
      </c>
      <c r="G33" s="513">
        <v>0</v>
      </c>
      <c r="H33" s="515">
        <f t="shared" si="0"/>
        <v>0</v>
      </c>
    </row>
    <row r="34" spans="1:8">
      <c r="A34" s="445">
        <v>26</v>
      </c>
      <c r="B34" s="562"/>
      <c r="C34" s="563"/>
      <c r="D34" s="513">
        <v>0</v>
      </c>
      <c r="E34" s="513">
        <v>0</v>
      </c>
      <c r="F34" s="513">
        <v>0</v>
      </c>
      <c r="G34" s="513">
        <v>0</v>
      </c>
      <c r="H34" s="515">
        <f t="shared" si="0"/>
        <v>0</v>
      </c>
    </row>
    <row r="35" spans="1:8">
      <c r="A35" s="445">
        <v>27</v>
      </c>
      <c r="B35" s="562"/>
      <c r="C35" s="563"/>
      <c r="D35" s="513">
        <v>0</v>
      </c>
      <c r="E35" s="513">
        <v>0</v>
      </c>
      <c r="F35" s="513">
        <v>0</v>
      </c>
      <c r="G35" s="513">
        <v>0</v>
      </c>
      <c r="H35" s="515">
        <f t="shared" si="0"/>
        <v>0</v>
      </c>
    </row>
    <row r="36" spans="1:8">
      <c r="A36" s="445">
        <v>28</v>
      </c>
      <c r="B36" s="562"/>
      <c r="C36" s="563"/>
      <c r="D36" s="513">
        <v>0</v>
      </c>
      <c r="E36" s="513">
        <v>0</v>
      </c>
      <c r="F36" s="513">
        <v>0</v>
      </c>
      <c r="G36" s="513">
        <v>0</v>
      </c>
      <c r="H36" s="515">
        <f t="shared" si="0"/>
        <v>0</v>
      </c>
    </row>
    <row r="37" spans="1:8">
      <c r="A37" s="445">
        <v>29</v>
      </c>
      <c r="B37" s="562"/>
      <c r="C37" s="563"/>
      <c r="D37" s="513">
        <v>0</v>
      </c>
      <c r="E37" s="513">
        <v>0</v>
      </c>
      <c r="F37" s="513">
        <v>0</v>
      </c>
      <c r="G37" s="513">
        <v>0</v>
      </c>
      <c r="H37" s="515">
        <f t="shared" si="0"/>
        <v>0</v>
      </c>
    </row>
    <row r="38" spans="1:8">
      <c r="A38" s="445">
        <v>30</v>
      </c>
      <c r="B38" s="562"/>
      <c r="C38" s="563"/>
      <c r="D38" s="513">
        <v>0</v>
      </c>
      <c r="E38" s="513">
        <v>0</v>
      </c>
      <c r="F38" s="513">
        <v>0</v>
      </c>
      <c r="G38" s="513">
        <v>0</v>
      </c>
      <c r="H38" s="515">
        <f t="shared" si="0"/>
        <v>0</v>
      </c>
    </row>
    <row r="39" spans="1:8">
      <c r="A39" s="445">
        <v>31</v>
      </c>
      <c r="B39" s="562"/>
      <c r="C39" s="563"/>
      <c r="D39" s="513">
        <v>0</v>
      </c>
      <c r="E39" s="513">
        <v>0</v>
      </c>
      <c r="F39" s="513">
        <v>0</v>
      </c>
      <c r="G39" s="513">
        <v>0</v>
      </c>
      <c r="H39" s="515">
        <f t="shared" si="0"/>
        <v>0</v>
      </c>
    </row>
    <row r="40" spans="1:8">
      <c r="A40" s="445">
        <v>32</v>
      </c>
      <c r="B40" s="562"/>
      <c r="C40" s="563"/>
      <c r="D40" s="513">
        <v>0</v>
      </c>
      <c r="E40" s="513">
        <v>0</v>
      </c>
      <c r="F40" s="513">
        <v>0</v>
      </c>
      <c r="G40" s="513">
        <v>0</v>
      </c>
      <c r="H40" s="515">
        <f t="shared" si="0"/>
        <v>0</v>
      </c>
    </row>
    <row r="41" spans="1:8">
      <c r="A41" s="445">
        <v>33</v>
      </c>
      <c r="B41" s="562"/>
      <c r="C41" s="563"/>
      <c r="D41" s="513">
        <v>0</v>
      </c>
      <c r="E41" s="513">
        <v>0</v>
      </c>
      <c r="F41" s="513">
        <v>0</v>
      </c>
      <c r="G41" s="513">
        <v>0</v>
      </c>
      <c r="H41" s="515">
        <f t="shared" si="0"/>
        <v>0</v>
      </c>
    </row>
    <row r="42" spans="1:8">
      <c r="A42" s="445">
        <v>34</v>
      </c>
      <c r="B42" s="562"/>
      <c r="C42" s="563"/>
      <c r="D42" s="513">
        <v>0</v>
      </c>
      <c r="E42" s="513">
        <v>0</v>
      </c>
      <c r="F42" s="513">
        <v>0</v>
      </c>
      <c r="G42" s="513">
        <v>0</v>
      </c>
      <c r="H42" s="515">
        <f t="shared" si="0"/>
        <v>0</v>
      </c>
    </row>
    <row r="43" spans="1:8">
      <c r="A43" s="445">
        <v>35</v>
      </c>
      <c r="B43" s="562"/>
      <c r="C43" s="563"/>
      <c r="D43" s="513">
        <v>0</v>
      </c>
      <c r="E43" s="513">
        <v>0</v>
      </c>
      <c r="F43" s="513">
        <v>0</v>
      </c>
      <c r="G43" s="513">
        <v>0</v>
      </c>
      <c r="H43" s="515">
        <f t="shared" si="0"/>
        <v>0</v>
      </c>
    </row>
    <row r="44" spans="1:8">
      <c r="A44" s="443"/>
      <c r="B44" s="443"/>
      <c r="C44" s="445"/>
      <c r="D44" s="515">
        <f>SUM(D9:D43)</f>
        <v>0</v>
      </c>
      <c r="E44" s="515">
        <f>SUM(E9:E43)</f>
        <v>0</v>
      </c>
      <c r="F44" s="515">
        <f>SUM(F9:F43)</f>
        <v>0</v>
      </c>
      <c r="G44" s="515">
        <f>SUM(G9:G43)</f>
        <v>22778900</v>
      </c>
      <c r="H44" s="515">
        <f>SUM(H9:H43)</f>
        <v>22778900</v>
      </c>
    </row>
    <row r="45" spans="1:8">
      <c r="D45" s="471"/>
      <c r="E45" s="471"/>
      <c r="F45" s="471"/>
      <c r="G45" s="471"/>
      <c r="H45" s="471"/>
    </row>
    <row r="46" spans="1:8">
      <c r="D46" s="471"/>
      <c r="E46" s="471"/>
      <c r="F46" s="471"/>
      <c r="G46" s="471"/>
      <c r="H46" s="471" t="s">
        <v>669</v>
      </c>
    </row>
    <row r="47" spans="1:8">
      <c r="A47" t="s">
        <v>905</v>
      </c>
    </row>
    <row r="57" spans="8:9">
      <c r="I57" s="571"/>
    </row>
    <row r="64" spans="8:9">
      <c r="H64" s="572"/>
    </row>
    <row r="65" spans="8:8">
      <c r="H65" s="572"/>
    </row>
  </sheetData>
  <mergeCells count="4">
    <mergeCell ref="A1:H1"/>
    <mergeCell ref="A2:H2"/>
    <mergeCell ref="A3:H3"/>
    <mergeCell ref="A5:H5"/>
  </mergeCells>
  <phoneticPr fontId="47"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A7" sqref="A7:M18"/>
    </sheetView>
  </sheetViews>
  <sheetFormatPr defaultRowHeight="12.75"/>
  <sheetData>
    <row r="1" spans="1:8" ht="15">
      <c r="A1" s="747" t="str">
        <f>'EIA 412 BALANCE SHEET'!A1:F1</f>
        <v>Elk River</v>
      </c>
      <c r="B1" s="747"/>
      <c r="C1" s="747"/>
      <c r="D1" s="747"/>
      <c r="E1" s="747"/>
      <c r="F1" s="747"/>
      <c r="G1" s="747"/>
      <c r="H1" s="747"/>
    </row>
    <row r="2" spans="1:8" ht="15">
      <c r="A2" s="744" t="s">
        <v>148</v>
      </c>
      <c r="B2" s="744"/>
      <c r="C2" s="744"/>
      <c r="D2" s="744"/>
      <c r="E2" s="744"/>
      <c r="F2" s="744"/>
      <c r="G2" s="744"/>
      <c r="H2" s="744"/>
    </row>
    <row r="3" spans="1:8" ht="15.75" thickBot="1">
      <c r="A3" s="747">
        <f>'EIA 412 BALANCE SHEET'!A3:F3</f>
        <v>42004</v>
      </c>
      <c r="B3" s="747"/>
      <c r="C3" s="747"/>
      <c r="D3" s="747"/>
      <c r="E3" s="747"/>
      <c r="F3" s="747"/>
      <c r="G3" s="747"/>
      <c r="H3" s="747"/>
    </row>
    <row r="4" spans="1:8" ht="13.5" thickTop="1">
      <c r="A4" s="573"/>
      <c r="B4" s="573"/>
      <c r="C4" s="573"/>
      <c r="D4" s="573"/>
      <c r="E4" s="573"/>
      <c r="F4" s="573"/>
      <c r="G4" s="573"/>
      <c r="H4" s="574"/>
    </row>
    <row r="5" spans="1:8">
      <c r="H5" s="533"/>
    </row>
    <row r="6" spans="1:8">
      <c r="A6" s="575" t="s">
        <v>393</v>
      </c>
      <c r="H6" s="533"/>
    </row>
    <row r="7" spans="1:8">
      <c r="A7" s="662" t="s">
        <v>828</v>
      </c>
      <c r="B7" s="662"/>
      <c r="C7" s="662"/>
      <c r="D7" s="662"/>
      <c r="E7" s="662"/>
      <c r="F7" s="662"/>
      <c r="G7" s="662"/>
      <c r="H7" s="662"/>
    </row>
    <row r="8" spans="1:8">
      <c r="A8" s="662" t="s">
        <v>858</v>
      </c>
      <c r="B8" s="662"/>
      <c r="C8" s="662"/>
      <c r="D8" s="662"/>
      <c r="E8" s="662"/>
      <c r="F8" s="662"/>
      <c r="G8" s="662"/>
      <c r="H8" s="662"/>
    </row>
    <row r="9" spans="1:8">
      <c r="A9" s="636"/>
      <c r="B9" s="636"/>
      <c r="C9" s="636"/>
      <c r="D9" s="636"/>
      <c r="E9" s="636"/>
      <c r="F9" s="636"/>
      <c r="G9" s="636"/>
      <c r="H9" s="636"/>
    </row>
    <row r="10" spans="1:8">
      <c r="A10" s="662" t="s">
        <v>829</v>
      </c>
      <c r="B10" s="662"/>
      <c r="C10" s="662"/>
      <c r="D10" s="662"/>
      <c r="E10" s="662"/>
      <c r="F10" s="662"/>
      <c r="G10" s="662"/>
      <c r="H10" s="662"/>
    </row>
    <row r="11" spans="1:8">
      <c r="A11" s="662" t="s">
        <v>830</v>
      </c>
      <c r="B11" s="662"/>
      <c r="C11" s="662"/>
      <c r="D11" s="662"/>
      <c r="E11" s="662"/>
      <c r="F11" s="662"/>
      <c r="G11" s="662"/>
      <c r="H11" s="662"/>
    </row>
    <row r="12" spans="1:8">
      <c r="A12" s="662" t="s">
        <v>831</v>
      </c>
      <c r="B12" s="662"/>
      <c r="C12" s="662"/>
      <c r="D12" s="662"/>
      <c r="E12" s="662"/>
      <c r="F12" s="662"/>
      <c r="G12" s="662"/>
      <c r="H12" s="662"/>
    </row>
    <row r="13" spans="1:8">
      <c r="A13" s="636"/>
      <c r="B13" s="636"/>
      <c r="C13" s="636"/>
      <c r="D13" s="636"/>
      <c r="E13" s="636"/>
      <c r="F13" s="636"/>
      <c r="G13" s="636"/>
      <c r="H13" s="636"/>
    </row>
    <row r="14" spans="1:8">
      <c r="A14" s="662" t="s">
        <v>859</v>
      </c>
      <c r="B14" s="662"/>
      <c r="C14" s="662"/>
      <c r="D14" s="662"/>
      <c r="E14" s="662"/>
      <c r="F14" s="662"/>
      <c r="G14" s="662"/>
      <c r="H14" s="662"/>
    </row>
    <row r="15" spans="1:8">
      <c r="A15" s="636"/>
      <c r="B15" s="636"/>
      <c r="C15" s="636"/>
      <c r="D15" s="636"/>
      <c r="E15" s="636"/>
      <c r="F15" s="636"/>
      <c r="G15" s="636"/>
      <c r="H15" s="636"/>
    </row>
    <row r="16" spans="1:8">
      <c r="A16" s="662" t="s">
        <v>832</v>
      </c>
      <c r="B16" s="636"/>
      <c r="C16" s="636"/>
      <c r="D16" s="636"/>
      <c r="E16" s="636"/>
      <c r="F16" s="636"/>
      <c r="G16" s="636"/>
      <c r="H16" s="636"/>
    </row>
    <row r="17" spans="1:10">
      <c r="A17" s="636"/>
      <c r="B17" s="636"/>
      <c r="C17" s="636"/>
      <c r="D17" s="636"/>
      <c r="E17" s="636"/>
      <c r="F17" s="636"/>
      <c r="G17" s="636"/>
      <c r="H17" s="636"/>
    </row>
    <row r="29" spans="1:10">
      <c r="J29" t="s">
        <v>669</v>
      </c>
    </row>
  </sheetData>
  <mergeCells count="3">
    <mergeCell ref="A1:H1"/>
    <mergeCell ref="A2:H2"/>
    <mergeCell ref="A3:H3"/>
  </mergeCells>
  <phoneticPr fontId="4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9</vt:i4>
      </vt:variant>
    </vt:vector>
  </HeadingPairs>
  <TitlesOfParts>
    <vt:vector size="32" baseType="lpstr">
      <vt:lpstr>Attachment O</vt:lpstr>
      <vt:lpstr>EIA 412 BALANCE SHEET</vt:lpstr>
      <vt:lpstr>EIA 412 INCOME STATEMENT</vt:lpstr>
      <vt:lpstr>EIA 412 ELECTRIC PLANT</vt:lpstr>
      <vt:lpstr>EIA 412 TAXES</vt:lpstr>
      <vt:lpstr>EIA 412 OP &amp; MAINT</vt:lpstr>
      <vt:lpstr>EIA 412 SALES FOR RESALE</vt:lpstr>
      <vt:lpstr>EIA 412 PURCHASED POWER</vt:lpstr>
      <vt:lpstr>EIA 412 NOTES</vt:lpstr>
      <vt:lpstr>Att. O Data - Elk River</vt:lpstr>
      <vt:lpstr> ERS1_Plant Assets</vt:lpstr>
      <vt:lpstr>ERS2_Wages &amp; Salary Allocator</vt:lpstr>
      <vt:lpstr>ERS3_Depreciation</vt:lpstr>
      <vt:lpstr>ERS4_Debt Detail</vt:lpstr>
      <vt:lpstr>ERS5_2014 12 CP Load Data</vt:lpstr>
      <vt:lpstr>ERS6_Elk River Trans</vt:lpstr>
      <vt:lpstr>ERS7_General Plant Detail</vt:lpstr>
      <vt:lpstr>ERS8_Breakout of pg 54 &amp; 56</vt:lpstr>
      <vt:lpstr>CMMPA DUES IN A&amp;G</vt:lpstr>
      <vt:lpstr>Alert</vt:lpstr>
      <vt:lpstr>TARIFF REVENUE</vt:lpstr>
      <vt:lpstr>Sheet2</vt:lpstr>
      <vt:lpstr>Sheet5</vt:lpstr>
      <vt:lpstr>' ERS1_Plant Assets'!Print_Area</vt:lpstr>
      <vt:lpstr>'Att. O Data - Elk River'!Print_Area</vt:lpstr>
      <vt:lpstr>'ERS2_Wages &amp; Salary Allocator'!Print_Area</vt:lpstr>
      <vt:lpstr>ERS3_Depreciation!Print_Area</vt:lpstr>
      <vt:lpstr>'ERS4_Debt Detail'!Print_Area</vt:lpstr>
      <vt:lpstr>'ERS5_2014 12 CP Load Data'!Print_Area</vt:lpstr>
      <vt:lpstr>'ERS8_Breakout of pg 54 &amp; 56'!Print_Area</vt:lpstr>
      <vt:lpstr>'CMMPA DUES IN A&amp;G'!Print_Titles</vt:lpstr>
      <vt:lpstr>'TARIFF REVENUE'!Print_Titles</vt:lpstr>
    </vt:vector>
  </TitlesOfParts>
  <Company>MCR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Kennedy</dc:creator>
  <cp:lastModifiedBy>Larry Blaine</cp:lastModifiedBy>
  <cp:lastPrinted>2016-03-11T20:32:34Z</cp:lastPrinted>
  <dcterms:created xsi:type="dcterms:W3CDTF">2006-06-21T16:23:08Z</dcterms:created>
  <dcterms:modified xsi:type="dcterms:W3CDTF">2016-04-22T14:54:11Z</dcterms:modified>
</cp:coreProperties>
</file>